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3.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4.xml" ContentType="application/vnd.openxmlformats-officedocument.themeOverrid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41.xml" ContentType="application/vnd.openxmlformats-officedocument.spreadsheetml.pivotTable+xml"/>
  <Override PartName="/xl/pivotTables/pivotTable42.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tables/table6.xml" ContentType="application/vnd.openxmlformats-officedocument.spreadsheetml.table+xml"/>
  <Override PartName="/xl/tables/table7.xml" ContentType="application/vnd.openxmlformats-officedocument.spreadsheetml.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drawings/drawing6.xml" ContentType="application/vnd.openxmlformats-officedocument.drawing+xml"/>
  <Override PartName="/xl/tables/table10.xml" ContentType="application/vnd.openxmlformats-officedocument.spreadsheetml.tab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9.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pivotTables/pivotTable49.xml" ContentType="application/vnd.openxmlformats-officedocument.spreadsheetml.pivotTable+xml"/>
  <Override PartName="/xl/drawings/drawing10.xml" ContentType="application/vnd.openxmlformats-officedocument.drawing+xml"/>
  <Override PartName="/xl/slicers/slicer2.xml" ContentType="application/vnd.ms-excel.slicer+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1.xml" ContentType="application/vnd.openxmlformats-officedocument.drawingml.chartshapes+xml"/>
  <Override PartName="/xl/pivotTables/pivotTable50.xml" ContentType="application/vnd.openxmlformats-officedocument.spreadsheetml.pivotTable+xml"/>
  <Override PartName="/xl/drawings/drawing12.xml" ContentType="application/vnd.openxmlformats-officedocument.drawing+xml"/>
  <Override PartName="/xl/slicers/slicer3.xml" ContentType="application/vnd.ms-excel.slicer+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pivotTables/pivotTable51.xml" ContentType="application/vnd.openxmlformats-officedocument.spreadsheetml.pivotTable+xml"/>
  <Override PartName="/xl/drawings/drawing13.xml" ContentType="application/vnd.openxmlformats-officedocument.drawing+xml"/>
  <Override PartName="/xl/slicers/slicer4.xml" ContentType="application/vnd.ms-excel.slicer+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4.xml" ContentType="application/vnd.openxmlformats-officedocument.drawing+xml"/>
  <Override PartName="/xl/tables/table13.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Final/2023/2023_Q1/"/>
    </mc:Choice>
  </mc:AlternateContent>
  <xr:revisionPtr revIDLastSave="916" documentId="13_ncr:1_{8E0405B1-1875-460D-B023-3C4C8B819BD5}" xr6:coauthVersionLast="47" xr6:coauthVersionMax="47" xr10:uidLastSave="{EF590CA9-BED0-4CF0-8B88-F75EE6A5C9E3}"/>
  <bookViews>
    <workbookView minimized="1" xWindow="1100" yWindow="1100" windowWidth="14400" windowHeight="7350" tabRatio="831" activeTab="9" xr2:uid="{00000000-000D-0000-FFFF-FFFF00000000}"/>
  </bookViews>
  <sheets>
    <sheet name="Guide" sheetId="81" r:id="rId1"/>
    <sheet name="HWS" sheetId="128" state="hidden" r:id="rId2"/>
    <sheet name="DATABASE" sheetId="25" r:id="rId3"/>
    <sheet name="Site_DB" sheetId="91" r:id="rId4"/>
    <sheet name="Indicator Summary  Eng" sheetId="124" r:id="rId5"/>
    <sheet name="Indicator Summary  MM" sheetId="125" r:id="rId6"/>
    <sheet name="HRP Calculations" sheetId="132" r:id="rId7"/>
    <sheet name="HRP" sheetId="89" r:id="rId8"/>
    <sheet name="HRP ref" sheetId="129" state="hidden" r:id="rId9"/>
    <sheet name="Analysis" sheetId="92" r:id="rId10"/>
    <sheet name="Sheet2" sheetId="122" state="hidden" r:id="rId11"/>
    <sheet name="partners_Q1" sheetId="130" state="hidden" r:id="rId12"/>
    <sheet name="partners_Q2" sheetId="131" state="hidden" r:id="rId13"/>
    <sheet name="partners_Q3" sheetId="133" state="hidden" r:id="rId14"/>
    <sheet name="Kachin" sheetId="111" r:id="rId15"/>
    <sheet name="Shan(n)" sheetId="110" r:id="rId16"/>
    <sheet name="AAP-community Feedback" sheetId="121" state="hidden" r:id="rId17"/>
    <sheet name="Quarterly Dashboard" sheetId="100" r:id="rId18"/>
    <sheet name="By Camps" sheetId="102" r:id="rId19"/>
    <sheet name="Tracking Dashboard" sheetId="114" r:id="rId20"/>
    <sheet name="Lookup" sheetId="32" state="hidden" r:id="rId21"/>
  </sheets>
  <externalReferences>
    <externalReference r:id="rId22"/>
    <externalReference r:id="rId23"/>
    <externalReference r:id="rId24"/>
    <externalReference r:id="rId25"/>
    <externalReference r:id="rId26"/>
    <externalReference r:id="rId27"/>
  </externalReferences>
  <definedNames>
    <definedName name="_Fill" localSheetId="18" hidden="1">#REF!</definedName>
    <definedName name="_Fill" localSheetId="6" hidden="1">#REF!</definedName>
    <definedName name="_Fill" localSheetId="4" hidden="1">#REF!</definedName>
    <definedName name="_Fill" localSheetId="14" hidden="1">#REF!</definedName>
    <definedName name="_Fill" localSheetId="15" hidden="1">#REF!</definedName>
    <definedName name="_Fill" hidden="1">#REF!</definedName>
    <definedName name="_xlnm._FilterDatabase" localSheetId="2" hidden="1">DATABASE!$A$1:$ET$5</definedName>
    <definedName name="_xlnm._FilterDatabase" localSheetId="7" hidden="1">HRP!$B$21:$Z$176</definedName>
    <definedName name="_xlnm._FilterDatabase" localSheetId="4" hidden="1">'Indicator Summary  Eng'!$B$2:$H$73</definedName>
    <definedName name="_xlnm._FilterDatabase" localSheetId="20" hidden="1">Lookup!$A$3:$AA$457</definedName>
    <definedName name="_xlnm._FilterDatabase" localSheetId="11" hidden="1">partners_Q1!$I$1:$J$78</definedName>
    <definedName name="_Key1" localSheetId="16" hidden="1">[1]Data!#REF!</definedName>
    <definedName name="_Key1" localSheetId="18" hidden="1">[1]Data!#REF!</definedName>
    <definedName name="_Key1" localSheetId="6" hidden="1">[1]Data!#REF!</definedName>
    <definedName name="_Key1" localSheetId="4" hidden="1">[1]Data!#REF!</definedName>
    <definedName name="_Key1" localSheetId="14" hidden="1">[1]Data!#REF!</definedName>
    <definedName name="_Key1" localSheetId="15" hidden="1">[1]Data!#REF!</definedName>
    <definedName name="_Key1" hidden="1">[1]Data!#REF!</definedName>
    <definedName name="_Order1" hidden="1">255</definedName>
    <definedName name="_xlcn.WorksheetConnection_20200716_Myanmar_WASH_4W_2020_Q2_KachinShan_camp_Consolidate.xlsxWWWW1" hidden="1">WWWW[]</definedName>
    <definedName name="a" localSheetId="16" hidden="1">#REF!</definedName>
    <definedName name="a" hidden="1">#REF!</definedName>
    <definedName name="b">[2]!SiteDB6[[#Headers],[Township]]</definedName>
    <definedName name="_xlnm.Print_Area" localSheetId="6">'HRP Calculations'!$A$1:$F$11</definedName>
    <definedName name="_xlnm.Print_Area" localSheetId="4">'Indicator Summary  Eng'!$B$1:$G$73</definedName>
    <definedName name="_xlnm.Print_Area" localSheetId="5">'Indicator Summary  MM'!$B$2:$G$72</definedName>
    <definedName name="_xlnm.Print_Area" localSheetId="14">Kachin!$B$1:$T$106</definedName>
    <definedName name="_xlnm.Print_Area" localSheetId="15">'Shan(n)'!$A$1:$T$102</definedName>
    <definedName name="_xlnm.Print_Titles" localSheetId="4">'Indicator Summary  Eng'!$1:$2</definedName>
    <definedName name="_xlnm.Print_Titles" localSheetId="5">'Indicator Summary  MM'!$1:$2</definedName>
    <definedName name="Sasha" localSheetId="16" hidden="1">{#N/A,#N/A,FALSE,"Truck Rent"}</definedName>
    <definedName name="Sasha" localSheetId="6" hidden="1">{#N/A,#N/A,FALSE,"Truck Rent"}</definedName>
    <definedName name="Sasha" localSheetId="4"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State3">#N/A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licer_WASH_project_agency1">#N/A</definedName>
    <definedName name="State_list" localSheetId="16">[3]Lookup!$AB$4:$AB$83</definedName>
    <definedName name="State_list" localSheetId="6">[4]Lookup!$AB$4:$AB$83</definedName>
    <definedName name="State_list">Lookup!$AB$4:$AB$83</definedName>
    <definedName name="Statestart_1" localSheetId="16">[3]Lookup!$AB$3</definedName>
    <definedName name="Statestart_1" localSheetId="6">[4]Lookup!$AB$3</definedName>
    <definedName name="Statestart_1">Lookup!$AB$3</definedName>
    <definedName name="Township_list" localSheetId="16">[3]!SiteDB6[Township]</definedName>
    <definedName name="Township_list" localSheetId="6">[4]!SiteDB6[Township]</definedName>
    <definedName name="Township_list" localSheetId="14">SiteDB6[Township]</definedName>
    <definedName name="Township_list" localSheetId="13">SiteDB6[Township]</definedName>
    <definedName name="Township_list" localSheetId="15">SiteDB6[Township]</definedName>
    <definedName name="Township_list">SiteDB6[Township]</definedName>
    <definedName name="Township_start" localSheetId="16">[3]!SiteDB6[[#Headers],[Township]]</definedName>
    <definedName name="Township_start" localSheetId="6">[4]!SiteDB6[[#Headers],[Township]]</definedName>
    <definedName name="Township_start" localSheetId="14">SiteDB6[[#Headers],[Township]]</definedName>
    <definedName name="Township_start" localSheetId="13">SiteDB6[[#Headers],[Township]]</definedName>
    <definedName name="Township_start" localSheetId="15">SiteDB6[[#Headers],[Township]]</definedName>
    <definedName name="Township_start">SiteDB6[[#Headers],[Township]]</definedName>
    <definedName name="TSps">Lookup!$AC$3:$AC$83</definedName>
    <definedName name="wrn.MUSA._.TRUCKS." localSheetId="16" hidden="1">{#N/A,#N/A,FALSE,"Truck Rent"}</definedName>
    <definedName name="wrn.MUSA._.TRUCKS." localSheetId="6" hidden="1">{#N/A,#N/A,FALSE,"Truck Rent"}</definedName>
    <definedName name="wrn.MUSA._.TRUCKS." localSheetId="4" hidden="1">{#N/A,#N/A,FALSE,"Truck Rent"}</definedName>
    <definedName name="wrn.MUSA._.TRUCKS." hidden="1">{#N/A,#N/A,FALSE,"Truck Rent"}</definedName>
  </definedNames>
  <calcPr calcId="191029"/>
  <pivotCaches>
    <pivotCache cacheId="1" r:id="rId28"/>
    <pivotCache cacheId="2" r:id="rId29"/>
    <pivotCache cacheId="3" r:id="rId30"/>
    <pivotCache cacheId="4" r:id="rId31"/>
    <pivotCache cacheId="5" r:id="rId32"/>
    <pivotCache cacheId="6" r:id="rId33"/>
    <pivotCache cacheId="7" r:id="rId34"/>
    <pivotCache cacheId="8" r:id="rId35"/>
  </pivotCaches>
  <extLs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97" i="25" l="1"/>
  <c r="R197" i="25"/>
  <c r="S35" i="25"/>
  <c r="R35" i="25"/>
  <c r="G39" i="25"/>
  <c r="G60" i="25"/>
  <c r="G205" i="25"/>
  <c r="G206" i="25"/>
  <c r="G215" i="25"/>
  <c r="G213" i="25"/>
  <c r="G214" i="25"/>
  <c r="G81" i="25"/>
  <c r="G210" i="25"/>
  <c r="G217" i="25"/>
  <c r="G204" i="25"/>
  <c r="G58" i="25"/>
  <c r="G216" i="25"/>
  <c r="G208" i="25"/>
  <c r="G12" i="25"/>
  <c r="G19" i="25"/>
  <c r="G24" i="25"/>
  <c r="G42" i="25"/>
  <c r="G57" i="25"/>
  <c r="G59" i="25"/>
  <c r="G61" i="25"/>
  <c r="G67" i="25"/>
  <c r="G207" i="25"/>
  <c r="G211" i="25"/>
  <c r="CE212" i="25"/>
  <c r="CE209" i="25"/>
  <c r="CE39" i="25"/>
  <c r="CE60" i="25"/>
  <c r="CE205" i="25"/>
  <c r="CE206" i="25"/>
  <c r="CE215" i="25"/>
  <c r="CE213" i="25"/>
  <c r="CE214" i="25"/>
  <c r="CE81" i="25"/>
  <c r="CE210" i="25"/>
  <c r="CE217" i="25"/>
  <c r="CE204" i="25"/>
  <c r="CE58" i="25"/>
  <c r="CE216" i="25"/>
  <c r="CE208" i="25"/>
  <c r="CE12" i="25"/>
  <c r="CE19" i="25"/>
  <c r="CE24" i="25"/>
  <c r="CE42" i="25"/>
  <c r="CE57" i="25"/>
  <c r="CE59" i="25"/>
  <c r="CE61" i="25"/>
  <c r="CE67" i="25"/>
  <c r="CE207" i="25"/>
  <c r="CE211" i="25"/>
  <c r="CF212" i="25"/>
  <c r="CF209" i="25"/>
  <c r="CF39" i="25"/>
  <c r="CF60" i="25"/>
  <c r="CF205" i="25"/>
  <c r="CF206" i="25"/>
  <c r="CF215" i="25"/>
  <c r="CF213" i="25"/>
  <c r="CF214" i="25"/>
  <c r="CF81" i="25"/>
  <c r="CF210" i="25"/>
  <c r="CF217" i="25"/>
  <c r="CF204" i="25"/>
  <c r="CF58" i="25"/>
  <c r="CF216" i="25"/>
  <c r="CF208" i="25"/>
  <c r="CF12" i="25"/>
  <c r="CF19" i="25"/>
  <c r="CF24" i="25"/>
  <c r="CF42" i="25"/>
  <c r="CF57" i="25"/>
  <c r="CF59" i="25"/>
  <c r="CF61" i="25"/>
  <c r="CF67" i="25"/>
  <c r="CF207" i="25"/>
  <c r="CF211" i="25"/>
  <c r="CH212" i="25"/>
  <c r="CH209" i="25"/>
  <c r="CH39" i="25"/>
  <c r="CH60" i="25"/>
  <c r="CH205" i="25"/>
  <c r="CH206" i="25"/>
  <c r="CH215" i="25"/>
  <c r="CH213" i="25"/>
  <c r="CH214" i="25"/>
  <c r="CH81" i="25"/>
  <c r="CH210" i="25"/>
  <c r="CH217" i="25"/>
  <c r="CH204" i="25"/>
  <c r="CH58" i="25"/>
  <c r="CH216" i="25"/>
  <c r="CH208" i="25"/>
  <c r="CH12" i="25"/>
  <c r="CH19" i="25"/>
  <c r="CH24" i="25"/>
  <c r="CH42" i="25"/>
  <c r="CH57" i="25"/>
  <c r="CH59" i="25"/>
  <c r="CH61" i="25"/>
  <c r="CH67" i="25"/>
  <c r="CH207" i="25"/>
  <c r="CH211" i="25"/>
  <c r="CI212" i="25"/>
  <c r="CI209" i="25"/>
  <c r="CI39" i="25"/>
  <c r="CI60" i="25"/>
  <c r="CI205" i="25"/>
  <c r="CI206" i="25"/>
  <c r="CI215" i="25"/>
  <c r="CI213" i="25"/>
  <c r="CI214" i="25"/>
  <c r="CI81" i="25"/>
  <c r="CI210" i="25"/>
  <c r="CI217" i="25"/>
  <c r="CI204" i="25"/>
  <c r="CI58" i="25"/>
  <c r="CI216" i="25"/>
  <c r="CI208" i="25"/>
  <c r="CI12" i="25"/>
  <c r="CI19" i="25"/>
  <c r="CI24" i="25"/>
  <c r="CI42" i="25"/>
  <c r="CI57" i="25"/>
  <c r="CI59" i="25"/>
  <c r="CI61" i="25"/>
  <c r="CI67" i="25"/>
  <c r="CI207" i="25"/>
  <c r="CI211" i="25"/>
  <c r="CJ212" i="25"/>
  <c r="CJ209" i="25"/>
  <c r="CJ39" i="25"/>
  <c r="CJ60" i="25"/>
  <c r="CJ205" i="25"/>
  <c r="CJ206" i="25"/>
  <c r="CJ215" i="25"/>
  <c r="CJ213" i="25"/>
  <c r="CJ214" i="25"/>
  <c r="CJ81" i="25"/>
  <c r="CJ210" i="25"/>
  <c r="CJ217" i="25"/>
  <c r="CJ204" i="25"/>
  <c r="CJ58" i="25"/>
  <c r="CJ216" i="25"/>
  <c r="CJ208" i="25"/>
  <c r="CJ12" i="25"/>
  <c r="CJ19" i="25"/>
  <c r="CJ24" i="25"/>
  <c r="CJ42" i="25"/>
  <c r="CJ57" i="25"/>
  <c r="CJ59" i="25"/>
  <c r="CJ61" i="25"/>
  <c r="CJ67" i="25"/>
  <c r="CJ207" i="25"/>
  <c r="CJ211" i="25"/>
  <c r="CK212" i="25"/>
  <c r="CK209" i="25"/>
  <c r="CK39" i="25"/>
  <c r="CK60" i="25"/>
  <c r="CK205" i="25"/>
  <c r="CK206" i="25"/>
  <c r="CK215" i="25"/>
  <c r="CK213" i="25"/>
  <c r="CK214" i="25"/>
  <c r="CK81" i="25"/>
  <c r="CK210" i="25"/>
  <c r="CK217" i="25"/>
  <c r="CK204" i="25"/>
  <c r="CK58" i="25"/>
  <c r="CK216" i="25"/>
  <c r="CK208" i="25"/>
  <c r="CK12" i="25"/>
  <c r="CK19" i="25"/>
  <c r="CK24" i="25"/>
  <c r="CK42" i="25"/>
  <c r="CK57" i="25"/>
  <c r="CK59" i="25"/>
  <c r="CK61" i="25"/>
  <c r="CK67" i="25"/>
  <c r="CK207" i="25"/>
  <c r="CK211" i="25"/>
  <c r="CL212" i="25"/>
  <c r="CL209" i="25"/>
  <c r="CL39" i="25"/>
  <c r="CL60" i="25"/>
  <c r="CL205" i="25"/>
  <c r="CL206" i="25"/>
  <c r="CL215" i="25"/>
  <c r="CL213" i="25"/>
  <c r="CL214" i="25"/>
  <c r="CL81" i="25"/>
  <c r="CL210" i="25"/>
  <c r="CL217" i="25"/>
  <c r="CL204" i="25"/>
  <c r="CL58" i="25"/>
  <c r="CL216" i="25"/>
  <c r="CL208" i="25"/>
  <c r="CL12" i="25"/>
  <c r="CL19" i="25"/>
  <c r="CL24" i="25"/>
  <c r="CL42" i="25"/>
  <c r="CL57" i="25"/>
  <c r="CL59" i="25"/>
  <c r="CL61" i="25"/>
  <c r="CL67" i="25"/>
  <c r="CL207" i="25"/>
  <c r="CL211" i="25"/>
  <c r="CM212" i="25"/>
  <c r="CM209" i="25"/>
  <c r="CM39" i="25"/>
  <c r="CM60" i="25"/>
  <c r="CM205" i="25"/>
  <c r="CM206" i="25"/>
  <c r="CM215" i="25"/>
  <c r="CM213" i="25"/>
  <c r="CM214" i="25"/>
  <c r="CM81" i="25"/>
  <c r="CM210" i="25"/>
  <c r="CM217" i="25"/>
  <c r="CM204" i="25"/>
  <c r="CM58" i="25"/>
  <c r="CM216" i="25"/>
  <c r="CM208" i="25"/>
  <c r="CM12" i="25"/>
  <c r="CM19" i="25"/>
  <c r="CM24" i="25"/>
  <c r="CM42" i="25"/>
  <c r="CM57" i="25"/>
  <c r="CM59" i="25"/>
  <c r="CM61" i="25"/>
  <c r="CM67" i="25"/>
  <c r="CM207" i="25"/>
  <c r="CM211" i="25"/>
  <c r="CN212" i="25"/>
  <c r="CN209" i="25"/>
  <c r="CN39" i="25"/>
  <c r="CN60" i="25"/>
  <c r="CN205" i="25"/>
  <c r="CN206" i="25"/>
  <c r="CN215" i="25"/>
  <c r="CN213" i="25"/>
  <c r="CN214" i="25"/>
  <c r="CN81" i="25"/>
  <c r="CN210" i="25"/>
  <c r="CN217" i="25"/>
  <c r="CN204" i="25"/>
  <c r="CN58" i="25"/>
  <c r="CN216" i="25"/>
  <c r="CN208" i="25"/>
  <c r="CN12" i="25"/>
  <c r="CN19" i="25"/>
  <c r="CN24" i="25"/>
  <c r="CN42" i="25"/>
  <c r="CN57" i="25"/>
  <c r="CN59" i="25"/>
  <c r="CN61" i="25"/>
  <c r="CN67" i="25"/>
  <c r="CN207" i="25"/>
  <c r="CN211" i="25"/>
  <c r="CT212" i="25"/>
  <c r="CU212" i="25" s="1"/>
  <c r="CT209" i="25"/>
  <c r="CU209" i="25" s="1"/>
  <c r="CT39" i="25"/>
  <c r="CU39" i="25" s="1"/>
  <c r="CT60" i="25"/>
  <c r="CU60" i="25" s="1"/>
  <c r="CT205" i="25"/>
  <c r="CU205" i="25" s="1"/>
  <c r="CT206" i="25"/>
  <c r="CU206" i="25" s="1"/>
  <c r="CT215" i="25"/>
  <c r="CU215" i="25" s="1"/>
  <c r="CT213" i="25"/>
  <c r="CU213" i="25" s="1"/>
  <c r="CT214" i="25"/>
  <c r="CU214" i="25" s="1"/>
  <c r="CT81" i="25"/>
  <c r="CU81" i="25" s="1"/>
  <c r="CT210" i="25"/>
  <c r="CU210" i="25" s="1"/>
  <c r="CT217" i="25"/>
  <c r="CU217" i="25" s="1"/>
  <c r="CT204" i="25"/>
  <c r="CU204" i="25" s="1"/>
  <c r="CT58" i="25"/>
  <c r="CU58" i="25" s="1"/>
  <c r="CT216" i="25"/>
  <c r="CU216" i="25" s="1"/>
  <c r="CT208" i="25"/>
  <c r="CU208" i="25" s="1"/>
  <c r="CT12" i="25"/>
  <c r="CU12" i="25" s="1"/>
  <c r="CT19" i="25"/>
  <c r="CU19" i="25" s="1"/>
  <c r="CT24" i="25"/>
  <c r="CU24" i="25" s="1"/>
  <c r="CT42" i="25"/>
  <c r="CU42" i="25" s="1"/>
  <c r="CT57" i="25"/>
  <c r="CU57" i="25" s="1"/>
  <c r="CT59" i="25"/>
  <c r="CU59" i="25" s="1"/>
  <c r="CT61" i="25"/>
  <c r="CU61" i="25" s="1"/>
  <c r="CT67" i="25"/>
  <c r="CU67" i="25" s="1"/>
  <c r="CT207" i="25"/>
  <c r="CU207" i="25" s="1"/>
  <c r="CT211" i="25"/>
  <c r="CU211" i="25" s="1"/>
  <c r="DB212" i="25"/>
  <c r="DB209" i="25"/>
  <c r="DB39" i="25"/>
  <c r="DB60" i="25"/>
  <c r="DB205" i="25"/>
  <c r="DB206" i="25"/>
  <c r="DB215" i="25"/>
  <c r="DB213" i="25"/>
  <c r="DB214" i="25"/>
  <c r="DB81" i="25"/>
  <c r="DB210" i="25"/>
  <c r="DB217" i="25"/>
  <c r="DB204" i="25"/>
  <c r="DB58" i="25"/>
  <c r="DB216" i="25"/>
  <c r="DB208" i="25"/>
  <c r="DB12" i="25"/>
  <c r="DB19" i="25"/>
  <c r="DB24" i="25"/>
  <c r="DB42" i="25"/>
  <c r="DB57" i="25"/>
  <c r="DB59" i="25"/>
  <c r="DB61" i="25"/>
  <c r="DB67" i="25"/>
  <c r="DB207" i="25"/>
  <c r="DB211" i="25"/>
  <c r="DC212" i="25"/>
  <c r="DE212" i="25" s="1"/>
  <c r="DD212" i="25" s="1"/>
  <c r="DK212" i="25" s="1"/>
  <c r="DC209" i="25"/>
  <c r="DE209" i="25" s="1"/>
  <c r="DD209" i="25" s="1"/>
  <c r="DK209" i="25" s="1"/>
  <c r="DC39" i="25"/>
  <c r="DC60" i="25"/>
  <c r="DC205" i="25"/>
  <c r="DC206" i="25"/>
  <c r="DC215" i="25"/>
  <c r="DC213" i="25"/>
  <c r="DC214" i="25"/>
  <c r="DC81" i="25"/>
  <c r="DC210" i="25"/>
  <c r="DC217" i="25"/>
  <c r="DC204" i="25"/>
  <c r="DC58" i="25"/>
  <c r="DC216" i="25"/>
  <c r="DC208" i="25"/>
  <c r="DC12" i="25"/>
  <c r="DC19" i="25"/>
  <c r="DC24" i="25"/>
  <c r="DC42" i="25"/>
  <c r="DC57" i="25"/>
  <c r="DC59" i="25"/>
  <c r="DC61" i="25"/>
  <c r="DC67" i="25"/>
  <c r="DC207" i="25"/>
  <c r="DC211" i="25"/>
  <c r="DG212" i="25"/>
  <c r="DG209" i="25"/>
  <c r="DG39" i="25"/>
  <c r="DG60" i="25"/>
  <c r="DG205" i="25"/>
  <c r="DG206" i="25"/>
  <c r="DG215" i="25"/>
  <c r="DG213" i="25"/>
  <c r="DG214" i="25"/>
  <c r="DG81" i="25"/>
  <c r="DG210" i="25"/>
  <c r="DG217" i="25"/>
  <c r="DG204" i="25"/>
  <c r="DG58" i="25"/>
  <c r="DG216" i="25"/>
  <c r="DG208" i="25"/>
  <c r="DG12" i="25"/>
  <c r="DG19" i="25"/>
  <c r="DG24" i="25"/>
  <c r="DG42" i="25"/>
  <c r="DG57" i="25"/>
  <c r="DG59" i="25"/>
  <c r="DG61" i="25"/>
  <c r="DG67" i="25"/>
  <c r="DG207" i="25"/>
  <c r="DG211" i="25"/>
  <c r="DH212" i="25"/>
  <c r="DH209" i="25"/>
  <c r="DH39" i="25"/>
  <c r="DH60" i="25"/>
  <c r="DH205" i="25"/>
  <c r="DH206" i="25"/>
  <c r="DH215" i="25"/>
  <c r="DH213" i="25"/>
  <c r="DH214" i="25"/>
  <c r="DH81" i="25"/>
  <c r="DH210" i="25"/>
  <c r="DH217" i="25"/>
  <c r="DH204" i="25"/>
  <c r="DH58" i="25"/>
  <c r="DH216" i="25"/>
  <c r="DH208" i="25"/>
  <c r="DH12" i="25"/>
  <c r="DH19" i="25"/>
  <c r="DH24" i="25"/>
  <c r="DH42" i="25"/>
  <c r="DH57" i="25"/>
  <c r="DH59" i="25"/>
  <c r="DH61" i="25"/>
  <c r="DH67" i="25"/>
  <c r="DH207" i="25"/>
  <c r="DH211" i="25"/>
  <c r="DL212" i="25"/>
  <c r="DL209" i="25"/>
  <c r="DL39" i="25"/>
  <c r="DL60" i="25"/>
  <c r="DL205" i="25"/>
  <c r="DL206" i="25"/>
  <c r="DL215" i="25"/>
  <c r="DL213" i="25"/>
  <c r="DL214" i="25"/>
  <c r="DL81" i="25"/>
  <c r="DL210" i="25"/>
  <c r="DL217" i="25"/>
  <c r="DL204" i="25"/>
  <c r="DL58" i="25"/>
  <c r="DL216" i="25"/>
  <c r="DL208" i="25"/>
  <c r="DL12" i="25"/>
  <c r="DL19" i="25"/>
  <c r="DL24" i="25"/>
  <c r="DL42" i="25"/>
  <c r="DL57" i="25"/>
  <c r="DL59" i="25"/>
  <c r="DL61" i="25"/>
  <c r="DL67" i="25"/>
  <c r="DL207" i="25"/>
  <c r="DL211" i="25"/>
  <c r="DM212" i="25"/>
  <c r="DM209" i="25"/>
  <c r="DT209" i="25" s="1"/>
  <c r="DM39" i="25"/>
  <c r="DT39" i="25" s="1"/>
  <c r="DM60" i="25"/>
  <c r="DM205" i="25"/>
  <c r="DM206" i="25"/>
  <c r="DM215" i="25"/>
  <c r="DT215" i="25" s="1"/>
  <c r="DM213" i="25"/>
  <c r="DT213" i="25" s="1"/>
  <c r="DM214" i="25"/>
  <c r="DT214" i="25" s="1"/>
  <c r="DM81" i="25"/>
  <c r="DT81" i="25" s="1"/>
  <c r="DM210" i="25"/>
  <c r="DT210" i="25" s="1"/>
  <c r="DM217" i="25"/>
  <c r="DT217" i="25" s="1"/>
  <c r="DM204" i="25"/>
  <c r="DT204" i="25" s="1"/>
  <c r="DM58" i="25"/>
  <c r="DT58" i="25" s="1"/>
  <c r="DM216" i="25"/>
  <c r="DT216" i="25" s="1"/>
  <c r="DM208" i="25"/>
  <c r="DT208" i="25" s="1"/>
  <c r="DM12" i="25"/>
  <c r="DT12" i="25" s="1"/>
  <c r="DM19" i="25"/>
  <c r="DT19" i="25" s="1"/>
  <c r="DM24" i="25"/>
  <c r="DT24" i="25" s="1"/>
  <c r="DM42" i="25"/>
  <c r="DT42" i="25" s="1"/>
  <c r="DM57" i="25"/>
  <c r="DM59" i="25"/>
  <c r="DT59" i="25" s="1"/>
  <c r="DM61" i="25"/>
  <c r="DT61" i="25" s="1"/>
  <c r="DM67" i="25"/>
  <c r="DT67" i="25" s="1"/>
  <c r="DM207" i="25"/>
  <c r="DT207" i="25" s="1"/>
  <c r="DM211" i="25"/>
  <c r="DT211" i="25" s="1"/>
  <c r="DN212" i="25"/>
  <c r="DN209" i="25"/>
  <c r="DN39" i="25"/>
  <c r="DN60" i="25"/>
  <c r="DN205" i="25"/>
  <c r="DN206" i="25"/>
  <c r="DN215" i="25"/>
  <c r="DN213" i="25"/>
  <c r="DN214" i="25"/>
  <c r="DN81" i="25"/>
  <c r="DN210" i="25"/>
  <c r="DN217" i="25"/>
  <c r="DN204" i="25"/>
  <c r="DN58" i="25"/>
  <c r="DN216" i="25"/>
  <c r="DN208" i="25"/>
  <c r="DN12" i="25"/>
  <c r="DN19" i="25"/>
  <c r="DN24" i="25"/>
  <c r="DN42" i="25"/>
  <c r="DN57" i="25"/>
  <c r="DN59" i="25"/>
  <c r="DN61" i="25"/>
  <c r="DN67" i="25"/>
  <c r="DN207" i="25"/>
  <c r="DN211" i="25"/>
  <c r="DO212" i="25"/>
  <c r="DO209" i="25"/>
  <c r="DO39" i="25"/>
  <c r="DO60" i="25"/>
  <c r="DO205" i="25"/>
  <c r="DO206" i="25"/>
  <c r="DO215" i="25"/>
  <c r="DO213" i="25"/>
  <c r="DO214" i="25"/>
  <c r="DO81" i="25"/>
  <c r="DO210" i="25"/>
  <c r="DO217" i="25"/>
  <c r="DO204" i="25"/>
  <c r="DO58" i="25"/>
  <c r="DO216" i="25"/>
  <c r="DO208" i="25"/>
  <c r="DO12" i="25"/>
  <c r="DO19" i="25"/>
  <c r="DO24" i="25"/>
  <c r="DO42" i="25"/>
  <c r="DO57" i="25"/>
  <c r="DO59" i="25"/>
  <c r="DO61" i="25"/>
  <c r="DO67" i="25"/>
  <c r="DO207" i="25"/>
  <c r="DO211" i="25"/>
  <c r="DV212" i="25"/>
  <c r="DV209" i="25"/>
  <c r="DV39" i="25"/>
  <c r="DV60" i="25"/>
  <c r="DV205" i="25"/>
  <c r="DV206" i="25"/>
  <c r="DV215" i="25"/>
  <c r="DV213" i="25"/>
  <c r="DV214" i="25"/>
  <c r="DV81" i="25"/>
  <c r="DV210" i="25"/>
  <c r="DV217" i="25"/>
  <c r="DV204" i="25"/>
  <c r="DV58" i="25"/>
  <c r="DV216" i="25"/>
  <c r="DV208" i="25"/>
  <c r="DV12" i="25"/>
  <c r="DV19" i="25"/>
  <c r="DV24" i="25"/>
  <c r="DV42" i="25"/>
  <c r="DV57" i="25"/>
  <c r="DV59" i="25"/>
  <c r="DV61" i="25"/>
  <c r="DV67" i="25"/>
  <c r="DV207" i="25"/>
  <c r="DV211" i="25"/>
  <c r="DW212" i="25"/>
  <c r="DZ212" i="25" s="1"/>
  <c r="DW209" i="25"/>
  <c r="DW39" i="25"/>
  <c r="DX39" i="25" s="1"/>
  <c r="DW60" i="25"/>
  <c r="DX60" i="25" s="1"/>
  <c r="DW205" i="25"/>
  <c r="DX205" i="25" s="1"/>
  <c r="DW206" i="25"/>
  <c r="DX206" i="25" s="1"/>
  <c r="DW215" i="25"/>
  <c r="DW213" i="25"/>
  <c r="DZ213" i="25" s="1"/>
  <c r="DW214" i="25"/>
  <c r="DZ214" i="25" s="1"/>
  <c r="DW81" i="25"/>
  <c r="DW210" i="25"/>
  <c r="DZ210" i="25" s="1"/>
  <c r="DW217" i="25"/>
  <c r="DX217" i="25" s="1"/>
  <c r="DW204" i="25"/>
  <c r="DX204" i="25" s="1"/>
  <c r="DW58" i="25"/>
  <c r="DW216" i="25"/>
  <c r="DZ216" i="25" s="1"/>
  <c r="DW208" i="25"/>
  <c r="DX208" i="25" s="1"/>
  <c r="DW12" i="25"/>
  <c r="DW19" i="25"/>
  <c r="DX19" i="25" s="1"/>
  <c r="DW24" i="25"/>
  <c r="DX24" i="25" s="1"/>
  <c r="DW42" i="25"/>
  <c r="DZ42" i="25" s="1"/>
  <c r="DW57" i="25"/>
  <c r="DX57" i="25" s="1"/>
  <c r="DW59" i="25"/>
  <c r="DW61" i="25"/>
  <c r="DZ61" i="25" s="1"/>
  <c r="DW67" i="25"/>
  <c r="DZ67" i="25" s="1"/>
  <c r="DW207" i="25"/>
  <c r="DW211" i="25"/>
  <c r="DX211" i="25" s="1"/>
  <c r="DY212" i="25"/>
  <c r="DY209" i="25"/>
  <c r="DY39" i="25"/>
  <c r="DY60" i="25"/>
  <c r="DY205" i="25"/>
  <c r="DY206" i="25"/>
  <c r="DY215" i="25"/>
  <c r="DY213" i="25"/>
  <c r="DY214" i="25"/>
  <c r="DY81" i="25"/>
  <c r="DY210" i="25"/>
  <c r="DY217" i="25"/>
  <c r="DY204" i="25"/>
  <c r="DY58" i="25"/>
  <c r="DY216" i="25"/>
  <c r="DY208" i="25"/>
  <c r="DY12" i="25"/>
  <c r="DY19" i="25"/>
  <c r="DY24" i="25"/>
  <c r="DY42" i="25"/>
  <c r="DY57" i="25"/>
  <c r="DY59" i="25"/>
  <c r="DY61" i="25"/>
  <c r="DY67" i="25"/>
  <c r="DY207" i="25"/>
  <c r="DY211" i="25"/>
  <c r="EA212" i="25"/>
  <c r="EA209" i="25"/>
  <c r="EA39" i="25"/>
  <c r="EA60" i="25"/>
  <c r="EA205" i="25"/>
  <c r="EA206" i="25"/>
  <c r="EA215" i="25"/>
  <c r="EA213" i="25"/>
  <c r="EA214" i="25"/>
  <c r="EA81" i="25"/>
  <c r="EA210" i="25"/>
  <c r="EA217" i="25"/>
  <c r="EA204" i="25"/>
  <c r="EA58" i="25"/>
  <c r="EA216" i="25"/>
  <c r="EA208" i="25"/>
  <c r="EA12" i="25"/>
  <c r="EA19" i="25"/>
  <c r="EA24" i="25"/>
  <c r="EA42" i="25"/>
  <c r="EA57" i="25"/>
  <c r="EA59" i="25"/>
  <c r="EA61" i="25"/>
  <c r="EA67" i="25"/>
  <c r="EA207" i="25"/>
  <c r="EA211" i="25"/>
  <c r="EB212" i="25"/>
  <c r="EB209" i="25"/>
  <c r="EB39" i="25"/>
  <c r="EB60" i="25"/>
  <c r="EB205" i="25"/>
  <c r="EB206" i="25"/>
  <c r="EB215" i="25"/>
  <c r="EB213" i="25"/>
  <c r="EB214" i="25"/>
  <c r="EB81" i="25"/>
  <c r="EB210" i="25"/>
  <c r="EB217" i="25"/>
  <c r="EB204" i="25"/>
  <c r="EB58" i="25"/>
  <c r="EB216" i="25"/>
  <c r="EB208" i="25"/>
  <c r="EB12" i="25"/>
  <c r="EB19" i="25"/>
  <c r="EB24" i="25"/>
  <c r="EB42" i="25"/>
  <c r="EB57" i="25"/>
  <c r="EB59" i="25"/>
  <c r="EB61" i="25"/>
  <c r="EB67" i="25"/>
  <c r="EB207" i="25"/>
  <c r="EB211" i="25"/>
  <c r="EC212" i="25"/>
  <c r="EC209" i="25"/>
  <c r="EC39" i="25"/>
  <c r="EC60" i="25"/>
  <c r="EC205" i="25"/>
  <c r="EC206" i="25"/>
  <c r="EC215" i="25"/>
  <c r="EC213" i="25"/>
  <c r="EC214" i="25"/>
  <c r="EC81" i="25"/>
  <c r="EC210" i="25"/>
  <c r="EC217" i="25"/>
  <c r="EC204" i="25"/>
  <c r="EC58" i="25"/>
  <c r="EC216" i="25"/>
  <c r="EC208" i="25"/>
  <c r="EC12" i="25"/>
  <c r="EC19" i="25"/>
  <c r="EC24" i="25"/>
  <c r="EC42" i="25"/>
  <c r="EC57" i="25"/>
  <c r="EC59" i="25"/>
  <c r="EC61" i="25"/>
  <c r="EC67" i="25"/>
  <c r="EC207" i="25"/>
  <c r="EC211" i="25"/>
  <c r="ED212" i="25"/>
  <c r="ED209" i="25"/>
  <c r="ED39" i="25"/>
  <c r="ED60" i="25"/>
  <c r="ED205" i="25"/>
  <c r="ED206" i="25"/>
  <c r="ED215" i="25"/>
  <c r="ED213" i="25"/>
  <c r="ED214" i="25"/>
  <c r="ED81" i="25"/>
  <c r="ED210" i="25"/>
  <c r="ED217" i="25"/>
  <c r="ED204" i="25"/>
  <c r="ED58" i="25"/>
  <c r="ED216" i="25"/>
  <c r="ED208" i="25"/>
  <c r="ED12" i="25"/>
  <c r="ED19" i="25"/>
  <c r="ED24" i="25"/>
  <c r="ED42" i="25"/>
  <c r="ED57" i="25"/>
  <c r="ED59" i="25"/>
  <c r="ED61" i="25"/>
  <c r="ED67" i="25"/>
  <c r="ED207" i="25"/>
  <c r="ED211" i="25"/>
  <c r="EE212" i="25"/>
  <c r="EE209" i="25"/>
  <c r="EE39" i="25"/>
  <c r="EE60" i="25"/>
  <c r="EE205" i="25"/>
  <c r="EE206" i="25"/>
  <c r="EE215" i="25"/>
  <c r="EE213" i="25"/>
  <c r="EE214" i="25"/>
  <c r="EE81" i="25"/>
  <c r="EE210" i="25"/>
  <c r="EE217" i="25"/>
  <c r="EE204" i="25"/>
  <c r="EE58" i="25"/>
  <c r="EE216" i="25"/>
  <c r="EE208" i="25"/>
  <c r="EE12" i="25"/>
  <c r="EE19" i="25"/>
  <c r="EE24" i="25"/>
  <c r="EE42" i="25"/>
  <c r="EE57" i="25"/>
  <c r="EE59" i="25"/>
  <c r="EE61" i="25"/>
  <c r="EE67" i="25"/>
  <c r="EE207" i="25"/>
  <c r="EE211" i="25"/>
  <c r="EI212" i="25"/>
  <c r="EI209" i="25"/>
  <c r="EI39" i="25"/>
  <c r="EI60" i="25"/>
  <c r="EI205" i="25"/>
  <c r="EI206" i="25"/>
  <c r="EI215" i="25"/>
  <c r="EI213" i="25"/>
  <c r="EI214" i="25"/>
  <c r="EI81" i="25"/>
  <c r="EI210" i="25"/>
  <c r="EI217" i="25"/>
  <c r="EI204" i="25"/>
  <c r="EI58" i="25"/>
  <c r="EI216" i="25"/>
  <c r="EI208" i="25"/>
  <c r="EI12" i="25"/>
  <c r="EI19" i="25"/>
  <c r="EI24" i="25"/>
  <c r="EI42" i="25"/>
  <c r="EI57" i="25"/>
  <c r="EI59" i="25"/>
  <c r="EI61" i="25"/>
  <c r="EI67" i="25"/>
  <c r="EI207" i="25"/>
  <c r="EI211" i="25"/>
  <c r="EJ212" i="25"/>
  <c r="EJ209" i="25"/>
  <c r="EJ39" i="25"/>
  <c r="EJ60" i="25"/>
  <c r="EJ205" i="25"/>
  <c r="EJ206" i="25"/>
  <c r="EJ215" i="25"/>
  <c r="EJ213" i="25"/>
  <c r="EJ214" i="25"/>
  <c r="EJ81" i="25"/>
  <c r="EJ210" i="25"/>
  <c r="EJ217" i="25"/>
  <c r="EJ204" i="25"/>
  <c r="EJ58" i="25"/>
  <c r="EJ216" i="25"/>
  <c r="EJ208" i="25"/>
  <c r="EJ12" i="25"/>
  <c r="EJ19" i="25"/>
  <c r="EJ24" i="25"/>
  <c r="EJ42" i="25"/>
  <c r="EJ57" i="25"/>
  <c r="EJ59" i="25"/>
  <c r="EJ61" i="25"/>
  <c r="EJ67" i="25"/>
  <c r="EJ207" i="25"/>
  <c r="EJ211" i="25"/>
  <c r="EK39" i="25"/>
  <c r="DI39" i="25" s="1"/>
  <c r="DJ39" i="25" s="1"/>
  <c r="EK60" i="25"/>
  <c r="EK205" i="25"/>
  <c r="EK206" i="25"/>
  <c r="DE206" i="25" s="1"/>
  <c r="DD206" i="25" s="1"/>
  <c r="DK206" i="25" s="1"/>
  <c r="EK215" i="25"/>
  <c r="DI215" i="25" s="1"/>
  <c r="DJ215" i="25" s="1"/>
  <c r="EK213" i="25"/>
  <c r="EK214" i="25"/>
  <c r="EK81" i="25"/>
  <c r="EK210" i="25"/>
  <c r="DI210" i="25" s="1"/>
  <c r="DJ210" i="25" s="1"/>
  <c r="EK217" i="25"/>
  <c r="DE217" i="25" s="1"/>
  <c r="DD217" i="25" s="1"/>
  <c r="DK217" i="25" s="1"/>
  <c r="EK204" i="25"/>
  <c r="EK58" i="25"/>
  <c r="DI58" i="25" s="1"/>
  <c r="DJ58" i="25" s="1"/>
  <c r="EK216" i="25"/>
  <c r="EK208" i="25"/>
  <c r="DE208" i="25" s="1"/>
  <c r="DD208" i="25" s="1"/>
  <c r="DK208" i="25" s="1"/>
  <c r="EK12" i="25"/>
  <c r="EK19" i="25"/>
  <c r="DI19" i="25" s="1"/>
  <c r="DJ19" i="25" s="1"/>
  <c r="EK24" i="25"/>
  <c r="EK42" i="25"/>
  <c r="EK57" i="25"/>
  <c r="EK59" i="25"/>
  <c r="DI59" i="25" s="1"/>
  <c r="DJ59" i="25" s="1"/>
  <c r="EK61" i="25"/>
  <c r="EK67" i="25"/>
  <c r="DE67" i="25" s="1"/>
  <c r="DD67" i="25" s="1"/>
  <c r="DK67" i="25" s="1"/>
  <c r="EK207" i="25"/>
  <c r="EK211" i="25"/>
  <c r="DI211" i="25" s="1"/>
  <c r="DJ211" i="25" s="1"/>
  <c r="EL39" i="25"/>
  <c r="EL60" i="25"/>
  <c r="EL205" i="25"/>
  <c r="EL206" i="25"/>
  <c r="EL215" i="25"/>
  <c r="EL213" i="25"/>
  <c r="EL214" i="25"/>
  <c r="EL81" i="25"/>
  <c r="EL210" i="25"/>
  <c r="EL217" i="25"/>
  <c r="EL204" i="25"/>
  <c r="EL58" i="25"/>
  <c r="EL216" i="25"/>
  <c r="EL208" i="25"/>
  <c r="EL12" i="25"/>
  <c r="EL19" i="25"/>
  <c r="EL24" i="25"/>
  <c r="EL42" i="25"/>
  <c r="EL57" i="25"/>
  <c r="EL59" i="25"/>
  <c r="EL61" i="25"/>
  <c r="EL67" i="25"/>
  <c r="EL207" i="25"/>
  <c r="EL211" i="25"/>
  <c r="DU212" i="25"/>
  <c r="DU209" i="25"/>
  <c r="EM39" i="25"/>
  <c r="DU39" i="25" s="1"/>
  <c r="EM60" i="25"/>
  <c r="DU60" i="25" s="1"/>
  <c r="EM205" i="25"/>
  <c r="DU205" i="25" s="1"/>
  <c r="EM206" i="25"/>
  <c r="DU206" i="25" s="1"/>
  <c r="EM215" i="25"/>
  <c r="DU215" i="25" s="1"/>
  <c r="EM213" i="25"/>
  <c r="DU213" i="25" s="1"/>
  <c r="EM214" i="25"/>
  <c r="DU214" i="25" s="1"/>
  <c r="EM81" i="25"/>
  <c r="DU81" i="25" s="1"/>
  <c r="EM210" i="25"/>
  <c r="DU210" i="25" s="1"/>
  <c r="EM217" i="25"/>
  <c r="DU217" i="25" s="1"/>
  <c r="EM204" i="25"/>
  <c r="DU204" i="25" s="1"/>
  <c r="EM58" i="25"/>
  <c r="DU58" i="25" s="1"/>
  <c r="EM216" i="25"/>
  <c r="DU216" i="25" s="1"/>
  <c r="EM208" i="25"/>
  <c r="DU208" i="25" s="1"/>
  <c r="EM12" i="25"/>
  <c r="DU12" i="25" s="1"/>
  <c r="EM19" i="25"/>
  <c r="DU19" i="25" s="1"/>
  <c r="EM24" i="25"/>
  <c r="DU24" i="25" s="1"/>
  <c r="EM42" i="25"/>
  <c r="DU42" i="25" s="1"/>
  <c r="EM57" i="25"/>
  <c r="DU57" i="25" s="1"/>
  <c r="EM59" i="25"/>
  <c r="DU59" i="25" s="1"/>
  <c r="EM61" i="25"/>
  <c r="DU61" i="25" s="1"/>
  <c r="EM67" i="25"/>
  <c r="DU67" i="25" s="1"/>
  <c r="EM207" i="25"/>
  <c r="DU207" i="25" s="1"/>
  <c r="EM211" i="25"/>
  <c r="DU211" i="25" s="1"/>
  <c r="EN212" i="25"/>
  <c r="EN209" i="25"/>
  <c r="EN39" i="25"/>
  <c r="EN60" i="25"/>
  <c r="EN205" i="25"/>
  <c r="EN206" i="25"/>
  <c r="EN215" i="25"/>
  <c r="EN213" i="25"/>
  <c r="EN214" i="25"/>
  <c r="EN81" i="25"/>
  <c r="EN210" i="25"/>
  <c r="EN217" i="25"/>
  <c r="EN204" i="25"/>
  <c r="EN58" i="25"/>
  <c r="EN216" i="25"/>
  <c r="EN208" i="25"/>
  <c r="EN12" i="25"/>
  <c r="EN19" i="25"/>
  <c r="EN24" i="25"/>
  <c r="EN42" i="25"/>
  <c r="EN57" i="25"/>
  <c r="EN59" i="25"/>
  <c r="EN61" i="25"/>
  <c r="EN67" i="25"/>
  <c r="EN207" i="25"/>
  <c r="EN211" i="25"/>
  <c r="EO212" i="25"/>
  <c r="EO209" i="25"/>
  <c r="EO39" i="25"/>
  <c r="EO60" i="25"/>
  <c r="EO205" i="25"/>
  <c r="EO206" i="25"/>
  <c r="EO215" i="25"/>
  <c r="EO213" i="25"/>
  <c r="EO214" i="25"/>
  <c r="EO81" i="25"/>
  <c r="EO210" i="25"/>
  <c r="EO217" i="25"/>
  <c r="EO204" i="25"/>
  <c r="EO58" i="25"/>
  <c r="EO216" i="25"/>
  <c r="EO208" i="25"/>
  <c r="EO12" i="25"/>
  <c r="EO19" i="25"/>
  <c r="EO24" i="25"/>
  <c r="EO42" i="25"/>
  <c r="EO57" i="25"/>
  <c r="EO59" i="25"/>
  <c r="EO61" i="25"/>
  <c r="EO67" i="25"/>
  <c r="EO207" i="25"/>
  <c r="EO211" i="25"/>
  <c r="EP212" i="25"/>
  <c r="EP209" i="25"/>
  <c r="EP39" i="25"/>
  <c r="EP60" i="25"/>
  <c r="EP205" i="25"/>
  <c r="EP206" i="25"/>
  <c r="EP215" i="25"/>
  <c r="EP213" i="25"/>
  <c r="EP214" i="25"/>
  <c r="EP81" i="25"/>
  <c r="EP210" i="25"/>
  <c r="EP217" i="25"/>
  <c r="EP204" i="25"/>
  <c r="EP58" i="25"/>
  <c r="EP216" i="25"/>
  <c r="EP208" i="25"/>
  <c r="EP12" i="25"/>
  <c r="EP19" i="25"/>
  <c r="EP24" i="25"/>
  <c r="EP42" i="25"/>
  <c r="EP57" i="25"/>
  <c r="EP59" i="25"/>
  <c r="EP61" i="25"/>
  <c r="EP67" i="25"/>
  <c r="EP207" i="25"/>
  <c r="EP211" i="25"/>
  <c r="EQ212" i="25"/>
  <c r="EQ209" i="25"/>
  <c r="EQ39" i="25"/>
  <c r="EQ60" i="25"/>
  <c r="EQ205" i="25"/>
  <c r="EQ206" i="25"/>
  <c r="EQ215" i="25"/>
  <c r="EQ213" i="25"/>
  <c r="EQ214" i="25"/>
  <c r="EQ81" i="25"/>
  <c r="EQ210" i="25"/>
  <c r="EQ217" i="25"/>
  <c r="EQ204" i="25"/>
  <c r="EQ58" i="25"/>
  <c r="EQ216" i="25"/>
  <c r="EQ208" i="25"/>
  <c r="EQ12" i="25"/>
  <c r="EQ19" i="25"/>
  <c r="EQ24" i="25"/>
  <c r="EQ42" i="25"/>
  <c r="EQ57" i="25"/>
  <c r="EQ59" i="25"/>
  <c r="EQ61" i="25"/>
  <c r="EQ67" i="25"/>
  <c r="EQ207" i="25"/>
  <c r="EQ211" i="25"/>
  <c r="ES212" i="25"/>
  <c r="ES209" i="25"/>
  <c r="ES39" i="25"/>
  <c r="ES60" i="25"/>
  <c r="ES205" i="25"/>
  <c r="ES206" i="25"/>
  <c r="ES215" i="25"/>
  <c r="ES213" i="25"/>
  <c r="ES214" i="25"/>
  <c r="ES81" i="25"/>
  <c r="ES210" i="25"/>
  <c r="ES217" i="25"/>
  <c r="ES204" i="25"/>
  <c r="ES58" i="25"/>
  <c r="ES216" i="25"/>
  <c r="ES208" i="25"/>
  <c r="ES12" i="25"/>
  <c r="ES19" i="25"/>
  <c r="ES24" i="25"/>
  <c r="ES42" i="25"/>
  <c r="ES57" i="25"/>
  <c r="ES59" i="25"/>
  <c r="ES61" i="25"/>
  <c r="ES67" i="25"/>
  <c r="ES207" i="25"/>
  <c r="ES211" i="25"/>
  <c r="ET212" i="25"/>
  <c r="ET209" i="25"/>
  <c r="ET39" i="25"/>
  <c r="ET60" i="25"/>
  <c r="ET205" i="25"/>
  <c r="ET206" i="25"/>
  <c r="ET215" i="25"/>
  <c r="ET213" i="25"/>
  <c r="ET214" i="25"/>
  <c r="ET81" i="25"/>
  <c r="ET210" i="25"/>
  <c r="ET217" i="25"/>
  <c r="ET204" i="25"/>
  <c r="ET58" i="25"/>
  <c r="ET216" i="25"/>
  <c r="ET208" i="25"/>
  <c r="ET12" i="25"/>
  <c r="ET19" i="25"/>
  <c r="ET24" i="25"/>
  <c r="ET42" i="25"/>
  <c r="ET57" i="25"/>
  <c r="ET59" i="25"/>
  <c r="ET61" i="25"/>
  <c r="ET67" i="25"/>
  <c r="ET207" i="25"/>
  <c r="ET211" i="25"/>
  <c r="DE214" i="25" l="1"/>
  <c r="DD214" i="25" s="1"/>
  <c r="DK214" i="25" s="1"/>
  <c r="EG209" i="25"/>
  <c r="DE205" i="25"/>
  <c r="DD205" i="25" s="1"/>
  <c r="DK205" i="25" s="1"/>
  <c r="DE213" i="25"/>
  <c r="DD213" i="25" s="1"/>
  <c r="DK213" i="25" s="1"/>
  <c r="DP214" i="25"/>
  <c r="DQ214" i="25" s="1"/>
  <c r="DR214" i="25" s="1"/>
  <c r="DS214" i="25" s="1"/>
  <c r="EG207" i="25"/>
  <c r="CG61" i="25"/>
  <c r="CG216" i="25"/>
  <c r="CG213" i="25"/>
  <c r="DE61" i="25"/>
  <c r="DD61" i="25" s="1"/>
  <c r="DK61" i="25" s="1"/>
  <c r="DE216" i="25"/>
  <c r="DD216" i="25" s="1"/>
  <c r="DK216" i="25" s="1"/>
  <c r="CG24" i="25"/>
  <c r="CG217" i="25"/>
  <c r="CG60" i="25"/>
  <c r="DE207" i="25"/>
  <c r="DD207" i="25" s="1"/>
  <c r="DK207" i="25" s="1"/>
  <c r="DE12" i="25"/>
  <c r="DD12" i="25" s="1"/>
  <c r="DK12" i="25" s="1"/>
  <c r="DE81" i="25"/>
  <c r="DD81" i="25" s="1"/>
  <c r="DK81" i="25" s="1"/>
  <c r="CP216" i="25"/>
  <c r="CR216" i="25" s="1"/>
  <c r="DE24" i="25"/>
  <c r="DD24" i="25" s="1"/>
  <c r="DK24" i="25" s="1"/>
  <c r="DE60" i="25"/>
  <c r="DD60" i="25" s="1"/>
  <c r="DK60" i="25" s="1"/>
  <c r="EH58" i="25"/>
  <c r="EH215" i="25"/>
  <c r="EG211" i="25"/>
  <c r="CG59" i="25"/>
  <c r="CG58" i="25"/>
  <c r="CG215" i="25"/>
  <c r="CG211" i="25"/>
  <c r="CG19" i="25"/>
  <c r="CG210" i="25"/>
  <c r="CG39" i="25"/>
  <c r="DE42" i="25"/>
  <c r="DD42" i="25" s="1"/>
  <c r="DK42" i="25" s="1"/>
  <c r="DZ19" i="25"/>
  <c r="EH206" i="25"/>
  <c r="DZ24" i="25"/>
  <c r="CQ58" i="25"/>
  <c r="CP210" i="25"/>
  <c r="CR210" i="25" s="1"/>
  <c r="EH207" i="25"/>
  <c r="EH12" i="25"/>
  <c r="EH81" i="25"/>
  <c r="EH209" i="25"/>
  <c r="EG204" i="25"/>
  <c r="EG206" i="25"/>
  <c r="DP12" i="25"/>
  <c r="DQ12" i="25" s="1"/>
  <c r="DR12" i="25" s="1"/>
  <c r="DS12" i="25" s="1"/>
  <c r="CQ24" i="25"/>
  <c r="CP211" i="25"/>
  <c r="CR211" i="25" s="1"/>
  <c r="CP207" i="25"/>
  <c r="CR207" i="25" s="1"/>
  <c r="DP42" i="25"/>
  <c r="DQ42" i="25" s="1"/>
  <c r="DR42" i="25" s="1"/>
  <c r="DS42" i="25" s="1"/>
  <c r="EH208" i="25"/>
  <c r="CQ42" i="25"/>
  <c r="CQ205" i="25"/>
  <c r="CP67" i="25"/>
  <c r="CR67" i="25" s="1"/>
  <c r="DX42" i="25"/>
  <c r="EG215" i="25"/>
  <c r="EF57" i="25"/>
  <c r="EF204" i="25"/>
  <c r="EF206" i="25"/>
  <c r="CQ204" i="25"/>
  <c r="CP81" i="25"/>
  <c r="CR81" i="25" s="1"/>
  <c r="CG204" i="25"/>
  <c r="CG206" i="25"/>
  <c r="CP214" i="25"/>
  <c r="CR214" i="25" s="1"/>
  <c r="EH216" i="25"/>
  <c r="CQ60" i="25"/>
  <c r="DP57" i="25"/>
  <c r="DQ57" i="25" s="1"/>
  <c r="DR57" i="25" s="1"/>
  <c r="DS57" i="25" s="1"/>
  <c r="DP206" i="25"/>
  <c r="DQ206" i="25" s="1"/>
  <c r="DR206" i="25" s="1"/>
  <c r="DS206" i="25" s="1"/>
  <c r="DP207" i="25"/>
  <c r="DQ207" i="25" s="1"/>
  <c r="DR207" i="25" s="1"/>
  <c r="DS207" i="25" s="1"/>
  <c r="DP81" i="25"/>
  <c r="DQ81" i="25" s="1"/>
  <c r="DR81" i="25" s="1"/>
  <c r="DS81" i="25" s="1"/>
  <c r="DP209" i="25"/>
  <c r="DQ209" i="25" s="1"/>
  <c r="DR209" i="25" s="1"/>
  <c r="DS209" i="25" s="1"/>
  <c r="EH57" i="25"/>
  <c r="EG12" i="25"/>
  <c r="EG81" i="25"/>
  <c r="EG208" i="25"/>
  <c r="CG67" i="25"/>
  <c r="CG212" i="25"/>
  <c r="CG42" i="25"/>
  <c r="CG205" i="25"/>
  <c r="EF61" i="25"/>
  <c r="EF213" i="25"/>
  <c r="EF214" i="25"/>
  <c r="CG207" i="25"/>
  <c r="CG12" i="25"/>
  <c r="CG81" i="25"/>
  <c r="CG209" i="25"/>
  <c r="DE57" i="25"/>
  <c r="DD57" i="25" s="1"/>
  <c r="DK57" i="25" s="1"/>
  <c r="DE204" i="25"/>
  <c r="DD204" i="25" s="1"/>
  <c r="DK204" i="25" s="1"/>
  <c r="DX210" i="25"/>
  <c r="DP212" i="25"/>
  <c r="DQ212" i="25" s="1"/>
  <c r="DR212" i="25" s="1"/>
  <c r="DS212" i="25" s="1"/>
  <c r="EH67" i="25"/>
  <c r="EH214" i="25"/>
  <c r="EH212" i="25"/>
  <c r="EG42" i="25"/>
  <c r="EG205" i="25"/>
  <c r="EH24" i="25"/>
  <c r="EH217" i="25"/>
  <c r="EH60" i="25"/>
  <c r="EG61" i="25"/>
  <c r="EG216" i="25"/>
  <c r="EG213" i="25"/>
  <c r="CP61" i="25"/>
  <c r="CR61" i="25" s="1"/>
  <c r="CP213" i="25"/>
  <c r="CR213" i="25" s="1"/>
  <c r="CQ217" i="25"/>
  <c r="EF42" i="25"/>
  <c r="EH61" i="25"/>
  <c r="EH213" i="25"/>
  <c r="EG24" i="25"/>
  <c r="EG217" i="25"/>
  <c r="CQ59" i="25"/>
  <c r="CQ215" i="25"/>
  <c r="CP19" i="25"/>
  <c r="CR19" i="25" s="1"/>
  <c r="CP39" i="25"/>
  <c r="CR39" i="25" s="1"/>
  <c r="CG57" i="25"/>
  <c r="CQ57" i="25"/>
  <c r="CQ206" i="25"/>
  <c r="CP12" i="25"/>
  <c r="CR12" i="25" s="1"/>
  <c r="CP209" i="25"/>
  <c r="CR209" i="25" s="1"/>
  <c r="EF210" i="25"/>
  <c r="CP208" i="25"/>
  <c r="CR208" i="25" s="1"/>
  <c r="CP212" i="25"/>
  <c r="CR212" i="25" s="1"/>
  <c r="EF67" i="25"/>
  <c r="EF208" i="25"/>
  <c r="EF212" i="25"/>
  <c r="DZ208" i="25"/>
  <c r="DX214" i="25"/>
  <c r="DT212" i="25"/>
  <c r="EF216" i="25"/>
  <c r="DX67" i="25"/>
  <c r="DX213" i="25"/>
  <c r="DP205" i="25"/>
  <c r="DQ205" i="25" s="1"/>
  <c r="DR205" i="25" s="1"/>
  <c r="DS205" i="25" s="1"/>
  <c r="DP67" i="25"/>
  <c r="DQ67" i="25" s="1"/>
  <c r="DR67" i="25" s="1"/>
  <c r="DS67" i="25" s="1"/>
  <c r="DP208" i="25"/>
  <c r="DQ208" i="25" s="1"/>
  <c r="DR208" i="25" s="1"/>
  <c r="DS208" i="25" s="1"/>
  <c r="EG60" i="25"/>
  <c r="CG208" i="25"/>
  <c r="CG214" i="25"/>
  <c r="DX61" i="25"/>
  <c r="DX212" i="25"/>
  <c r="DP24" i="25"/>
  <c r="DQ24" i="25" s="1"/>
  <c r="DR24" i="25" s="1"/>
  <c r="DS24" i="25" s="1"/>
  <c r="DP217" i="25"/>
  <c r="DQ217" i="25" s="1"/>
  <c r="DR217" i="25" s="1"/>
  <c r="DS217" i="25" s="1"/>
  <c r="DP60" i="25"/>
  <c r="DQ60" i="25" s="1"/>
  <c r="DR60" i="25" s="1"/>
  <c r="DS60" i="25" s="1"/>
  <c r="DP61" i="25"/>
  <c r="DQ61" i="25" s="1"/>
  <c r="DR61" i="25" s="1"/>
  <c r="DS61" i="25" s="1"/>
  <c r="DP216" i="25"/>
  <c r="DQ216" i="25" s="1"/>
  <c r="DR216" i="25" s="1"/>
  <c r="DS216" i="25" s="1"/>
  <c r="DP213" i="25"/>
  <c r="DQ213" i="25" s="1"/>
  <c r="DR213" i="25" s="1"/>
  <c r="DS213" i="25" s="1"/>
  <c r="EH59" i="25"/>
  <c r="EG19" i="25"/>
  <c r="EG210" i="25"/>
  <c r="EG39" i="25"/>
  <c r="CQ211" i="25"/>
  <c r="CQ19" i="25"/>
  <c r="CQ210" i="25"/>
  <c r="CQ39" i="25"/>
  <c r="CP59" i="25"/>
  <c r="CR59" i="25" s="1"/>
  <c r="CP58" i="25"/>
  <c r="CR58" i="25" s="1"/>
  <c r="CP215" i="25"/>
  <c r="CR215" i="25" s="1"/>
  <c r="DP211" i="25"/>
  <c r="DQ211" i="25" s="1"/>
  <c r="DR211" i="25" s="1"/>
  <c r="DS211" i="25" s="1"/>
  <c r="DP39" i="25"/>
  <c r="DQ39" i="25" s="1"/>
  <c r="DR39" i="25" s="1"/>
  <c r="DS39" i="25" s="1"/>
  <c r="EH211" i="25"/>
  <c r="EH19" i="25"/>
  <c r="EH210" i="25"/>
  <c r="EH39" i="25"/>
  <c r="EG59" i="25"/>
  <c r="EG58" i="25"/>
  <c r="EH204" i="25"/>
  <c r="CQ207" i="25"/>
  <c r="CQ12" i="25"/>
  <c r="CQ81" i="25"/>
  <c r="CQ209" i="25"/>
  <c r="CP57" i="25"/>
  <c r="CR57" i="25" s="1"/>
  <c r="CP204" i="25"/>
  <c r="CR204" i="25" s="1"/>
  <c r="CP206" i="25"/>
  <c r="CR206" i="25" s="1"/>
  <c r="EF205" i="25"/>
  <c r="DZ57" i="25"/>
  <c r="DP204" i="25"/>
  <c r="DQ204" i="25" s="1"/>
  <c r="DR204" i="25" s="1"/>
  <c r="DS204" i="25" s="1"/>
  <c r="EG57" i="25"/>
  <c r="EH42" i="25"/>
  <c r="EH205" i="25"/>
  <c r="EG67" i="25"/>
  <c r="EG214" i="25"/>
  <c r="EG212" i="25"/>
  <c r="CQ67" i="25"/>
  <c r="CQ208" i="25"/>
  <c r="CQ214" i="25"/>
  <c r="CQ212" i="25"/>
  <c r="CP42" i="25"/>
  <c r="CR42" i="25" s="1"/>
  <c r="CP205" i="25"/>
  <c r="CR205" i="25" s="1"/>
  <c r="EF24" i="25"/>
  <c r="EF217" i="25"/>
  <c r="EF60" i="25"/>
  <c r="DX216" i="25"/>
  <c r="CQ61" i="25"/>
  <c r="CQ216" i="25"/>
  <c r="CQ213" i="25"/>
  <c r="CP24" i="25"/>
  <c r="CR24" i="25" s="1"/>
  <c r="CP217" i="25"/>
  <c r="CR217" i="25" s="1"/>
  <c r="CP60" i="25"/>
  <c r="CR60" i="25" s="1"/>
  <c r="EF19" i="25"/>
  <c r="DZ206" i="25"/>
  <c r="DE59" i="25"/>
  <c r="DD59" i="25" s="1"/>
  <c r="DK59" i="25" s="1"/>
  <c r="DE58" i="25"/>
  <c r="DD58" i="25" s="1"/>
  <c r="DK58" i="25" s="1"/>
  <c r="DE215" i="25"/>
  <c r="DD215" i="25" s="1"/>
  <c r="DK215" i="25" s="1"/>
  <c r="EF211" i="25"/>
  <c r="EF39" i="25"/>
  <c r="DZ211" i="25"/>
  <c r="DZ205" i="25"/>
  <c r="DT206" i="25"/>
  <c r="DZ204" i="25"/>
  <c r="DZ60" i="25"/>
  <c r="DT205" i="25"/>
  <c r="DZ39" i="25"/>
  <c r="DT57" i="25"/>
  <c r="DT60" i="25"/>
  <c r="DP59" i="25"/>
  <c r="DQ59" i="25" s="1"/>
  <c r="DR59" i="25" s="1"/>
  <c r="DS59" i="25" s="1"/>
  <c r="DP58" i="25"/>
  <c r="DQ58" i="25" s="1"/>
  <c r="DR58" i="25" s="1"/>
  <c r="DS58" i="25" s="1"/>
  <c r="DP215" i="25"/>
  <c r="DQ215" i="25" s="1"/>
  <c r="DR215" i="25" s="1"/>
  <c r="DS215" i="25" s="1"/>
  <c r="DP19" i="25"/>
  <c r="DQ19" i="25" s="1"/>
  <c r="DR19" i="25" s="1"/>
  <c r="DS19" i="25" s="1"/>
  <c r="DP210" i="25"/>
  <c r="DQ210" i="25" s="1"/>
  <c r="DR210" i="25" s="1"/>
  <c r="DS210" i="25" s="1"/>
  <c r="EF12" i="25"/>
  <c r="DZ217" i="25"/>
  <c r="DE211" i="25"/>
  <c r="DD211" i="25" s="1"/>
  <c r="DK211" i="25" s="1"/>
  <c r="DE19" i="25"/>
  <c r="DD19" i="25" s="1"/>
  <c r="DK19" i="25" s="1"/>
  <c r="DE210" i="25"/>
  <c r="DD210" i="25" s="1"/>
  <c r="DK210" i="25" s="1"/>
  <c r="DE39" i="25"/>
  <c r="DD39" i="25" s="1"/>
  <c r="DK39" i="25" s="1"/>
  <c r="EF81" i="25"/>
  <c r="EF209" i="25"/>
  <c r="DF204" i="25"/>
  <c r="DI204" i="25"/>
  <c r="DJ204" i="25" s="1"/>
  <c r="DF60" i="25"/>
  <c r="DI60" i="25"/>
  <c r="DJ60" i="25" s="1"/>
  <c r="EF207" i="25"/>
  <c r="DF211" i="25"/>
  <c r="DF57" i="25"/>
  <c r="DI57" i="25"/>
  <c r="DJ57" i="25" s="1"/>
  <c r="DF205" i="25"/>
  <c r="DI205" i="25"/>
  <c r="DJ205" i="25" s="1"/>
  <c r="DF24" i="25"/>
  <c r="DI24" i="25"/>
  <c r="DJ24" i="25" s="1"/>
  <c r="DI207" i="25"/>
  <c r="DJ207" i="25" s="1"/>
  <c r="DF207" i="25"/>
  <c r="DI12" i="25"/>
  <c r="DJ12" i="25" s="1"/>
  <c r="DF12" i="25"/>
  <c r="DI81" i="25"/>
  <c r="DJ81" i="25" s="1"/>
  <c r="DF81" i="25"/>
  <c r="DI209" i="25"/>
  <c r="DJ209" i="25" s="1"/>
  <c r="DF209" i="25"/>
  <c r="DX207" i="25"/>
  <c r="DZ207" i="25"/>
  <c r="DX12" i="25"/>
  <c r="DZ12" i="25"/>
  <c r="DX81" i="25"/>
  <c r="DZ81" i="25"/>
  <c r="DX209" i="25"/>
  <c r="DZ209" i="25"/>
  <c r="DF19" i="25"/>
  <c r="DF206" i="25"/>
  <c r="DI206" i="25"/>
  <c r="DJ206" i="25" s="1"/>
  <c r="DI67" i="25"/>
  <c r="DJ67" i="25" s="1"/>
  <c r="DF67" i="25"/>
  <c r="DI208" i="25"/>
  <c r="DJ208" i="25" s="1"/>
  <c r="DF208" i="25"/>
  <c r="DI214" i="25"/>
  <c r="DJ214" i="25" s="1"/>
  <c r="DF214" i="25"/>
  <c r="DI212" i="25"/>
  <c r="DJ212" i="25" s="1"/>
  <c r="DF212" i="25"/>
  <c r="EF59" i="25"/>
  <c r="EF58" i="25"/>
  <c r="EF215" i="25"/>
  <c r="DF210" i="25"/>
  <c r="DF42" i="25"/>
  <c r="DI42" i="25"/>
  <c r="DJ42" i="25" s="1"/>
  <c r="DF217" i="25"/>
  <c r="DI217" i="25"/>
  <c r="DJ217" i="25" s="1"/>
  <c r="DI61" i="25"/>
  <c r="DJ61" i="25" s="1"/>
  <c r="DF61" i="25"/>
  <c r="DI216" i="25"/>
  <c r="DJ216" i="25" s="1"/>
  <c r="DF216" i="25"/>
  <c r="DI213" i="25"/>
  <c r="DJ213" i="25" s="1"/>
  <c r="DF213" i="25"/>
  <c r="DF39" i="25"/>
  <c r="DF59" i="25"/>
  <c r="DF58" i="25"/>
  <c r="DF215" i="25"/>
  <c r="DX59" i="25"/>
  <c r="DZ59" i="25"/>
  <c r="DX58" i="25"/>
  <c r="DZ58" i="25"/>
  <c r="DX215" i="25"/>
  <c r="DZ215" i="25"/>
  <c r="CV42" i="25" l="1"/>
  <c r="CY42" i="25" s="1"/>
  <c r="CZ42" i="25" s="1"/>
  <c r="CS42" i="25"/>
  <c r="CW42" i="25" s="1"/>
  <c r="CX42" i="25" s="1"/>
  <c r="DA42" i="25" s="1"/>
  <c r="CS12" i="25"/>
  <c r="CW12" i="25" s="1"/>
  <c r="CX12" i="25" s="1"/>
  <c r="DA12" i="25" s="1"/>
  <c r="CV12" i="25"/>
  <c r="CY12" i="25" s="1"/>
  <c r="CZ12" i="25" s="1"/>
  <c r="CV60" i="25"/>
  <c r="CY60" i="25" s="1"/>
  <c r="CZ60" i="25" s="1"/>
  <c r="CS60" i="25"/>
  <c r="CW60" i="25" s="1"/>
  <c r="CX60" i="25" s="1"/>
  <c r="DA60" i="25" s="1"/>
  <c r="CS39" i="25"/>
  <c r="CW39" i="25" s="1"/>
  <c r="CX39" i="25" s="1"/>
  <c r="DA39" i="25" s="1"/>
  <c r="CV39" i="25"/>
  <c r="CY39" i="25" s="1"/>
  <c r="CZ39" i="25" s="1"/>
  <c r="CS61" i="25"/>
  <c r="CW61" i="25" s="1"/>
  <c r="CX61" i="25" s="1"/>
  <c r="DA61" i="25" s="1"/>
  <c r="CV61" i="25"/>
  <c r="CY61" i="25" s="1"/>
  <c r="CZ61" i="25" s="1"/>
  <c r="CS210" i="25"/>
  <c r="CW210" i="25" s="1"/>
  <c r="CX210" i="25" s="1"/>
  <c r="DA210" i="25" s="1"/>
  <c r="CV210" i="25"/>
  <c r="CY210" i="25" s="1"/>
  <c r="CZ210" i="25" s="1"/>
  <c r="CS208" i="25"/>
  <c r="CW208" i="25" s="1"/>
  <c r="CX208" i="25" s="1"/>
  <c r="DA208" i="25" s="1"/>
  <c r="CV208" i="25"/>
  <c r="CY208" i="25" s="1"/>
  <c r="CZ208" i="25" s="1"/>
  <c r="CV206" i="25"/>
  <c r="CY206" i="25" s="1"/>
  <c r="CZ206" i="25" s="1"/>
  <c r="CS206" i="25"/>
  <c r="CW206" i="25" s="1"/>
  <c r="CX206" i="25" s="1"/>
  <c r="DA206" i="25" s="1"/>
  <c r="CS209" i="25"/>
  <c r="CW209" i="25" s="1"/>
  <c r="CX209" i="25" s="1"/>
  <c r="DA209" i="25" s="1"/>
  <c r="CV209" i="25"/>
  <c r="CY209" i="25" s="1"/>
  <c r="CZ209" i="25" s="1"/>
  <c r="CV205" i="25"/>
  <c r="CY205" i="25" s="1"/>
  <c r="CZ205" i="25" s="1"/>
  <c r="CS205" i="25"/>
  <c r="CW205" i="25" s="1"/>
  <c r="CX205" i="25" s="1"/>
  <c r="DA205" i="25" s="1"/>
  <c r="CV215" i="25"/>
  <c r="CY215" i="25" s="1"/>
  <c r="CZ215" i="25" s="1"/>
  <c r="CS215" i="25"/>
  <c r="CW215" i="25" s="1"/>
  <c r="CX215" i="25" s="1"/>
  <c r="DA215" i="25" s="1"/>
  <c r="CS213" i="25"/>
  <c r="CW213" i="25" s="1"/>
  <c r="CX213" i="25" s="1"/>
  <c r="DA213" i="25" s="1"/>
  <c r="CV213" i="25"/>
  <c r="CY213" i="25" s="1"/>
  <c r="CZ213" i="25" s="1"/>
  <c r="CS19" i="25"/>
  <c r="CW19" i="25" s="1"/>
  <c r="CX19" i="25" s="1"/>
  <c r="DA19" i="25" s="1"/>
  <c r="CV19" i="25"/>
  <c r="CY19" i="25" s="1"/>
  <c r="CZ19" i="25" s="1"/>
  <c r="CS207" i="25"/>
  <c r="CW207" i="25" s="1"/>
  <c r="CX207" i="25" s="1"/>
  <c r="DA207" i="25" s="1"/>
  <c r="CV207" i="25"/>
  <c r="CY207" i="25" s="1"/>
  <c r="CZ207" i="25" s="1"/>
  <c r="CS212" i="25"/>
  <c r="CW212" i="25" s="1"/>
  <c r="CX212" i="25" s="1"/>
  <c r="DA212" i="25" s="1"/>
  <c r="CV212" i="25"/>
  <c r="CY212" i="25" s="1"/>
  <c r="CZ212" i="25" s="1"/>
  <c r="CV58" i="25"/>
  <c r="CY58" i="25" s="1"/>
  <c r="CZ58" i="25" s="1"/>
  <c r="CS58" i="25"/>
  <c r="CW58" i="25" s="1"/>
  <c r="CX58" i="25" s="1"/>
  <c r="DA58" i="25" s="1"/>
  <c r="CV217" i="25"/>
  <c r="CY217" i="25" s="1"/>
  <c r="CZ217" i="25" s="1"/>
  <c r="CS217" i="25"/>
  <c r="CW217" i="25" s="1"/>
  <c r="CX217" i="25" s="1"/>
  <c r="DA217" i="25" s="1"/>
  <c r="CS67" i="25"/>
  <c r="CW67" i="25" s="1"/>
  <c r="CX67" i="25" s="1"/>
  <c r="DA67" i="25" s="1"/>
  <c r="CV67" i="25"/>
  <c r="CY67" i="25" s="1"/>
  <c r="CZ67" i="25" s="1"/>
  <c r="CS81" i="25"/>
  <c r="CW81" i="25" s="1"/>
  <c r="CX81" i="25" s="1"/>
  <c r="DA81" i="25" s="1"/>
  <c r="CV81" i="25"/>
  <c r="CY81" i="25" s="1"/>
  <c r="CZ81" i="25" s="1"/>
  <c r="CV57" i="25"/>
  <c r="CY57" i="25" s="1"/>
  <c r="CZ57" i="25" s="1"/>
  <c r="CS57" i="25"/>
  <c r="CW57" i="25" s="1"/>
  <c r="CX57" i="25" s="1"/>
  <c r="DA57" i="25" s="1"/>
  <c r="CS216" i="25"/>
  <c r="CW216" i="25" s="1"/>
  <c r="CX216" i="25" s="1"/>
  <c r="DA216" i="25" s="1"/>
  <c r="CV216" i="25"/>
  <c r="CY216" i="25" s="1"/>
  <c r="CZ216" i="25" s="1"/>
  <c r="CS211" i="25"/>
  <c r="CW211" i="25" s="1"/>
  <c r="CX211" i="25" s="1"/>
  <c r="DA211" i="25" s="1"/>
  <c r="CV211" i="25"/>
  <c r="CY211" i="25" s="1"/>
  <c r="CZ211" i="25" s="1"/>
  <c r="CV204" i="25"/>
  <c r="CY204" i="25" s="1"/>
  <c r="CZ204" i="25" s="1"/>
  <c r="CS204" i="25"/>
  <c r="CW204" i="25" s="1"/>
  <c r="CX204" i="25" s="1"/>
  <c r="DA204" i="25" s="1"/>
  <c r="CV59" i="25"/>
  <c r="CY59" i="25" s="1"/>
  <c r="CZ59" i="25" s="1"/>
  <c r="CS59" i="25"/>
  <c r="CW59" i="25" s="1"/>
  <c r="CX59" i="25" s="1"/>
  <c r="DA59" i="25" s="1"/>
  <c r="CS214" i="25"/>
  <c r="CW214" i="25" s="1"/>
  <c r="CX214" i="25" s="1"/>
  <c r="DA214" i="25" s="1"/>
  <c r="CV214" i="25"/>
  <c r="CY214" i="25" s="1"/>
  <c r="CZ214" i="25" s="1"/>
  <c r="CV24" i="25"/>
  <c r="CY24" i="25" s="1"/>
  <c r="CZ24" i="25" s="1"/>
  <c r="CS24" i="25"/>
  <c r="CW24" i="25" s="1"/>
  <c r="CX24" i="25" s="1"/>
  <c r="DA24" i="25" s="1"/>
  <c r="EQ198" i="25" l="1"/>
  <c r="EP198" i="25"/>
  <c r="EO198" i="25"/>
  <c r="EN198" i="25"/>
  <c r="EM198" i="25"/>
  <c r="DU198" i="25" s="1"/>
  <c r="EL198" i="25"/>
  <c r="EK198" i="25"/>
  <c r="DI198" i="25" s="1"/>
  <c r="DJ198" i="25" s="1"/>
  <c r="EJ198" i="25"/>
  <c r="EI198" i="25"/>
  <c r="EE198" i="25"/>
  <c r="ED198" i="25"/>
  <c r="EC198" i="25"/>
  <c r="EB198" i="25"/>
  <c r="EA198" i="25"/>
  <c r="DY198" i="25"/>
  <c r="DW198" i="25"/>
  <c r="DZ198" i="25" s="1"/>
  <c r="DV198" i="25"/>
  <c r="DO198" i="25"/>
  <c r="DN198" i="25"/>
  <c r="DM198" i="25"/>
  <c r="DT198" i="25" s="1"/>
  <c r="DL198" i="25"/>
  <c r="DH198" i="25"/>
  <c r="DG198" i="25"/>
  <c r="DC198" i="25"/>
  <c r="DB198" i="25"/>
  <c r="CT198" i="25"/>
  <c r="CU198" i="25" s="1"/>
  <c r="CN198" i="25"/>
  <c r="CM198" i="25"/>
  <c r="CL198" i="25"/>
  <c r="CK198" i="25"/>
  <c r="CJ198" i="25"/>
  <c r="CI198" i="25"/>
  <c r="CH198" i="25"/>
  <c r="CF198" i="25"/>
  <c r="CE198" i="25"/>
  <c r="D136" i="92"/>
  <c r="D131" i="92"/>
  <c r="D132" i="92"/>
  <c r="C135" i="92"/>
  <c r="M61" i="92"/>
  <c r="D134" i="92"/>
  <c r="D133" i="92"/>
  <c r="AA59" i="92"/>
  <c r="G131" i="92"/>
  <c r="D135" i="92"/>
  <c r="C131" i="92"/>
  <c r="C137" i="92"/>
  <c r="C133" i="92"/>
  <c r="C136" i="92"/>
  <c r="G130" i="92"/>
  <c r="D137" i="92"/>
  <c r="L61" i="92"/>
  <c r="Z66" i="92"/>
  <c r="L70" i="92"/>
  <c r="M70" i="92"/>
  <c r="Z59" i="92"/>
  <c r="C132" i="92"/>
  <c r="C134" i="92"/>
  <c r="AA66" i="92"/>
  <c r="J53" i="92"/>
  <c r="EG198" i="25" l="1"/>
  <c r="CG198" i="25"/>
  <c r="EH198" i="25"/>
  <c r="CQ198" i="25"/>
  <c r="CP198" i="25"/>
  <c r="CR198" i="25" s="1"/>
  <c r="CS198" i="25" s="1"/>
  <c r="CW198" i="25" s="1"/>
  <c r="CX198" i="25" s="1"/>
  <c r="DA198" i="25" s="1"/>
  <c r="DP198" i="25"/>
  <c r="DQ198" i="25" s="1"/>
  <c r="DR198" i="25" s="1"/>
  <c r="DS198" i="25" s="1"/>
  <c r="EF198" i="25"/>
  <c r="DE198" i="25"/>
  <c r="DD198" i="25" s="1"/>
  <c r="DK198" i="25" s="1"/>
  <c r="DF198" i="25"/>
  <c r="DX198" i="25"/>
  <c r="CV198" i="25" l="1"/>
  <c r="CY198" i="25" s="1"/>
  <c r="CZ198" i="25" s="1"/>
  <c r="D267" i="89"/>
  <c r="D268" i="89"/>
  <c r="D269" i="89"/>
  <c r="D270" i="89"/>
  <c r="D271" i="89"/>
  <c r="D272" i="89"/>
  <c r="R255" i="89"/>
  <c r="R256" i="89"/>
  <c r="R257" i="89"/>
  <c r="R258" i="89"/>
  <c r="R259" i="89"/>
  <c r="R260" i="89"/>
  <c r="D255" i="89"/>
  <c r="D256" i="89"/>
  <c r="D257" i="89"/>
  <c r="D258" i="89"/>
  <c r="D259" i="89"/>
  <c r="D260" i="89"/>
  <c r="R243" i="89"/>
  <c r="R244" i="89"/>
  <c r="R232" i="89"/>
  <c r="R233" i="89"/>
  <c r="D232" i="89"/>
  <c r="D233" i="89"/>
  <c r="D218" i="89"/>
  <c r="D219" i="89"/>
  <c r="D202" i="89"/>
  <c r="D203" i="89"/>
  <c r="AG43" i="89" l="1"/>
  <c r="AF43" i="89"/>
  <c r="AE43" i="89"/>
  <c r="AD43" i="89"/>
  <c r="AC43" i="89"/>
  <c r="EQ203" i="25" l="1"/>
  <c r="EQ202" i="25"/>
  <c r="EQ90" i="25"/>
  <c r="EQ200" i="25"/>
  <c r="EQ199" i="25"/>
  <c r="EQ197" i="25"/>
  <c r="EQ196" i="25"/>
  <c r="EQ195" i="25"/>
  <c r="EQ194" i="25"/>
  <c r="EQ193" i="25"/>
  <c r="EQ192" i="25"/>
  <c r="EQ191" i="25"/>
  <c r="EQ190" i="25"/>
  <c r="EQ189" i="25"/>
  <c r="EQ188" i="25"/>
  <c r="EQ187" i="25"/>
  <c r="EQ186" i="25"/>
  <c r="EQ185" i="25"/>
  <c r="EQ89" i="25"/>
  <c r="EQ183" i="25"/>
  <c r="EQ182" i="25"/>
  <c r="EQ181" i="25"/>
  <c r="EQ180" i="25"/>
  <c r="EQ179" i="25"/>
  <c r="EQ178" i="25"/>
  <c r="EQ177" i="25"/>
  <c r="EQ176" i="25"/>
  <c r="EQ175" i="25"/>
  <c r="EQ184" i="25"/>
  <c r="EQ173" i="25"/>
  <c r="EQ172" i="25"/>
  <c r="EQ171" i="25"/>
  <c r="EQ170" i="25"/>
  <c r="EQ169" i="25"/>
  <c r="EQ168" i="25"/>
  <c r="EQ167" i="25"/>
  <c r="EQ166" i="25"/>
  <c r="EQ165" i="25"/>
  <c r="EQ164" i="25"/>
  <c r="EQ163" i="25"/>
  <c r="EQ162" i="25"/>
  <c r="EQ161" i="25"/>
  <c r="EQ160" i="25"/>
  <c r="EQ159" i="25"/>
  <c r="EQ158" i="25"/>
  <c r="EQ157" i="25"/>
  <c r="EQ156" i="25"/>
  <c r="EQ155" i="25"/>
  <c r="EQ154" i="25"/>
  <c r="EQ153" i="25"/>
  <c r="EQ152" i="25"/>
  <c r="EQ151" i="25"/>
  <c r="EQ150" i="25"/>
  <c r="EQ149" i="25"/>
  <c r="EQ148" i="25"/>
  <c r="EQ147" i="25"/>
  <c r="EQ146" i="25"/>
  <c r="EQ145" i="25"/>
  <c r="EQ144" i="25"/>
  <c r="EQ143" i="25"/>
  <c r="EQ142" i="25"/>
  <c r="EQ141" i="25"/>
  <c r="EQ140" i="25"/>
  <c r="EQ139" i="25"/>
  <c r="EQ138" i="25"/>
  <c r="EQ135" i="25"/>
  <c r="EQ136" i="25"/>
  <c r="EQ137" i="25"/>
  <c r="EQ134" i="25"/>
  <c r="EQ133" i="25"/>
  <c r="EQ132" i="25"/>
  <c r="EQ131" i="25"/>
  <c r="EQ130" i="25"/>
  <c r="EQ129" i="25"/>
  <c r="EQ128" i="25"/>
  <c r="EQ127" i="25"/>
  <c r="EQ126" i="25"/>
  <c r="EQ125" i="25"/>
  <c r="EQ124" i="25"/>
  <c r="EQ123" i="25"/>
  <c r="EQ122" i="25"/>
  <c r="EQ121" i="25"/>
  <c r="EQ120" i="25"/>
  <c r="EQ119" i="25"/>
  <c r="EQ118" i="25"/>
  <c r="EQ117" i="25"/>
  <c r="EQ116" i="25"/>
  <c r="EQ115" i="25"/>
  <c r="EQ114" i="25"/>
  <c r="EQ113" i="25"/>
  <c r="EQ112" i="25"/>
  <c r="EQ111" i="25"/>
  <c r="EQ110" i="25"/>
  <c r="EQ109" i="25"/>
  <c r="EQ108" i="25"/>
  <c r="EQ107" i="25"/>
  <c r="EQ106" i="25"/>
  <c r="EQ105" i="25"/>
  <c r="EQ104" i="25"/>
  <c r="EQ103" i="25"/>
  <c r="EQ102" i="25"/>
  <c r="EQ101" i="25"/>
  <c r="EQ100" i="25"/>
  <c r="EQ99" i="25"/>
  <c r="EQ98" i="25"/>
  <c r="EQ97" i="25"/>
  <c r="EQ96" i="25"/>
  <c r="EQ95" i="25"/>
  <c r="EQ94" i="25"/>
  <c r="EQ93" i="25"/>
  <c r="EQ92" i="25"/>
  <c r="EQ91" i="25"/>
  <c r="EQ201" i="25"/>
  <c r="EQ174" i="25"/>
  <c r="EQ88" i="25"/>
  <c r="EQ87" i="25"/>
  <c r="EQ86" i="25"/>
  <c r="EQ85" i="25"/>
  <c r="EQ84" i="25"/>
  <c r="EQ83" i="25"/>
  <c r="EQ82" i="25"/>
  <c r="EQ80" i="25"/>
  <c r="EQ79" i="25"/>
  <c r="EQ78" i="25"/>
  <c r="EQ77" i="25"/>
  <c r="EQ76" i="25"/>
  <c r="EQ75" i="25"/>
  <c r="EQ74" i="25"/>
  <c r="EQ73" i="25"/>
  <c r="EQ72" i="25"/>
  <c r="EQ71" i="25"/>
  <c r="EQ70" i="25"/>
  <c r="EQ69" i="25"/>
  <c r="EQ68" i="25"/>
  <c r="EQ66" i="25"/>
  <c r="EQ65" i="25"/>
  <c r="EQ64" i="25"/>
  <c r="EQ63" i="25"/>
  <c r="EQ62" i="25"/>
  <c r="EQ218" i="25"/>
  <c r="EQ56" i="25"/>
  <c r="EQ55" i="25"/>
  <c r="EQ54" i="25"/>
  <c r="EQ53" i="25"/>
  <c r="EQ52" i="25"/>
  <c r="EQ51" i="25"/>
  <c r="EQ50" i="25"/>
  <c r="EQ49" i="25"/>
  <c r="EQ48" i="25"/>
  <c r="EQ47" i="25"/>
  <c r="EQ46" i="25"/>
  <c r="EQ45" i="25"/>
  <c r="EQ44" i="25"/>
  <c r="EQ43" i="25"/>
  <c r="EQ41" i="25"/>
  <c r="EQ40" i="25"/>
  <c r="EQ27" i="25"/>
  <c r="EQ219" i="25"/>
  <c r="EQ38" i="25"/>
  <c r="EQ37" i="25"/>
  <c r="EQ36" i="25"/>
  <c r="EQ35" i="25"/>
  <c r="EQ34" i="25"/>
  <c r="EQ33" i="25"/>
  <c r="EQ32" i="25"/>
  <c r="EQ31" i="25"/>
  <c r="EQ30" i="25"/>
  <c r="EQ29" i="25"/>
  <c r="EQ28" i="25"/>
  <c r="EQ26" i="25"/>
  <c r="EQ25" i="25"/>
  <c r="EQ23" i="25"/>
  <c r="EQ22" i="25"/>
  <c r="EQ21" i="25"/>
  <c r="EQ20" i="25"/>
  <c r="EQ18" i="25"/>
  <c r="EQ17" i="25"/>
  <c r="EQ15" i="25"/>
  <c r="EQ14" i="25"/>
  <c r="EQ13" i="25"/>
  <c r="EQ11" i="25"/>
  <c r="EQ10" i="25"/>
  <c r="EQ9" i="25"/>
  <c r="EQ8" i="25"/>
  <c r="EQ7" i="25"/>
  <c r="EE7" i="25" l="1"/>
  <c r="EE8" i="25"/>
  <c r="EE9" i="25"/>
  <c r="EE10" i="25"/>
  <c r="EE11" i="25"/>
  <c r="EE13" i="25"/>
  <c r="EE14" i="25"/>
  <c r="EE15" i="25"/>
  <c r="EE16" i="25"/>
  <c r="EE17" i="25"/>
  <c r="EE18" i="25"/>
  <c r="EE20" i="25"/>
  <c r="EE21" i="25"/>
  <c r="EE22" i="25"/>
  <c r="EE23" i="25"/>
  <c r="EE25" i="25"/>
  <c r="EE26" i="25"/>
  <c r="EE28" i="25"/>
  <c r="EE29" i="25"/>
  <c r="EE30" i="25"/>
  <c r="EE31" i="25"/>
  <c r="EE32" i="25"/>
  <c r="EE33" i="25"/>
  <c r="EE34" i="25"/>
  <c r="EE35" i="25"/>
  <c r="EE36" i="25"/>
  <c r="EE37" i="25"/>
  <c r="EE38" i="25"/>
  <c r="EE219" i="25"/>
  <c r="EE27" i="25"/>
  <c r="EE40" i="25"/>
  <c r="EE41" i="25"/>
  <c r="EE43" i="25"/>
  <c r="EE44" i="25"/>
  <c r="EE45" i="25"/>
  <c r="EE46" i="25"/>
  <c r="EE47" i="25"/>
  <c r="EE48" i="25"/>
  <c r="EE49" i="25"/>
  <c r="EE50" i="25"/>
  <c r="EE51" i="25"/>
  <c r="EE52" i="25"/>
  <c r="EE53" i="25"/>
  <c r="EE54" i="25"/>
  <c r="EE55" i="25"/>
  <c r="EE56" i="25"/>
  <c r="EE218" i="25"/>
  <c r="EE62" i="25"/>
  <c r="EE63" i="25"/>
  <c r="EE64" i="25"/>
  <c r="EE65" i="25"/>
  <c r="EE66" i="25"/>
  <c r="EE68" i="25"/>
  <c r="EE69" i="25"/>
  <c r="EE70" i="25"/>
  <c r="EE71" i="25"/>
  <c r="EE72" i="25"/>
  <c r="EE73" i="25"/>
  <c r="EE74" i="25"/>
  <c r="EE75" i="25"/>
  <c r="EE76" i="25"/>
  <c r="EE77" i="25"/>
  <c r="EE78" i="25"/>
  <c r="EE79" i="25"/>
  <c r="EE80" i="25"/>
  <c r="EE82" i="25"/>
  <c r="EE83" i="25"/>
  <c r="EE84" i="25"/>
  <c r="EE85" i="25"/>
  <c r="EE86" i="25"/>
  <c r="EE87" i="25"/>
  <c r="EE88" i="25"/>
  <c r="EE174" i="25"/>
  <c r="EE201" i="25"/>
  <c r="EE91" i="25"/>
  <c r="EE92" i="25"/>
  <c r="EE93" i="25"/>
  <c r="EE94" i="25"/>
  <c r="EE95" i="25"/>
  <c r="EE96" i="25"/>
  <c r="EE97" i="25"/>
  <c r="EE98" i="25"/>
  <c r="EE99" i="25"/>
  <c r="EE100" i="25"/>
  <c r="EE101" i="25"/>
  <c r="EE102" i="25"/>
  <c r="EE103" i="25"/>
  <c r="EE104" i="25"/>
  <c r="EE105" i="25"/>
  <c r="EE106" i="25"/>
  <c r="EE107" i="25"/>
  <c r="EE108" i="25"/>
  <c r="EE109" i="25"/>
  <c r="EE110" i="25"/>
  <c r="EE111" i="25"/>
  <c r="EE112" i="25"/>
  <c r="EE113" i="25"/>
  <c r="EE114" i="25"/>
  <c r="EE115" i="25"/>
  <c r="EE116" i="25"/>
  <c r="EE117" i="25"/>
  <c r="EE118" i="25"/>
  <c r="EE119" i="25"/>
  <c r="EE120" i="25"/>
  <c r="EE121" i="25"/>
  <c r="EE122" i="25"/>
  <c r="EE123" i="25"/>
  <c r="EE124" i="25"/>
  <c r="EE125" i="25"/>
  <c r="EE126" i="25"/>
  <c r="EE127" i="25"/>
  <c r="EE128" i="25"/>
  <c r="EE129" i="25"/>
  <c r="EE130" i="25"/>
  <c r="EE131" i="25"/>
  <c r="EE132" i="25"/>
  <c r="EE133" i="25"/>
  <c r="EE134" i="25"/>
  <c r="EE137" i="25"/>
  <c r="EE136" i="25"/>
  <c r="EE135" i="25"/>
  <c r="EE138" i="25"/>
  <c r="EE139" i="25"/>
  <c r="EE140" i="25"/>
  <c r="EE141" i="25"/>
  <c r="EE142" i="25"/>
  <c r="EE143" i="25"/>
  <c r="EE144" i="25"/>
  <c r="EE145" i="25"/>
  <c r="EE146" i="25"/>
  <c r="EE147" i="25"/>
  <c r="EE148" i="25"/>
  <c r="EE149" i="25"/>
  <c r="EE150" i="25"/>
  <c r="EE151" i="25"/>
  <c r="EE152" i="25"/>
  <c r="EE153" i="25"/>
  <c r="EE154" i="25"/>
  <c r="EE155" i="25"/>
  <c r="EE156" i="25"/>
  <c r="EE157" i="25"/>
  <c r="EE158" i="25"/>
  <c r="EE159" i="25"/>
  <c r="EE160" i="25"/>
  <c r="EE161" i="25"/>
  <c r="EE162" i="25"/>
  <c r="EE163" i="25"/>
  <c r="EE164" i="25"/>
  <c r="EE165" i="25"/>
  <c r="EE166" i="25"/>
  <c r="EE167" i="25"/>
  <c r="EE168" i="25"/>
  <c r="EE169" i="25"/>
  <c r="EE170" i="25"/>
  <c r="EE171" i="25"/>
  <c r="EE172" i="25"/>
  <c r="EE173" i="25"/>
  <c r="EE184" i="25"/>
  <c r="EE175" i="25"/>
  <c r="EE176" i="25"/>
  <c r="EE177" i="25"/>
  <c r="EE178" i="25"/>
  <c r="EE179" i="25"/>
  <c r="EE180" i="25"/>
  <c r="EE181" i="25"/>
  <c r="EE182" i="25"/>
  <c r="EE183" i="25"/>
  <c r="EE89" i="25"/>
  <c r="EE185" i="25"/>
  <c r="EE186" i="25"/>
  <c r="EE187" i="25"/>
  <c r="EE188" i="25"/>
  <c r="EE189" i="25"/>
  <c r="EE190" i="25"/>
  <c r="EE191" i="25"/>
  <c r="EE192" i="25"/>
  <c r="EE193" i="25"/>
  <c r="EE194" i="25"/>
  <c r="EE195" i="25"/>
  <c r="EE196" i="25"/>
  <c r="EE197" i="25"/>
  <c r="EE199" i="25"/>
  <c r="EE200" i="25"/>
  <c r="EE90" i="25"/>
  <c r="EE202" i="25"/>
  <c r="EE203" i="25"/>
  <c r="ED7" i="25"/>
  <c r="ED8" i="25"/>
  <c r="ED9" i="25"/>
  <c r="ED10" i="25"/>
  <c r="ED11" i="25"/>
  <c r="ED13" i="25"/>
  <c r="ED14" i="25"/>
  <c r="ED15" i="25"/>
  <c r="ED16" i="25"/>
  <c r="ED17" i="25"/>
  <c r="ED18" i="25"/>
  <c r="ED20" i="25"/>
  <c r="ED21" i="25"/>
  <c r="ED22" i="25"/>
  <c r="ED23" i="25"/>
  <c r="ED25" i="25"/>
  <c r="ED26" i="25"/>
  <c r="ED28" i="25"/>
  <c r="ED29" i="25"/>
  <c r="ED30" i="25"/>
  <c r="ED31" i="25"/>
  <c r="ED32" i="25"/>
  <c r="ED33" i="25"/>
  <c r="ED34" i="25"/>
  <c r="ED35" i="25"/>
  <c r="ED36" i="25"/>
  <c r="ED37" i="25"/>
  <c r="ED38" i="25"/>
  <c r="ED219" i="25"/>
  <c r="ED27" i="25"/>
  <c r="ED40" i="25"/>
  <c r="ED41" i="25"/>
  <c r="ED43" i="25"/>
  <c r="ED44" i="25"/>
  <c r="ED45" i="25"/>
  <c r="ED46" i="25"/>
  <c r="ED47" i="25"/>
  <c r="ED48" i="25"/>
  <c r="ED49" i="25"/>
  <c r="ED50" i="25"/>
  <c r="ED51" i="25"/>
  <c r="ED52" i="25"/>
  <c r="ED53" i="25"/>
  <c r="ED54" i="25"/>
  <c r="ED55" i="25"/>
  <c r="ED56" i="25"/>
  <c r="ED218" i="25"/>
  <c r="ED62" i="25"/>
  <c r="ED63" i="25"/>
  <c r="ED64" i="25"/>
  <c r="ED65" i="25"/>
  <c r="ED66" i="25"/>
  <c r="ED68" i="25"/>
  <c r="ED69" i="25"/>
  <c r="ED70" i="25"/>
  <c r="ED71" i="25"/>
  <c r="ED72" i="25"/>
  <c r="ED73" i="25"/>
  <c r="ED74" i="25"/>
  <c r="ED75" i="25"/>
  <c r="ED76" i="25"/>
  <c r="ED77" i="25"/>
  <c r="ED78" i="25"/>
  <c r="ED79" i="25"/>
  <c r="ED80" i="25"/>
  <c r="ED82" i="25"/>
  <c r="ED83" i="25"/>
  <c r="ED84" i="25"/>
  <c r="ED85" i="25"/>
  <c r="ED86" i="25"/>
  <c r="ED87" i="25"/>
  <c r="ED88" i="25"/>
  <c r="ED174" i="25"/>
  <c r="ED201" i="25"/>
  <c r="ED91" i="25"/>
  <c r="ED92" i="25"/>
  <c r="ED93" i="25"/>
  <c r="ED94" i="25"/>
  <c r="ED95" i="25"/>
  <c r="ED96" i="25"/>
  <c r="ED97" i="25"/>
  <c r="ED98" i="25"/>
  <c r="ED99" i="25"/>
  <c r="ED100" i="25"/>
  <c r="ED101" i="25"/>
  <c r="ED102" i="25"/>
  <c r="ED103" i="25"/>
  <c r="ED104" i="25"/>
  <c r="ED105" i="25"/>
  <c r="ED106" i="25"/>
  <c r="ED107" i="25"/>
  <c r="ED108" i="25"/>
  <c r="ED109" i="25"/>
  <c r="ED110" i="25"/>
  <c r="ED111" i="25"/>
  <c r="ED112" i="25"/>
  <c r="ED113" i="25"/>
  <c r="ED114" i="25"/>
  <c r="ED115" i="25"/>
  <c r="ED116" i="25"/>
  <c r="ED117" i="25"/>
  <c r="ED118" i="25"/>
  <c r="ED119" i="25"/>
  <c r="ED120" i="25"/>
  <c r="ED121" i="25"/>
  <c r="ED122" i="25"/>
  <c r="ED123" i="25"/>
  <c r="ED124" i="25"/>
  <c r="ED125" i="25"/>
  <c r="ED126" i="25"/>
  <c r="ED127" i="25"/>
  <c r="ED128" i="25"/>
  <c r="ED129" i="25"/>
  <c r="ED130" i="25"/>
  <c r="ED131" i="25"/>
  <c r="ED132" i="25"/>
  <c r="ED133" i="25"/>
  <c r="ED134" i="25"/>
  <c r="ED137" i="25"/>
  <c r="ED136" i="25"/>
  <c r="ED135" i="25"/>
  <c r="ED138" i="25"/>
  <c r="ED139" i="25"/>
  <c r="ED140" i="25"/>
  <c r="ED141" i="25"/>
  <c r="ED142" i="25"/>
  <c r="ED143" i="25"/>
  <c r="ED144" i="25"/>
  <c r="ED145" i="25"/>
  <c r="ED146" i="25"/>
  <c r="ED147" i="25"/>
  <c r="ED148" i="25"/>
  <c r="ED149" i="25"/>
  <c r="ED150" i="25"/>
  <c r="ED151" i="25"/>
  <c r="ED152" i="25"/>
  <c r="ED153" i="25"/>
  <c r="ED154" i="25"/>
  <c r="ED155" i="25"/>
  <c r="ED156" i="25"/>
  <c r="ED157" i="25"/>
  <c r="ED158" i="25"/>
  <c r="ED159" i="25"/>
  <c r="ED160" i="25"/>
  <c r="ED161" i="25"/>
  <c r="ED162" i="25"/>
  <c r="ED163" i="25"/>
  <c r="ED164" i="25"/>
  <c r="ED165" i="25"/>
  <c r="ED166" i="25"/>
  <c r="ED167" i="25"/>
  <c r="ED168" i="25"/>
  <c r="ED169" i="25"/>
  <c r="ED170" i="25"/>
  <c r="ED171" i="25"/>
  <c r="ED172" i="25"/>
  <c r="ED173" i="25"/>
  <c r="ED184" i="25"/>
  <c r="ED175" i="25"/>
  <c r="ED176" i="25"/>
  <c r="ED177" i="25"/>
  <c r="ED178" i="25"/>
  <c r="ED179" i="25"/>
  <c r="ED180" i="25"/>
  <c r="ED181" i="25"/>
  <c r="ED182" i="25"/>
  <c r="ED183" i="25"/>
  <c r="ED89" i="25"/>
  <c r="ED185" i="25"/>
  <c r="ED186" i="25"/>
  <c r="ED187" i="25"/>
  <c r="ED188" i="25"/>
  <c r="ED189" i="25"/>
  <c r="ED190" i="25"/>
  <c r="ED191" i="25"/>
  <c r="ED192" i="25"/>
  <c r="ED193" i="25"/>
  <c r="ED194" i="25"/>
  <c r="ED195" i="25"/>
  <c r="ED196" i="25"/>
  <c r="ED197" i="25"/>
  <c r="ED199" i="25"/>
  <c r="ED200" i="25"/>
  <c r="ED90" i="25"/>
  <c r="ED202" i="25"/>
  <c r="ED203" i="25"/>
  <c r="EC7" i="25"/>
  <c r="EC8" i="25"/>
  <c r="EC9" i="25"/>
  <c r="EC10" i="25"/>
  <c r="EC11" i="25"/>
  <c r="EC13" i="25"/>
  <c r="EC14" i="25"/>
  <c r="EC15" i="25"/>
  <c r="EC16" i="25"/>
  <c r="EC17" i="25"/>
  <c r="EC18" i="25"/>
  <c r="EC20" i="25"/>
  <c r="EC21" i="25"/>
  <c r="EC22" i="25"/>
  <c r="EC23" i="25"/>
  <c r="EC25" i="25"/>
  <c r="EC26" i="25"/>
  <c r="EC28" i="25"/>
  <c r="EC29" i="25"/>
  <c r="EC30" i="25"/>
  <c r="EC31" i="25"/>
  <c r="EC32" i="25"/>
  <c r="EC33" i="25"/>
  <c r="EC34" i="25"/>
  <c r="EC35" i="25"/>
  <c r="EC36" i="25"/>
  <c r="EC37" i="25"/>
  <c r="EC38" i="25"/>
  <c r="EC219" i="25"/>
  <c r="EC27" i="25"/>
  <c r="EC40" i="25"/>
  <c r="EC41" i="25"/>
  <c r="EC43" i="25"/>
  <c r="EC44" i="25"/>
  <c r="EC45" i="25"/>
  <c r="EC46" i="25"/>
  <c r="EC47" i="25"/>
  <c r="EC48" i="25"/>
  <c r="EC49" i="25"/>
  <c r="EC50" i="25"/>
  <c r="EC51" i="25"/>
  <c r="EC52" i="25"/>
  <c r="EC53" i="25"/>
  <c r="EC54" i="25"/>
  <c r="EC55" i="25"/>
  <c r="EC56" i="25"/>
  <c r="EC218" i="25"/>
  <c r="EC62" i="25"/>
  <c r="EC63" i="25"/>
  <c r="EC64" i="25"/>
  <c r="EC65" i="25"/>
  <c r="EC66" i="25"/>
  <c r="EC68" i="25"/>
  <c r="EC69" i="25"/>
  <c r="EC70" i="25"/>
  <c r="EC71" i="25"/>
  <c r="EC72" i="25"/>
  <c r="EC73" i="25"/>
  <c r="EC74" i="25"/>
  <c r="EC75" i="25"/>
  <c r="EC76" i="25"/>
  <c r="EC77" i="25"/>
  <c r="EC78" i="25"/>
  <c r="EC79" i="25"/>
  <c r="EC80" i="25"/>
  <c r="EC82" i="25"/>
  <c r="EC83" i="25"/>
  <c r="EC84" i="25"/>
  <c r="EC85" i="25"/>
  <c r="EC86" i="25"/>
  <c r="EC87" i="25"/>
  <c r="EC88" i="25"/>
  <c r="EC174" i="25"/>
  <c r="EC201" i="25"/>
  <c r="EC91" i="25"/>
  <c r="EC92" i="25"/>
  <c r="EC93" i="25"/>
  <c r="EC94" i="25"/>
  <c r="EC95" i="25"/>
  <c r="EC96" i="25"/>
  <c r="EC97" i="25"/>
  <c r="EC98" i="25"/>
  <c r="EC99" i="25"/>
  <c r="EC100" i="25"/>
  <c r="EC101" i="25"/>
  <c r="EC102" i="25"/>
  <c r="EC103" i="25"/>
  <c r="EC104" i="25"/>
  <c r="EC105" i="25"/>
  <c r="EC106" i="25"/>
  <c r="EC107" i="25"/>
  <c r="EC108" i="25"/>
  <c r="EC109" i="25"/>
  <c r="EC110" i="25"/>
  <c r="EC111" i="25"/>
  <c r="EC112" i="25"/>
  <c r="EC113" i="25"/>
  <c r="EC114" i="25"/>
  <c r="EC115" i="25"/>
  <c r="EC116" i="25"/>
  <c r="EC117" i="25"/>
  <c r="EC118" i="25"/>
  <c r="EC119" i="25"/>
  <c r="EC120" i="25"/>
  <c r="EC121" i="25"/>
  <c r="EC122" i="25"/>
  <c r="EC123" i="25"/>
  <c r="EC124" i="25"/>
  <c r="EC125" i="25"/>
  <c r="EC126" i="25"/>
  <c r="EC127" i="25"/>
  <c r="EC128" i="25"/>
  <c r="EC129" i="25"/>
  <c r="EC130" i="25"/>
  <c r="EC131" i="25"/>
  <c r="EC132" i="25"/>
  <c r="EC133" i="25"/>
  <c r="EC134" i="25"/>
  <c r="EC137" i="25"/>
  <c r="EC136" i="25"/>
  <c r="EC135" i="25"/>
  <c r="EC138" i="25"/>
  <c r="EC139" i="25"/>
  <c r="EC140" i="25"/>
  <c r="EC141" i="25"/>
  <c r="EC142" i="25"/>
  <c r="EC143" i="25"/>
  <c r="EC144" i="25"/>
  <c r="EC145" i="25"/>
  <c r="EC146" i="25"/>
  <c r="EC147" i="25"/>
  <c r="EC148" i="25"/>
  <c r="EC149" i="25"/>
  <c r="EC150" i="25"/>
  <c r="EC151" i="25"/>
  <c r="EC152" i="25"/>
  <c r="EC153" i="25"/>
  <c r="EC154" i="25"/>
  <c r="EC155" i="25"/>
  <c r="EC156" i="25"/>
  <c r="EC157" i="25"/>
  <c r="EC158" i="25"/>
  <c r="EC159" i="25"/>
  <c r="EC160" i="25"/>
  <c r="EC161" i="25"/>
  <c r="EC162" i="25"/>
  <c r="EC163" i="25"/>
  <c r="EC164" i="25"/>
  <c r="EC165" i="25"/>
  <c r="EC166" i="25"/>
  <c r="EC167" i="25"/>
  <c r="EC168" i="25"/>
  <c r="EC169" i="25"/>
  <c r="EC170" i="25"/>
  <c r="EC171" i="25"/>
  <c r="EC172" i="25"/>
  <c r="EC173" i="25"/>
  <c r="EC184" i="25"/>
  <c r="EC175" i="25"/>
  <c r="EC176" i="25"/>
  <c r="EC177" i="25"/>
  <c r="EC178" i="25"/>
  <c r="EC179" i="25"/>
  <c r="EC180" i="25"/>
  <c r="EC181" i="25"/>
  <c r="EC182" i="25"/>
  <c r="EC183" i="25"/>
  <c r="EC89" i="25"/>
  <c r="EC185" i="25"/>
  <c r="EC186" i="25"/>
  <c r="EC187" i="25"/>
  <c r="EC188" i="25"/>
  <c r="EC189" i="25"/>
  <c r="EC190" i="25"/>
  <c r="EC191" i="25"/>
  <c r="EC192" i="25"/>
  <c r="EC193" i="25"/>
  <c r="EC194" i="25"/>
  <c r="EC195" i="25"/>
  <c r="EC196" i="25"/>
  <c r="EC197" i="25"/>
  <c r="EC199" i="25"/>
  <c r="EC200" i="25"/>
  <c r="EC90" i="25"/>
  <c r="EC202" i="25"/>
  <c r="EC203" i="25"/>
  <c r="P137" i="89"/>
  <c r="P136" i="89"/>
  <c r="P135" i="89"/>
  <c r="S243" i="89" s="1"/>
  <c r="P133" i="89"/>
  <c r="P132" i="89"/>
  <c r="S255" i="89" s="1"/>
  <c r="P117" i="89"/>
  <c r="P116" i="89"/>
  <c r="S244" i="89" s="1"/>
  <c r="P114" i="89"/>
  <c r="P113" i="89"/>
  <c r="S256" i="89" s="1"/>
  <c r="EF193" i="25" l="1"/>
  <c r="EF177" i="25"/>
  <c r="EF161" i="25"/>
  <c r="EF145" i="25"/>
  <c r="EF129" i="25"/>
  <c r="EF121" i="25"/>
  <c r="EF105" i="25"/>
  <c r="EF97" i="25"/>
  <c r="EF174" i="25"/>
  <c r="EF82" i="25"/>
  <c r="EF75" i="25"/>
  <c r="EF68" i="25"/>
  <c r="EF56" i="25"/>
  <c r="EF49" i="25"/>
  <c r="EF36" i="25"/>
  <c r="EF28" i="25"/>
  <c r="EF15" i="25"/>
  <c r="EF8" i="25"/>
  <c r="EF202" i="25"/>
  <c r="EF185" i="25"/>
  <c r="EF169" i="25"/>
  <c r="EF153" i="25"/>
  <c r="EF135" i="25"/>
  <c r="EF113" i="25"/>
  <c r="EF199" i="25"/>
  <c r="EF158" i="25"/>
  <c r="EF150" i="25"/>
  <c r="EF142" i="25"/>
  <c r="EF134" i="25"/>
  <c r="EF126" i="25"/>
  <c r="EF118" i="25"/>
  <c r="EF110" i="25"/>
  <c r="EF102" i="25"/>
  <c r="EF94" i="25"/>
  <c r="EF87" i="25"/>
  <c r="EF73" i="25"/>
  <c r="EF65" i="25"/>
  <c r="EF54" i="25"/>
  <c r="EF46" i="25"/>
  <c r="EF27" i="25"/>
  <c r="EF33" i="25"/>
  <c r="EF26" i="25"/>
  <c r="EF190" i="25"/>
  <c r="EF184" i="25"/>
  <c r="EF182" i="25"/>
  <c r="EF166" i="25"/>
  <c r="EF55" i="25"/>
  <c r="EF21" i="25"/>
  <c r="EF14" i="25"/>
  <c r="EF7" i="25"/>
  <c r="EF194" i="25"/>
  <c r="EF186" i="25"/>
  <c r="EF178" i="25"/>
  <c r="EF170" i="25"/>
  <c r="EF162" i="25"/>
  <c r="EF154" i="25"/>
  <c r="EF146" i="25"/>
  <c r="EF138" i="25"/>
  <c r="EF130" i="25"/>
  <c r="EF122" i="25"/>
  <c r="EF114" i="25"/>
  <c r="EF106" i="25"/>
  <c r="EF98" i="25"/>
  <c r="EF201" i="25"/>
  <c r="EF83" i="25"/>
  <c r="EF76" i="25"/>
  <c r="EF69" i="25"/>
  <c r="EF62" i="25"/>
  <c r="EF50" i="25"/>
  <c r="EF43" i="25"/>
  <c r="EF29" i="25"/>
  <c r="EF22" i="25"/>
  <c r="EF16" i="25"/>
  <c r="EF9" i="25"/>
  <c r="EF200" i="25"/>
  <c r="EF191" i="25"/>
  <c r="EF183" i="25"/>
  <c r="EF175" i="25"/>
  <c r="EF167" i="25"/>
  <c r="EF159" i="25"/>
  <c r="EF143" i="25"/>
  <c r="EF137" i="25"/>
  <c r="EF127" i="25"/>
  <c r="EF119" i="25"/>
  <c r="EF80" i="25"/>
  <c r="EF66" i="25"/>
  <c r="EF218" i="25"/>
  <c r="EF47" i="25"/>
  <c r="EF40" i="25"/>
  <c r="EF34" i="25"/>
  <c r="EF20" i="25"/>
  <c r="EF13" i="25"/>
  <c r="EF188" i="25"/>
  <c r="EF172" i="25"/>
  <c r="EF156" i="25"/>
  <c r="EF148" i="25"/>
  <c r="EF132" i="25"/>
  <c r="EF124" i="25"/>
  <c r="EF116" i="25"/>
  <c r="EF108" i="25"/>
  <c r="EF100" i="25"/>
  <c r="EF92" i="25"/>
  <c r="EF85" i="25"/>
  <c r="EF78" i="25"/>
  <c r="EF71" i="25"/>
  <c r="EF63" i="25"/>
  <c r="EF52" i="25"/>
  <c r="EF44" i="25"/>
  <c r="EF38" i="25"/>
  <c r="EF31" i="25"/>
  <c r="EF18" i="25"/>
  <c r="EF11" i="25"/>
  <c r="EF196" i="25"/>
  <c r="EF180" i="25"/>
  <c r="EF164" i="25"/>
  <c r="EF140" i="25"/>
  <c r="EF90" i="25"/>
  <c r="EF192" i="25"/>
  <c r="EF89" i="25"/>
  <c r="EF176" i="25"/>
  <c r="EF168" i="25"/>
  <c r="EF160" i="25"/>
  <c r="EF152" i="25"/>
  <c r="EF144" i="25"/>
  <c r="EF136" i="25"/>
  <c r="EF128" i="25"/>
  <c r="EF120" i="25"/>
  <c r="EF112" i="25"/>
  <c r="EF104" i="25"/>
  <c r="EF96" i="25"/>
  <c r="EF88" i="25"/>
  <c r="EF74" i="25"/>
  <c r="EF48" i="25"/>
  <c r="EF41" i="25"/>
  <c r="EF35" i="25"/>
  <c r="EF151" i="25"/>
  <c r="EF111" i="25"/>
  <c r="EF103" i="25"/>
  <c r="EF95" i="25"/>
  <c r="EF197" i="25"/>
  <c r="EF189" i="25"/>
  <c r="EF181" i="25"/>
  <c r="EF173" i="25"/>
  <c r="EF165" i="25"/>
  <c r="EF157" i="25"/>
  <c r="EF149" i="25"/>
  <c r="EF141" i="25"/>
  <c r="EF133" i="25"/>
  <c r="EF125" i="25"/>
  <c r="EF117" i="25"/>
  <c r="EF109" i="25"/>
  <c r="EF101" i="25"/>
  <c r="EF93" i="25"/>
  <c r="EF86" i="25"/>
  <c r="EF79" i="25"/>
  <c r="EF72" i="25"/>
  <c r="EF64" i="25"/>
  <c r="EF53" i="25"/>
  <c r="EF45" i="25"/>
  <c r="EF219" i="25"/>
  <c r="EF32" i="25"/>
  <c r="EF25" i="25"/>
  <c r="EF203" i="25"/>
  <c r="EF195" i="25"/>
  <c r="EF187" i="25"/>
  <c r="EF179" i="25"/>
  <c r="EF171" i="25"/>
  <c r="EF163" i="25"/>
  <c r="EF155" i="25"/>
  <c r="EF147" i="25"/>
  <c r="EF139" i="25"/>
  <c r="EF131" i="25"/>
  <c r="EF123" i="25"/>
  <c r="EF115" i="25"/>
  <c r="EF107" i="25"/>
  <c r="EF99" i="25"/>
  <c r="EF91" i="25"/>
  <c r="EF84" i="25"/>
  <c r="EF77" i="25"/>
  <c r="EF70" i="25"/>
  <c r="EF51" i="25"/>
  <c r="EF37" i="25"/>
  <c r="EF30" i="25"/>
  <c r="EF23" i="25"/>
  <c r="EF17" i="25"/>
  <c r="EF10" i="25"/>
  <c r="P131" i="89"/>
  <c r="Q131" i="89" s="1"/>
  <c r="R131" i="89" s="1"/>
  <c r="P112" i="89"/>
  <c r="Q112" i="89" s="1"/>
  <c r="R112" i="89" s="1"/>
  <c r="C4" i="129" l="1"/>
  <c r="CE159" i="25"/>
  <c r="CE203" i="25"/>
  <c r="CE103" i="25"/>
  <c r="CE202" i="25"/>
  <c r="CF159" i="25"/>
  <c r="CF203" i="25"/>
  <c r="CF103" i="25"/>
  <c r="CF202" i="25"/>
  <c r="CH159" i="25"/>
  <c r="CH203" i="25"/>
  <c r="CH103" i="25"/>
  <c r="CH202" i="25"/>
  <c r="CI159" i="25"/>
  <c r="CI203" i="25"/>
  <c r="CI103" i="25"/>
  <c r="CI202" i="25"/>
  <c r="CJ159" i="25"/>
  <c r="CJ203" i="25"/>
  <c r="CJ103" i="25"/>
  <c r="CJ202" i="25"/>
  <c r="CK159" i="25"/>
  <c r="CK203" i="25"/>
  <c r="CK103" i="25"/>
  <c r="CK202" i="25"/>
  <c r="CL159" i="25"/>
  <c r="CL203" i="25"/>
  <c r="CL103" i="25"/>
  <c r="CL202" i="25"/>
  <c r="CM159" i="25"/>
  <c r="CM203" i="25"/>
  <c r="CM103" i="25"/>
  <c r="CM202" i="25"/>
  <c r="CN159" i="25"/>
  <c r="CN203" i="25"/>
  <c r="CN103" i="25"/>
  <c r="CN202" i="25"/>
  <c r="CT159" i="25"/>
  <c r="CU159" i="25" s="1"/>
  <c r="CT203" i="25"/>
  <c r="CU203" i="25" s="1"/>
  <c r="CT103" i="25"/>
  <c r="CU103" i="25" s="1"/>
  <c r="CT202" i="25"/>
  <c r="CU202" i="25" s="1"/>
  <c r="DB159" i="25"/>
  <c r="DB203" i="25"/>
  <c r="DB103" i="25"/>
  <c r="DB202" i="25"/>
  <c r="DC159" i="25"/>
  <c r="DC203" i="25"/>
  <c r="DC103" i="25"/>
  <c r="DC202" i="25"/>
  <c r="DG159" i="25"/>
  <c r="DG203" i="25"/>
  <c r="DG103" i="25"/>
  <c r="DG202" i="25"/>
  <c r="DH159" i="25"/>
  <c r="DH203" i="25"/>
  <c r="DH103" i="25"/>
  <c r="DH202" i="25"/>
  <c r="DL159" i="25"/>
  <c r="DL203" i="25"/>
  <c r="DL103" i="25"/>
  <c r="DL202" i="25"/>
  <c r="DM159" i="25"/>
  <c r="DT159" i="25" s="1"/>
  <c r="DM203" i="25"/>
  <c r="DT203" i="25" s="1"/>
  <c r="DM103" i="25"/>
  <c r="DT103" i="25" s="1"/>
  <c r="DM202" i="25"/>
  <c r="DT202" i="25" s="1"/>
  <c r="DN159" i="25"/>
  <c r="DN203" i="25"/>
  <c r="DN103" i="25"/>
  <c r="DN202" i="25"/>
  <c r="DO159" i="25"/>
  <c r="DO203" i="25"/>
  <c r="DO103" i="25"/>
  <c r="DO202" i="25"/>
  <c r="DV159" i="25"/>
  <c r="DV203" i="25"/>
  <c r="DV103" i="25"/>
  <c r="DV202" i="25"/>
  <c r="DW159" i="25"/>
  <c r="DX159" i="25" s="1"/>
  <c r="DW203" i="25"/>
  <c r="DX203" i="25" s="1"/>
  <c r="DW103" i="25"/>
  <c r="DX103" i="25" s="1"/>
  <c r="DW202" i="25"/>
  <c r="DX202" i="25" s="1"/>
  <c r="DY159" i="25"/>
  <c r="DY203" i="25"/>
  <c r="DY103" i="25"/>
  <c r="DY202" i="25"/>
  <c r="EA159" i="25"/>
  <c r="EA203" i="25"/>
  <c r="EA103" i="25"/>
  <c r="EA202" i="25"/>
  <c r="EB159" i="25"/>
  <c r="EB203" i="25"/>
  <c r="EB103" i="25"/>
  <c r="EB202" i="25"/>
  <c r="EI159" i="25"/>
  <c r="EI203" i="25"/>
  <c r="EI103" i="25"/>
  <c r="EI202" i="25"/>
  <c r="EJ159" i="25"/>
  <c r="EJ203" i="25"/>
  <c r="EJ103" i="25"/>
  <c r="EJ202" i="25"/>
  <c r="EK159" i="25"/>
  <c r="EK203" i="25"/>
  <c r="EK103" i="25"/>
  <c r="EK202" i="25"/>
  <c r="EL159" i="25"/>
  <c r="EL203" i="25"/>
  <c r="EL103" i="25"/>
  <c r="EL202" i="25"/>
  <c r="EM159" i="25"/>
  <c r="DU159" i="25" s="1"/>
  <c r="EM203" i="25"/>
  <c r="DU203" i="25" s="1"/>
  <c r="EM103" i="25"/>
  <c r="DU103" i="25" s="1"/>
  <c r="EM202" i="25"/>
  <c r="DU202" i="25" s="1"/>
  <c r="EN159" i="25"/>
  <c r="EN203" i="25"/>
  <c r="EN103" i="25"/>
  <c r="EN202" i="25"/>
  <c r="EO159" i="25"/>
  <c r="EO203" i="25"/>
  <c r="EO103" i="25"/>
  <c r="EO202" i="25"/>
  <c r="EP159" i="25"/>
  <c r="EP203" i="25"/>
  <c r="EP103" i="25"/>
  <c r="EP202" i="25"/>
  <c r="ES159" i="25"/>
  <c r="ES203" i="25"/>
  <c r="ES103" i="25"/>
  <c r="ES202" i="25"/>
  <c r="ET159" i="25"/>
  <c r="ET203" i="25"/>
  <c r="ET103" i="25"/>
  <c r="ET202" i="25"/>
  <c r="DZ159" i="25" l="1"/>
  <c r="EG159" i="25"/>
  <c r="EG103" i="25"/>
  <c r="EG203" i="25"/>
  <c r="EG202" i="25"/>
  <c r="EH103" i="25"/>
  <c r="EH202" i="25"/>
  <c r="CG202" i="25"/>
  <c r="EH203" i="25"/>
  <c r="CQ203" i="25"/>
  <c r="DP159" i="25"/>
  <c r="DQ159" i="25" s="1"/>
  <c r="DR159" i="25" s="1"/>
  <c r="DS159" i="25" s="1"/>
  <c r="EH159" i="25"/>
  <c r="CP103" i="25"/>
  <c r="CR103" i="25" s="1"/>
  <c r="CG103" i="25"/>
  <c r="CG159" i="25"/>
  <c r="CP203" i="25"/>
  <c r="CR203" i="25" s="1"/>
  <c r="CQ103" i="25"/>
  <c r="DP203" i="25"/>
  <c r="DQ203" i="25" s="1"/>
  <c r="DR203" i="25" s="1"/>
  <c r="DS203" i="25" s="1"/>
  <c r="CP159" i="25"/>
  <c r="CR159" i="25" s="1"/>
  <c r="CQ159" i="25"/>
  <c r="CG203" i="25"/>
  <c r="CP202" i="25"/>
  <c r="CR202" i="25" s="1"/>
  <c r="DP202" i="25"/>
  <c r="DQ202" i="25" s="1"/>
  <c r="DR202" i="25" s="1"/>
  <c r="DS202" i="25" s="1"/>
  <c r="DI202" i="25"/>
  <c r="DJ202" i="25" s="1"/>
  <c r="DP103" i="25"/>
  <c r="DQ103" i="25" s="1"/>
  <c r="DR103" i="25" s="1"/>
  <c r="DS103" i="25" s="1"/>
  <c r="DE202" i="25"/>
  <c r="DD202" i="25" s="1"/>
  <c r="DK202" i="25" s="1"/>
  <c r="CQ202" i="25"/>
  <c r="DI103" i="25"/>
  <c r="DJ103" i="25" s="1"/>
  <c r="DE103" i="25"/>
  <c r="DD103" i="25" s="1"/>
  <c r="DK103" i="25" s="1"/>
  <c r="DI203" i="25"/>
  <c r="DJ203" i="25" s="1"/>
  <c r="DE203" i="25"/>
  <c r="DD203" i="25" s="1"/>
  <c r="DK203" i="25" s="1"/>
  <c r="DI159" i="25"/>
  <c r="DJ159" i="25" s="1"/>
  <c r="DE159" i="25"/>
  <c r="DD159" i="25" s="1"/>
  <c r="DK159" i="25" s="1"/>
  <c r="DZ202" i="25"/>
  <c r="DF202" i="25"/>
  <c r="DZ103" i="25"/>
  <c r="DF103" i="25"/>
  <c r="DZ203" i="25"/>
  <c r="DF203" i="25"/>
  <c r="DF159" i="25"/>
  <c r="CV103" i="25" l="1"/>
  <c r="CY103" i="25" s="1"/>
  <c r="CZ103" i="25" s="1"/>
  <c r="CS103" i="25"/>
  <c r="CW103" i="25" s="1"/>
  <c r="CX103" i="25" s="1"/>
  <c r="DA103" i="25" s="1"/>
  <c r="CV203" i="25"/>
  <c r="CY203" i="25" s="1"/>
  <c r="CZ203" i="25" s="1"/>
  <c r="CS203" i="25"/>
  <c r="CW203" i="25" s="1"/>
  <c r="CX203" i="25" s="1"/>
  <c r="DA203" i="25" s="1"/>
  <c r="CV159" i="25"/>
  <c r="CY159" i="25" s="1"/>
  <c r="CZ159" i="25" s="1"/>
  <c r="CS159" i="25"/>
  <c r="CW159" i="25" s="1"/>
  <c r="CX159" i="25" s="1"/>
  <c r="DA159" i="25" s="1"/>
  <c r="CV202" i="25"/>
  <c r="CY202" i="25" s="1"/>
  <c r="CZ202" i="25" s="1"/>
  <c r="CS202" i="25"/>
  <c r="CW202" i="25" s="1"/>
  <c r="CX202" i="25" s="1"/>
  <c r="DA202" i="25" s="1"/>
  <c r="G90" i="25"/>
  <c r="G200" i="25"/>
  <c r="G198" i="25"/>
  <c r="CE199" i="25"/>
  <c r="CE200" i="25"/>
  <c r="CE90" i="25"/>
  <c r="CF199" i="25"/>
  <c r="CF200" i="25"/>
  <c r="CF90" i="25"/>
  <c r="CH199" i="25"/>
  <c r="CH200" i="25"/>
  <c r="CH90" i="25"/>
  <c r="CI199" i="25"/>
  <c r="CI200" i="25"/>
  <c r="CI90" i="25"/>
  <c r="CJ199" i="25"/>
  <c r="CJ200" i="25"/>
  <c r="CJ90" i="25"/>
  <c r="CK199" i="25"/>
  <c r="CK200" i="25"/>
  <c r="CK90" i="25"/>
  <c r="CL199" i="25"/>
  <c r="CL200" i="25"/>
  <c r="CL90" i="25"/>
  <c r="CM199" i="25"/>
  <c r="CM200" i="25"/>
  <c r="CM90" i="25"/>
  <c r="CN199" i="25"/>
  <c r="CN200" i="25"/>
  <c r="CN90" i="25"/>
  <c r="CT199" i="25"/>
  <c r="CU199" i="25" s="1"/>
  <c r="CT200" i="25"/>
  <c r="CU200" i="25" s="1"/>
  <c r="CT90" i="25"/>
  <c r="CU90" i="25" s="1"/>
  <c r="DB199" i="25"/>
  <c r="DB200" i="25"/>
  <c r="DB90" i="25"/>
  <c r="DC199" i="25"/>
  <c r="DC200" i="25"/>
  <c r="DC90" i="25"/>
  <c r="DG199" i="25"/>
  <c r="DG200" i="25"/>
  <c r="DG90" i="25"/>
  <c r="DH199" i="25"/>
  <c r="DH200" i="25"/>
  <c r="DH90" i="25"/>
  <c r="DL199" i="25"/>
  <c r="DL200" i="25"/>
  <c r="DL90" i="25"/>
  <c r="DM199" i="25"/>
  <c r="DT199" i="25" s="1"/>
  <c r="DM200" i="25"/>
  <c r="DT200" i="25" s="1"/>
  <c r="DM90" i="25"/>
  <c r="DT90" i="25" s="1"/>
  <c r="DN199" i="25"/>
  <c r="DN200" i="25"/>
  <c r="DN90" i="25"/>
  <c r="DO199" i="25"/>
  <c r="DO200" i="25"/>
  <c r="DO90" i="25"/>
  <c r="DV199" i="25"/>
  <c r="DV200" i="25"/>
  <c r="DV90" i="25"/>
  <c r="DW199" i="25"/>
  <c r="DZ199" i="25" s="1"/>
  <c r="DW200" i="25"/>
  <c r="DZ200" i="25" s="1"/>
  <c r="DW90" i="25"/>
  <c r="DZ90" i="25" s="1"/>
  <c r="DY199" i="25"/>
  <c r="DY200" i="25"/>
  <c r="DY90" i="25"/>
  <c r="EA199" i="25"/>
  <c r="EA200" i="25"/>
  <c r="EA90" i="25"/>
  <c r="EB199" i="25"/>
  <c r="EB200" i="25"/>
  <c r="EB90" i="25"/>
  <c r="EI199" i="25"/>
  <c r="EI200" i="25"/>
  <c r="EI90" i="25"/>
  <c r="EJ199" i="25"/>
  <c r="EJ200" i="25"/>
  <c r="EJ90" i="25"/>
  <c r="EK199" i="25"/>
  <c r="EK200" i="25"/>
  <c r="DI200" i="25" s="1"/>
  <c r="DJ200" i="25" s="1"/>
  <c r="EK90" i="25"/>
  <c r="DF90" i="25" s="1"/>
  <c r="EL199" i="25"/>
  <c r="EL200" i="25"/>
  <c r="EL90" i="25"/>
  <c r="EM199" i="25"/>
  <c r="DU199" i="25" s="1"/>
  <c r="EM200" i="25"/>
  <c r="DU200" i="25" s="1"/>
  <c r="EM90" i="25"/>
  <c r="DU90" i="25" s="1"/>
  <c r="EN199" i="25"/>
  <c r="EN200" i="25"/>
  <c r="EN90" i="25"/>
  <c r="EO199" i="25"/>
  <c r="EO200" i="25"/>
  <c r="EO90" i="25"/>
  <c r="EP199" i="25"/>
  <c r="EP200" i="25"/>
  <c r="EP90" i="25"/>
  <c r="ES199" i="25"/>
  <c r="ES200" i="25"/>
  <c r="ES90" i="25"/>
  <c r="ET199" i="25"/>
  <c r="ET200" i="25"/>
  <c r="ET90" i="25"/>
  <c r="EG90" i="25" l="1"/>
  <c r="EG199" i="25"/>
  <c r="EG200" i="25"/>
  <c r="EH200" i="25"/>
  <c r="CG200" i="25"/>
  <c r="EH199" i="25"/>
  <c r="CP200" i="25"/>
  <c r="CR200" i="25" s="1"/>
  <c r="CG199" i="25"/>
  <c r="DP90" i="25"/>
  <c r="DQ90" i="25" s="1"/>
  <c r="DR90" i="25" s="1"/>
  <c r="DS90" i="25" s="1"/>
  <c r="CG90" i="25"/>
  <c r="CQ199" i="25"/>
  <c r="DX200" i="25"/>
  <c r="EH90" i="25"/>
  <c r="CQ200" i="25"/>
  <c r="DE199" i="25"/>
  <c r="DD199" i="25" s="1"/>
  <c r="DK199" i="25" s="1"/>
  <c r="DP199" i="25"/>
  <c r="DQ199" i="25" s="1"/>
  <c r="DR199" i="25" s="1"/>
  <c r="DS199" i="25" s="1"/>
  <c r="DF200" i="25"/>
  <c r="CP90" i="25"/>
  <c r="CR90" i="25" s="1"/>
  <c r="CP199" i="25"/>
  <c r="CR199" i="25" s="1"/>
  <c r="DP200" i="25"/>
  <c r="DQ200" i="25" s="1"/>
  <c r="DR200" i="25" s="1"/>
  <c r="DS200" i="25" s="1"/>
  <c r="DI199" i="25"/>
  <c r="DJ199" i="25" s="1"/>
  <c r="DX90" i="25"/>
  <c r="DF199" i="25"/>
  <c r="DE90" i="25"/>
  <c r="DD90" i="25" s="1"/>
  <c r="DK90" i="25" s="1"/>
  <c r="DX199" i="25"/>
  <c r="DE200" i="25"/>
  <c r="DD200" i="25" s="1"/>
  <c r="DK200" i="25" s="1"/>
  <c r="CQ90" i="25"/>
  <c r="DI90" i="25"/>
  <c r="DJ90" i="25" s="1"/>
  <c r="CS90" i="25" l="1"/>
  <c r="CW90" i="25" s="1"/>
  <c r="CX90" i="25" s="1"/>
  <c r="DA90" i="25" s="1"/>
  <c r="CV90" i="25"/>
  <c r="CY90" i="25" s="1"/>
  <c r="CZ90" i="25" s="1"/>
  <c r="CS200" i="25"/>
  <c r="CW200" i="25" s="1"/>
  <c r="CX200" i="25" s="1"/>
  <c r="DA200" i="25" s="1"/>
  <c r="CV200" i="25"/>
  <c r="CY200" i="25" s="1"/>
  <c r="CZ200" i="25" s="1"/>
  <c r="CV199" i="25"/>
  <c r="CY199" i="25" s="1"/>
  <c r="CZ199" i="25" s="1"/>
  <c r="CS199" i="25"/>
  <c r="CW199" i="25" s="1"/>
  <c r="CX199" i="25" s="1"/>
  <c r="DA199" i="25" s="1"/>
  <c r="G197" i="25" l="1"/>
  <c r="G183" i="25"/>
  <c r="G89" i="25"/>
  <c r="G182" i="25"/>
  <c r="G181" i="25"/>
  <c r="G43" i="25"/>
  <c r="G196" i="25"/>
  <c r="G180" i="25"/>
  <c r="G187" i="25"/>
  <c r="G195" i="25"/>
  <c r="G14" i="25"/>
  <c r="G22" i="25"/>
  <c r="G186" i="25"/>
  <c r="G185" i="25"/>
  <c r="G52" i="25"/>
  <c r="G194" i="25"/>
  <c r="G36" i="25"/>
  <c r="G179" i="25"/>
  <c r="G53" i="25"/>
  <c r="G11" i="25"/>
  <c r="G193" i="25"/>
  <c r="G48" i="25"/>
  <c r="G26" i="25"/>
  <c r="G29" i="25"/>
  <c r="G10" i="25"/>
  <c r="G192" i="25"/>
  <c r="G191" i="25"/>
  <c r="G190" i="25"/>
  <c r="G189" i="25"/>
  <c r="G188" i="25"/>
  <c r="G178" i="25"/>
  <c r="G177" i="25"/>
  <c r="G176" i="25"/>
  <c r="G175" i="25"/>
  <c r="G139" i="25"/>
  <c r="G85" i="25"/>
  <c r="G84" i="25"/>
  <c r="G80" i="25"/>
  <c r="G76" i="25"/>
  <c r="CE89" i="25"/>
  <c r="CE183" i="25"/>
  <c r="CE197" i="25"/>
  <c r="CF89" i="25"/>
  <c r="CF183" i="25"/>
  <c r="CF197" i="25"/>
  <c r="CH89" i="25"/>
  <c r="CH183" i="25"/>
  <c r="CH197" i="25"/>
  <c r="CI89" i="25"/>
  <c r="CI183" i="25"/>
  <c r="CI197" i="25"/>
  <c r="CJ89" i="25"/>
  <c r="CJ183" i="25"/>
  <c r="CJ197" i="25"/>
  <c r="CK89" i="25"/>
  <c r="CK183" i="25"/>
  <c r="CK197" i="25"/>
  <c r="CL89" i="25"/>
  <c r="CL183" i="25"/>
  <c r="CL197" i="25"/>
  <c r="CM89" i="25"/>
  <c r="CM183" i="25"/>
  <c r="CM197" i="25"/>
  <c r="CN89" i="25"/>
  <c r="CN183" i="25"/>
  <c r="CN197" i="25"/>
  <c r="CT89" i="25"/>
  <c r="CU89" i="25" s="1"/>
  <c r="CT183" i="25"/>
  <c r="CU183" i="25" s="1"/>
  <c r="CT197" i="25"/>
  <c r="CU197" i="25" s="1"/>
  <c r="DB89" i="25"/>
  <c r="DB183" i="25"/>
  <c r="DB197" i="25"/>
  <c r="DC89" i="25"/>
  <c r="DC183" i="25"/>
  <c r="DC197" i="25"/>
  <c r="DG89" i="25"/>
  <c r="DG183" i="25"/>
  <c r="DG197" i="25"/>
  <c r="DH89" i="25"/>
  <c r="DH183" i="25"/>
  <c r="DH197" i="25"/>
  <c r="DL89" i="25"/>
  <c r="DL183" i="25"/>
  <c r="DL197" i="25"/>
  <c r="DM89" i="25"/>
  <c r="DT89" i="25" s="1"/>
  <c r="DM183" i="25"/>
  <c r="DT183" i="25" s="1"/>
  <c r="DM197" i="25"/>
  <c r="DT197" i="25" s="1"/>
  <c r="DN89" i="25"/>
  <c r="DN183" i="25"/>
  <c r="DN197" i="25"/>
  <c r="DO89" i="25"/>
  <c r="DO183" i="25"/>
  <c r="DO197" i="25"/>
  <c r="DV89" i="25"/>
  <c r="DV183" i="25"/>
  <c r="DV197" i="25"/>
  <c r="DW89" i="25"/>
  <c r="DX89" i="25" s="1"/>
  <c r="DW183" i="25"/>
  <c r="DX183" i="25" s="1"/>
  <c r="DW197" i="25"/>
  <c r="DZ197" i="25" s="1"/>
  <c r="DY89" i="25"/>
  <c r="DY183" i="25"/>
  <c r="DY197" i="25"/>
  <c r="EA89" i="25"/>
  <c r="EA183" i="25"/>
  <c r="EA197" i="25"/>
  <c r="EB89" i="25"/>
  <c r="EB183" i="25"/>
  <c r="EB197" i="25"/>
  <c r="EI89" i="25"/>
  <c r="EI183" i="25"/>
  <c r="EI197" i="25"/>
  <c r="EJ89" i="25"/>
  <c r="EJ183" i="25"/>
  <c r="EJ197" i="25"/>
  <c r="EK89" i="25"/>
  <c r="EK183" i="25"/>
  <c r="DI183" i="25" s="1"/>
  <c r="DJ183" i="25" s="1"/>
  <c r="EK197" i="25"/>
  <c r="DF197" i="25" s="1"/>
  <c r="EL89" i="25"/>
  <c r="EL183" i="25"/>
  <c r="EL197" i="25"/>
  <c r="EM89" i="25"/>
  <c r="DU89" i="25" s="1"/>
  <c r="EM183" i="25"/>
  <c r="DU183" i="25" s="1"/>
  <c r="EM197" i="25"/>
  <c r="DU197" i="25" s="1"/>
  <c r="EN89" i="25"/>
  <c r="EN183" i="25"/>
  <c r="EN197" i="25"/>
  <c r="EO89" i="25"/>
  <c r="EO183" i="25"/>
  <c r="EO197" i="25"/>
  <c r="EP89" i="25"/>
  <c r="EP183" i="25"/>
  <c r="EP197" i="25"/>
  <c r="ES89" i="25"/>
  <c r="ES183" i="25"/>
  <c r="ES197" i="25"/>
  <c r="ET89" i="25"/>
  <c r="ET183" i="25"/>
  <c r="ET197" i="25"/>
  <c r="CE182" i="25"/>
  <c r="CF182" i="25"/>
  <c r="CH182" i="25"/>
  <c r="CI182" i="25"/>
  <c r="CJ182" i="25"/>
  <c r="CK182" i="25"/>
  <c r="CL182" i="25"/>
  <c r="CM182" i="25"/>
  <c r="CN182" i="25"/>
  <c r="CT182" i="25"/>
  <c r="CU182" i="25" s="1"/>
  <c r="DB182" i="25"/>
  <c r="DC182" i="25"/>
  <c r="DG182" i="25"/>
  <c r="DH182" i="25"/>
  <c r="DL182" i="25"/>
  <c r="DM182" i="25"/>
  <c r="DN182" i="25"/>
  <c r="DO182" i="25"/>
  <c r="DV182" i="25"/>
  <c r="DW182" i="25"/>
  <c r="DX182" i="25" s="1"/>
  <c r="DY182" i="25"/>
  <c r="EA182" i="25"/>
  <c r="EB182" i="25"/>
  <c r="EI182" i="25"/>
  <c r="EJ182" i="25"/>
  <c r="EK182" i="25"/>
  <c r="EL182" i="25"/>
  <c r="EM182" i="25"/>
  <c r="DU182" i="25" s="1"/>
  <c r="EN182" i="25"/>
  <c r="EO182" i="25"/>
  <c r="EP182" i="25"/>
  <c r="ES182" i="25"/>
  <c r="ET182" i="25"/>
  <c r="CE181" i="25"/>
  <c r="CF181" i="25"/>
  <c r="CH181" i="25"/>
  <c r="CI181" i="25"/>
  <c r="CJ181" i="25"/>
  <c r="CK181" i="25"/>
  <c r="CL181" i="25"/>
  <c r="CM181" i="25"/>
  <c r="CN181" i="25"/>
  <c r="CT181" i="25"/>
  <c r="CU181" i="25" s="1"/>
  <c r="DB181" i="25"/>
  <c r="DC181" i="25"/>
  <c r="DG181" i="25"/>
  <c r="DH181" i="25"/>
  <c r="DL181" i="25"/>
  <c r="DM181" i="25"/>
  <c r="DN181" i="25"/>
  <c r="DO181" i="25"/>
  <c r="DV181" i="25"/>
  <c r="DW181" i="25"/>
  <c r="DX181" i="25" s="1"/>
  <c r="DY181" i="25"/>
  <c r="EA181" i="25"/>
  <c r="EB181" i="25"/>
  <c r="EI181" i="25"/>
  <c r="EJ181" i="25"/>
  <c r="EK181" i="25"/>
  <c r="EL181" i="25"/>
  <c r="EM181" i="25"/>
  <c r="DU181" i="25" s="1"/>
  <c r="EN181" i="25"/>
  <c r="EO181" i="25"/>
  <c r="EP181" i="25"/>
  <c r="ES181" i="25"/>
  <c r="ET181" i="25"/>
  <c r="CE43" i="25"/>
  <c r="CF43" i="25"/>
  <c r="CH43" i="25"/>
  <c r="CI43" i="25"/>
  <c r="CJ43" i="25"/>
  <c r="CK43" i="25"/>
  <c r="CL43" i="25"/>
  <c r="CM43" i="25"/>
  <c r="CN43" i="25"/>
  <c r="CT43" i="25"/>
  <c r="DB43" i="25"/>
  <c r="DC43" i="25"/>
  <c r="DG43" i="25"/>
  <c r="DH43" i="25"/>
  <c r="DL43" i="25"/>
  <c r="DM43" i="25"/>
  <c r="DT43" i="25" s="1"/>
  <c r="DN43" i="25"/>
  <c r="DO43" i="25"/>
  <c r="DV43" i="25"/>
  <c r="DW43" i="25"/>
  <c r="DX43" i="25" s="1"/>
  <c r="DY43" i="25"/>
  <c r="EA43" i="25"/>
  <c r="EB43" i="25"/>
  <c r="EI43" i="25"/>
  <c r="EJ43" i="25"/>
  <c r="EK43" i="25"/>
  <c r="EL43" i="25"/>
  <c r="EM43" i="25"/>
  <c r="DU43" i="25" s="1"/>
  <c r="EN43" i="25"/>
  <c r="EO43" i="25"/>
  <c r="EP43" i="25"/>
  <c r="ES43" i="25"/>
  <c r="ET43" i="25"/>
  <c r="CE180" i="25"/>
  <c r="CE196" i="25"/>
  <c r="CF180" i="25"/>
  <c r="CF196" i="25"/>
  <c r="CH180" i="25"/>
  <c r="CH196" i="25"/>
  <c r="CI180" i="25"/>
  <c r="CI196" i="25"/>
  <c r="CJ180" i="25"/>
  <c r="CJ196" i="25"/>
  <c r="CK180" i="25"/>
  <c r="CK196" i="25"/>
  <c r="CL180" i="25"/>
  <c r="CL196" i="25"/>
  <c r="CM180" i="25"/>
  <c r="CM196" i="25"/>
  <c r="CN180" i="25"/>
  <c r="CN196" i="25"/>
  <c r="CT180" i="25"/>
  <c r="CU180" i="25" s="1"/>
  <c r="CT196" i="25"/>
  <c r="CU196" i="25" s="1"/>
  <c r="DB180" i="25"/>
  <c r="DB196" i="25"/>
  <c r="DC180" i="25"/>
  <c r="DC196" i="25"/>
  <c r="DG180" i="25"/>
  <c r="DG196" i="25"/>
  <c r="DH180" i="25"/>
  <c r="DH196" i="25"/>
  <c r="DL180" i="25"/>
  <c r="DL196" i="25"/>
  <c r="DM180" i="25"/>
  <c r="DT180" i="25" s="1"/>
  <c r="DM196" i="25"/>
  <c r="DT196" i="25" s="1"/>
  <c r="DN180" i="25"/>
  <c r="DN196" i="25"/>
  <c r="DO180" i="25"/>
  <c r="DO196" i="25"/>
  <c r="DV180" i="25"/>
  <c r="DV196" i="25"/>
  <c r="DW180" i="25"/>
  <c r="DX180" i="25" s="1"/>
  <c r="DW196" i="25"/>
  <c r="DX196" i="25" s="1"/>
  <c r="DY180" i="25"/>
  <c r="DY196" i="25"/>
  <c r="EA180" i="25"/>
  <c r="EA196" i="25"/>
  <c r="EB180" i="25"/>
  <c r="EB196" i="25"/>
  <c r="EI180" i="25"/>
  <c r="EI196" i="25"/>
  <c r="EJ180" i="25"/>
  <c r="EJ196" i="25"/>
  <c r="EK180" i="25"/>
  <c r="EK196" i="25"/>
  <c r="EL180" i="25"/>
  <c r="EL196" i="25"/>
  <c r="EM180" i="25"/>
  <c r="DU180" i="25" s="1"/>
  <c r="EM196" i="25"/>
  <c r="DU196" i="25" s="1"/>
  <c r="EN180" i="25"/>
  <c r="EN196" i="25"/>
  <c r="EO180" i="25"/>
  <c r="EO196" i="25"/>
  <c r="EP180" i="25"/>
  <c r="EP196" i="25"/>
  <c r="ES180" i="25"/>
  <c r="ES196" i="25"/>
  <c r="ET180" i="25"/>
  <c r="ET196" i="25"/>
  <c r="CE187" i="25"/>
  <c r="CF187" i="25"/>
  <c r="CH187" i="25"/>
  <c r="CI187" i="25"/>
  <c r="CJ187" i="25"/>
  <c r="CK187" i="25"/>
  <c r="CL187" i="25"/>
  <c r="CM187" i="25"/>
  <c r="CN187" i="25"/>
  <c r="CT187" i="25"/>
  <c r="CU187" i="25" s="1"/>
  <c r="DB187" i="25"/>
  <c r="DC187" i="25"/>
  <c r="DG187" i="25"/>
  <c r="DH187" i="25"/>
  <c r="DL187" i="25"/>
  <c r="DM187" i="25"/>
  <c r="DT187" i="25" s="1"/>
  <c r="DN187" i="25"/>
  <c r="DO187" i="25"/>
  <c r="DV187" i="25"/>
  <c r="DW187" i="25"/>
  <c r="DX187" i="25" s="1"/>
  <c r="DY187" i="25"/>
  <c r="EA187" i="25"/>
  <c r="EB187" i="25"/>
  <c r="EI187" i="25"/>
  <c r="EJ187" i="25"/>
  <c r="EK187" i="25"/>
  <c r="EL187" i="25"/>
  <c r="EM187" i="25"/>
  <c r="DU187" i="25" s="1"/>
  <c r="EN187" i="25"/>
  <c r="EO187" i="25"/>
  <c r="EP187" i="25"/>
  <c r="ES187" i="25"/>
  <c r="ET187" i="25"/>
  <c r="CE195" i="25"/>
  <c r="CF195" i="25"/>
  <c r="CH195" i="25"/>
  <c r="CI195" i="25"/>
  <c r="CJ195" i="25"/>
  <c r="CK195" i="25"/>
  <c r="CL195" i="25"/>
  <c r="CM195" i="25"/>
  <c r="CN195" i="25"/>
  <c r="CT195" i="25"/>
  <c r="CU195" i="25" s="1"/>
  <c r="DB195" i="25"/>
  <c r="DC195" i="25"/>
  <c r="DG195" i="25"/>
  <c r="DH195" i="25"/>
  <c r="DL195" i="25"/>
  <c r="DM195" i="25"/>
  <c r="DT195" i="25" s="1"/>
  <c r="DN195" i="25"/>
  <c r="DO195" i="25"/>
  <c r="DV195" i="25"/>
  <c r="DW195" i="25"/>
  <c r="DX195" i="25" s="1"/>
  <c r="DY195" i="25"/>
  <c r="EA195" i="25"/>
  <c r="EB195" i="25"/>
  <c r="EI195" i="25"/>
  <c r="EJ195" i="25"/>
  <c r="EK195" i="25"/>
  <c r="EL195" i="25"/>
  <c r="EM195" i="25"/>
  <c r="DU195" i="25" s="1"/>
  <c r="EN195" i="25"/>
  <c r="EO195" i="25"/>
  <c r="EP195" i="25"/>
  <c r="ES195" i="25"/>
  <c r="ET195" i="25"/>
  <c r="CE52" i="25"/>
  <c r="CE185" i="25"/>
  <c r="CE186" i="25"/>
  <c r="CE22" i="25"/>
  <c r="CE14" i="25"/>
  <c r="CF52" i="25"/>
  <c r="CF185" i="25"/>
  <c r="CF186" i="25"/>
  <c r="CF22" i="25"/>
  <c r="CF14" i="25"/>
  <c r="CH52" i="25"/>
  <c r="CH185" i="25"/>
  <c r="CH186" i="25"/>
  <c r="CH22" i="25"/>
  <c r="CH14" i="25"/>
  <c r="CI52" i="25"/>
  <c r="CI185" i="25"/>
  <c r="CI186" i="25"/>
  <c r="CI22" i="25"/>
  <c r="CI14" i="25"/>
  <c r="CJ52" i="25"/>
  <c r="CJ185" i="25"/>
  <c r="CJ186" i="25"/>
  <c r="CJ22" i="25"/>
  <c r="CJ14" i="25"/>
  <c r="CK52" i="25"/>
  <c r="CK185" i="25"/>
  <c r="CK186" i="25"/>
  <c r="CK22" i="25"/>
  <c r="CK14" i="25"/>
  <c r="CL52" i="25"/>
  <c r="CL185" i="25"/>
  <c r="CL186" i="25"/>
  <c r="CL22" i="25"/>
  <c r="CL14" i="25"/>
  <c r="CM52" i="25"/>
  <c r="CM185" i="25"/>
  <c r="CM186" i="25"/>
  <c r="CM22" i="25"/>
  <c r="CM14" i="25"/>
  <c r="CN52" i="25"/>
  <c r="CN185" i="25"/>
  <c r="CN186" i="25"/>
  <c r="CN22" i="25"/>
  <c r="CN14" i="25"/>
  <c r="CT52" i="25"/>
  <c r="CU52" i="25" s="1"/>
  <c r="CT185" i="25"/>
  <c r="CT186" i="25"/>
  <c r="CU186" i="25" s="1"/>
  <c r="CT22" i="25"/>
  <c r="CU22" i="25" s="1"/>
  <c r="CT14" i="25"/>
  <c r="CU14" i="25" s="1"/>
  <c r="DB52" i="25"/>
  <c r="DB185" i="25"/>
  <c r="DB186" i="25"/>
  <c r="DB22" i="25"/>
  <c r="DB14" i="25"/>
  <c r="DC52" i="25"/>
  <c r="DC185" i="25"/>
  <c r="DC186" i="25"/>
  <c r="DC22" i="25"/>
  <c r="DC14" i="25"/>
  <c r="DG52" i="25"/>
  <c r="DG185" i="25"/>
  <c r="DG186" i="25"/>
  <c r="DG22" i="25"/>
  <c r="DG14" i="25"/>
  <c r="DH52" i="25"/>
  <c r="DH185" i="25"/>
  <c r="DH186" i="25"/>
  <c r="DH22" i="25"/>
  <c r="DH14" i="25"/>
  <c r="DL52" i="25"/>
  <c r="DL185" i="25"/>
  <c r="DL186" i="25"/>
  <c r="DL22" i="25"/>
  <c r="DL14" i="25"/>
  <c r="DM52" i="25"/>
  <c r="DT52" i="25" s="1"/>
  <c r="DM185" i="25"/>
  <c r="DM186" i="25"/>
  <c r="DT186" i="25" s="1"/>
  <c r="DM22" i="25"/>
  <c r="DT22" i="25" s="1"/>
  <c r="DM14" i="25"/>
  <c r="DT14" i="25" s="1"/>
  <c r="DN52" i="25"/>
  <c r="DN185" i="25"/>
  <c r="DN186" i="25"/>
  <c r="DN22" i="25"/>
  <c r="DN14" i="25"/>
  <c r="DO52" i="25"/>
  <c r="DO185" i="25"/>
  <c r="DO186" i="25"/>
  <c r="DO22" i="25"/>
  <c r="DO14" i="25"/>
  <c r="DV52" i="25"/>
  <c r="DV185" i="25"/>
  <c r="DV186" i="25"/>
  <c r="DV22" i="25"/>
  <c r="DV14" i="25"/>
  <c r="DW52" i="25"/>
  <c r="DX52" i="25" s="1"/>
  <c r="DW185" i="25"/>
  <c r="DZ185" i="25" s="1"/>
  <c r="DW186" i="25"/>
  <c r="DZ186" i="25" s="1"/>
  <c r="DW22" i="25"/>
  <c r="DZ22" i="25" s="1"/>
  <c r="DW14" i="25"/>
  <c r="DX14" i="25" s="1"/>
  <c r="DY52" i="25"/>
  <c r="DY185" i="25"/>
  <c r="DY186" i="25"/>
  <c r="DY22" i="25"/>
  <c r="DY14" i="25"/>
  <c r="EA52" i="25"/>
  <c r="EA185" i="25"/>
  <c r="EA186" i="25"/>
  <c r="EA22" i="25"/>
  <c r="EA14" i="25"/>
  <c r="EB52" i="25"/>
  <c r="EB185" i="25"/>
  <c r="EB186" i="25"/>
  <c r="EB22" i="25"/>
  <c r="EB14" i="25"/>
  <c r="EI52" i="25"/>
  <c r="EI185" i="25"/>
  <c r="EI186" i="25"/>
  <c r="EI22" i="25"/>
  <c r="EI14" i="25"/>
  <c r="EJ52" i="25"/>
  <c r="EJ185" i="25"/>
  <c r="EJ186" i="25"/>
  <c r="EJ22" i="25"/>
  <c r="EJ14" i="25"/>
  <c r="EK52" i="25"/>
  <c r="DI52" i="25" s="1"/>
  <c r="DJ52" i="25" s="1"/>
  <c r="EK185" i="25"/>
  <c r="DI185" i="25" s="1"/>
  <c r="DJ185" i="25" s="1"/>
  <c r="EK186" i="25"/>
  <c r="DI186" i="25" s="1"/>
  <c r="DJ186" i="25" s="1"/>
  <c r="EK22" i="25"/>
  <c r="EK14" i="25"/>
  <c r="DI14" i="25" s="1"/>
  <c r="DJ14" i="25" s="1"/>
  <c r="EL52" i="25"/>
  <c r="EL185" i="25"/>
  <c r="EL186" i="25"/>
  <c r="EL22" i="25"/>
  <c r="EL14" i="25"/>
  <c r="EM52" i="25"/>
  <c r="DU52" i="25" s="1"/>
  <c r="EM185" i="25"/>
  <c r="DU185" i="25" s="1"/>
  <c r="EM186" i="25"/>
  <c r="DU186" i="25" s="1"/>
  <c r="EM22" i="25"/>
  <c r="DU22" i="25" s="1"/>
  <c r="EM14" i="25"/>
  <c r="DU14" i="25" s="1"/>
  <c r="EN52" i="25"/>
  <c r="EN185" i="25"/>
  <c r="EN186" i="25"/>
  <c r="EN22" i="25"/>
  <c r="EN14" i="25"/>
  <c r="EO52" i="25"/>
  <c r="EO185" i="25"/>
  <c r="EO186" i="25"/>
  <c r="EO22" i="25"/>
  <c r="EO14" i="25"/>
  <c r="EP52" i="25"/>
  <c r="EP185" i="25"/>
  <c r="EP186" i="25"/>
  <c r="EP22" i="25"/>
  <c r="EP14" i="25"/>
  <c r="ES52" i="25"/>
  <c r="ES185" i="25"/>
  <c r="ES186" i="25"/>
  <c r="ES22" i="25"/>
  <c r="ES14" i="25"/>
  <c r="ET52" i="25"/>
  <c r="ET185" i="25"/>
  <c r="ET186" i="25"/>
  <c r="ET22" i="25"/>
  <c r="ET14" i="25"/>
  <c r="CE194" i="25"/>
  <c r="CF194" i="25"/>
  <c r="CH194" i="25"/>
  <c r="CI194" i="25"/>
  <c r="CJ194" i="25"/>
  <c r="CK194" i="25"/>
  <c r="CL194" i="25"/>
  <c r="CM194" i="25"/>
  <c r="CN194" i="25"/>
  <c r="CT194" i="25"/>
  <c r="CU194" i="25" s="1"/>
  <c r="DB194" i="25"/>
  <c r="DC194" i="25"/>
  <c r="DG194" i="25"/>
  <c r="DH194" i="25"/>
  <c r="DL194" i="25"/>
  <c r="DM194" i="25"/>
  <c r="DT194" i="25" s="1"/>
  <c r="DN194" i="25"/>
  <c r="DO194" i="25"/>
  <c r="DV194" i="25"/>
  <c r="DW194" i="25"/>
  <c r="DX194" i="25" s="1"/>
  <c r="DY194" i="25"/>
  <c r="EA194" i="25"/>
  <c r="EB194" i="25"/>
  <c r="EI194" i="25"/>
  <c r="EJ194" i="25"/>
  <c r="EK194" i="25"/>
  <c r="EL194" i="25"/>
  <c r="EM194" i="25"/>
  <c r="DU194" i="25" s="1"/>
  <c r="EN194" i="25"/>
  <c r="EO194" i="25"/>
  <c r="EP194" i="25"/>
  <c r="ES194" i="25"/>
  <c r="ET194" i="25"/>
  <c r="CE36" i="25"/>
  <c r="CF36" i="25"/>
  <c r="CH36" i="25"/>
  <c r="CI36" i="25"/>
  <c r="CJ36" i="25"/>
  <c r="CK36" i="25"/>
  <c r="CL36" i="25"/>
  <c r="CM36" i="25"/>
  <c r="CN36" i="25"/>
  <c r="CT36" i="25"/>
  <c r="CU36" i="25" s="1"/>
  <c r="DB36" i="25"/>
  <c r="DC36" i="25"/>
  <c r="DG36" i="25"/>
  <c r="DH36" i="25"/>
  <c r="DL36" i="25"/>
  <c r="DM36" i="25"/>
  <c r="DT36" i="25" s="1"/>
  <c r="DN36" i="25"/>
  <c r="DO36" i="25"/>
  <c r="DV36" i="25"/>
  <c r="DW36" i="25"/>
  <c r="DX36" i="25" s="1"/>
  <c r="DY36" i="25"/>
  <c r="EA36" i="25"/>
  <c r="EB36" i="25"/>
  <c r="EI36" i="25"/>
  <c r="EJ36" i="25"/>
  <c r="EK36" i="25"/>
  <c r="EL36" i="25"/>
  <c r="EM36" i="25"/>
  <c r="DU36" i="25" s="1"/>
  <c r="EN36" i="25"/>
  <c r="EO36" i="25"/>
  <c r="EP36" i="25"/>
  <c r="ES36" i="25"/>
  <c r="ET36" i="25"/>
  <c r="CE7" i="25"/>
  <c r="CE11" i="25"/>
  <c r="CE53" i="25"/>
  <c r="CE179" i="25"/>
  <c r="CF7" i="25"/>
  <c r="CF11" i="25"/>
  <c r="CF53" i="25"/>
  <c r="CF179" i="25"/>
  <c r="CH7" i="25"/>
  <c r="CH11" i="25"/>
  <c r="CH53" i="25"/>
  <c r="CH179" i="25"/>
  <c r="CI7" i="25"/>
  <c r="CI11" i="25"/>
  <c r="CI53" i="25"/>
  <c r="CI179" i="25"/>
  <c r="CJ7" i="25"/>
  <c r="CJ11" i="25"/>
  <c r="CJ53" i="25"/>
  <c r="CJ179" i="25"/>
  <c r="CK7" i="25"/>
  <c r="CK11" i="25"/>
  <c r="CK53" i="25"/>
  <c r="CK179" i="25"/>
  <c r="CL7" i="25"/>
  <c r="CL11" i="25"/>
  <c r="CL53" i="25"/>
  <c r="CL179" i="25"/>
  <c r="CM7" i="25"/>
  <c r="CM11" i="25"/>
  <c r="CM53" i="25"/>
  <c r="CM179" i="25"/>
  <c r="CN7" i="25"/>
  <c r="CN11" i="25"/>
  <c r="CN53" i="25"/>
  <c r="CN179" i="25"/>
  <c r="CT7" i="25"/>
  <c r="CU7" i="25" s="1"/>
  <c r="CT11" i="25"/>
  <c r="CU11" i="25" s="1"/>
  <c r="CT53" i="25"/>
  <c r="CU53" i="25" s="1"/>
  <c r="CT179" i="25"/>
  <c r="CU179" i="25" s="1"/>
  <c r="DB7" i="25"/>
  <c r="DB11" i="25"/>
  <c r="DB53" i="25"/>
  <c r="DB179" i="25"/>
  <c r="DC7" i="25"/>
  <c r="DC11" i="25"/>
  <c r="DC53" i="25"/>
  <c r="DC179" i="25"/>
  <c r="DG7" i="25"/>
  <c r="DG11" i="25"/>
  <c r="DG53" i="25"/>
  <c r="DG179" i="25"/>
  <c r="DH7" i="25"/>
  <c r="DH11" i="25"/>
  <c r="DH53" i="25"/>
  <c r="DH179" i="25"/>
  <c r="DL7" i="25"/>
  <c r="DL11" i="25"/>
  <c r="DL53" i="25"/>
  <c r="DL179" i="25"/>
  <c r="DM7" i="25"/>
  <c r="DT7" i="25" s="1"/>
  <c r="DM11" i="25"/>
  <c r="DT11" i="25" s="1"/>
  <c r="DM53" i="25"/>
  <c r="DT53" i="25" s="1"/>
  <c r="DM179" i="25"/>
  <c r="DT179" i="25" s="1"/>
  <c r="DN7" i="25"/>
  <c r="DN11" i="25"/>
  <c r="DN53" i="25"/>
  <c r="DN179" i="25"/>
  <c r="DO7" i="25"/>
  <c r="DO11" i="25"/>
  <c r="DO53" i="25"/>
  <c r="DO179" i="25"/>
  <c r="DV7" i="25"/>
  <c r="DV11" i="25"/>
  <c r="DV53" i="25"/>
  <c r="DV179" i="25"/>
  <c r="DW7" i="25"/>
  <c r="DX7" i="25" s="1"/>
  <c r="DW11" i="25"/>
  <c r="DX11" i="25" s="1"/>
  <c r="DW53" i="25"/>
  <c r="DX53" i="25" s="1"/>
  <c r="DW179" i="25"/>
  <c r="DZ179" i="25" s="1"/>
  <c r="DY7" i="25"/>
  <c r="DY11" i="25"/>
  <c r="DY53" i="25"/>
  <c r="DY179" i="25"/>
  <c r="EA7" i="25"/>
  <c r="EA11" i="25"/>
  <c r="EA53" i="25"/>
  <c r="EA179" i="25"/>
  <c r="EB7" i="25"/>
  <c r="EB11" i="25"/>
  <c r="EB53" i="25"/>
  <c r="EB179" i="25"/>
  <c r="EI7" i="25"/>
  <c r="EI11" i="25"/>
  <c r="EI53" i="25"/>
  <c r="EI179" i="25"/>
  <c r="EJ7" i="25"/>
  <c r="EJ11" i="25"/>
  <c r="EJ53" i="25"/>
  <c r="EJ179" i="25"/>
  <c r="EK7" i="25"/>
  <c r="DI7" i="25" s="1"/>
  <c r="DJ7" i="25" s="1"/>
  <c r="EK11" i="25"/>
  <c r="DI11" i="25" s="1"/>
  <c r="DJ11" i="25" s="1"/>
  <c r="EK53" i="25"/>
  <c r="EK179" i="25"/>
  <c r="DI179" i="25" s="1"/>
  <c r="DJ179" i="25" s="1"/>
  <c r="EL7" i="25"/>
  <c r="EL11" i="25"/>
  <c r="EL53" i="25"/>
  <c r="EL179" i="25"/>
  <c r="EM7" i="25"/>
  <c r="DU7" i="25" s="1"/>
  <c r="EM11" i="25"/>
  <c r="DU11" i="25" s="1"/>
  <c r="EM53" i="25"/>
  <c r="DU53" i="25" s="1"/>
  <c r="EM179" i="25"/>
  <c r="DU179" i="25" s="1"/>
  <c r="EN7" i="25"/>
  <c r="EN11" i="25"/>
  <c r="EN53" i="25"/>
  <c r="EN179" i="25"/>
  <c r="EO7" i="25"/>
  <c r="EO11" i="25"/>
  <c r="EO53" i="25"/>
  <c r="EO179" i="25"/>
  <c r="EP7" i="25"/>
  <c r="EP11" i="25"/>
  <c r="EP53" i="25"/>
  <c r="EP179" i="25"/>
  <c r="ES7" i="25"/>
  <c r="ES11" i="25"/>
  <c r="ES53" i="25"/>
  <c r="ES179" i="25"/>
  <c r="ET7" i="25"/>
  <c r="ET11" i="25"/>
  <c r="ET53" i="25"/>
  <c r="ET179" i="25"/>
  <c r="CE193" i="25"/>
  <c r="CF193" i="25"/>
  <c r="CH193" i="25"/>
  <c r="CI193" i="25"/>
  <c r="CJ193" i="25"/>
  <c r="CK193" i="25"/>
  <c r="CL193" i="25"/>
  <c r="CM193" i="25"/>
  <c r="CN193" i="25"/>
  <c r="CT193" i="25"/>
  <c r="CU193" i="25" s="1"/>
  <c r="DB193" i="25"/>
  <c r="DC193" i="25"/>
  <c r="DG193" i="25"/>
  <c r="DH193" i="25"/>
  <c r="DL193" i="25"/>
  <c r="DM193" i="25"/>
  <c r="DT193" i="25" s="1"/>
  <c r="DN193" i="25"/>
  <c r="DO193" i="25"/>
  <c r="DV193" i="25"/>
  <c r="DW193" i="25"/>
  <c r="DX193" i="25" s="1"/>
  <c r="DY193" i="25"/>
  <c r="EA193" i="25"/>
  <c r="EB193" i="25"/>
  <c r="EI193" i="25"/>
  <c r="EJ193" i="25"/>
  <c r="EK193" i="25"/>
  <c r="EL193" i="25"/>
  <c r="EM193" i="25"/>
  <c r="DU193" i="25" s="1"/>
  <c r="EN193" i="25"/>
  <c r="EO193" i="25"/>
  <c r="EP193" i="25"/>
  <c r="ES193" i="25"/>
  <c r="ET193" i="25"/>
  <c r="CE29" i="25"/>
  <c r="CE26" i="25"/>
  <c r="CE48" i="25"/>
  <c r="CF29" i="25"/>
  <c r="CF26" i="25"/>
  <c r="CF48" i="25"/>
  <c r="CH29" i="25"/>
  <c r="CH26" i="25"/>
  <c r="CH48" i="25"/>
  <c r="CI29" i="25"/>
  <c r="CI26" i="25"/>
  <c r="CI48" i="25"/>
  <c r="CJ29" i="25"/>
  <c r="CJ26" i="25"/>
  <c r="CJ48" i="25"/>
  <c r="CK29" i="25"/>
  <c r="CK26" i="25"/>
  <c r="CK48" i="25"/>
  <c r="CL29" i="25"/>
  <c r="CL26" i="25"/>
  <c r="CL48" i="25"/>
  <c r="CM29" i="25"/>
  <c r="CM26" i="25"/>
  <c r="CM48" i="25"/>
  <c r="CN29" i="25"/>
  <c r="CN26" i="25"/>
  <c r="CN48" i="25"/>
  <c r="CT29" i="25"/>
  <c r="CU29" i="25" s="1"/>
  <c r="CT26" i="25"/>
  <c r="CU26" i="25" s="1"/>
  <c r="CT48" i="25"/>
  <c r="CU48" i="25" s="1"/>
  <c r="DB29" i="25"/>
  <c r="DB26" i="25"/>
  <c r="DB48" i="25"/>
  <c r="DC29" i="25"/>
  <c r="DC26" i="25"/>
  <c r="DC48" i="25"/>
  <c r="DG29" i="25"/>
  <c r="DG26" i="25"/>
  <c r="DG48" i="25"/>
  <c r="DH29" i="25"/>
  <c r="DH26" i="25"/>
  <c r="DH48" i="25"/>
  <c r="DL29" i="25"/>
  <c r="DL26" i="25"/>
  <c r="DL48" i="25"/>
  <c r="DM29" i="25"/>
  <c r="DM26" i="25"/>
  <c r="DT26" i="25" s="1"/>
  <c r="DM48" i="25"/>
  <c r="DT48" i="25" s="1"/>
  <c r="DN29" i="25"/>
  <c r="DN26" i="25"/>
  <c r="DN48" i="25"/>
  <c r="DO29" i="25"/>
  <c r="DO26" i="25"/>
  <c r="DO48" i="25"/>
  <c r="DV29" i="25"/>
  <c r="DV26" i="25"/>
  <c r="DV48" i="25"/>
  <c r="DW29" i="25"/>
  <c r="DX29" i="25" s="1"/>
  <c r="DW26" i="25"/>
  <c r="DX26" i="25" s="1"/>
  <c r="DW48" i="25"/>
  <c r="DX48" i="25" s="1"/>
  <c r="DY29" i="25"/>
  <c r="DY26" i="25"/>
  <c r="DY48" i="25"/>
  <c r="EA29" i="25"/>
  <c r="EA26" i="25"/>
  <c r="EA48" i="25"/>
  <c r="EB29" i="25"/>
  <c r="EB26" i="25"/>
  <c r="EB48" i="25"/>
  <c r="EI29" i="25"/>
  <c r="EI26" i="25"/>
  <c r="EI48" i="25"/>
  <c r="EJ29" i="25"/>
  <c r="EJ26" i="25"/>
  <c r="EJ48" i="25"/>
  <c r="EK29" i="25"/>
  <c r="EK26" i="25"/>
  <c r="DI26" i="25" s="1"/>
  <c r="DJ26" i="25" s="1"/>
  <c r="EK48" i="25"/>
  <c r="DF48" i="25" s="1"/>
  <c r="EL29" i="25"/>
  <c r="EL26" i="25"/>
  <c r="EL48" i="25"/>
  <c r="EM29" i="25"/>
  <c r="DU29" i="25" s="1"/>
  <c r="EM26" i="25"/>
  <c r="DU26" i="25" s="1"/>
  <c r="EM48" i="25"/>
  <c r="DU48" i="25" s="1"/>
  <c r="EN29" i="25"/>
  <c r="EN26" i="25"/>
  <c r="EN48" i="25"/>
  <c r="EO29" i="25"/>
  <c r="EO26" i="25"/>
  <c r="EO48" i="25"/>
  <c r="EP29" i="25"/>
  <c r="EP26" i="25"/>
  <c r="EP48" i="25"/>
  <c r="ES29" i="25"/>
  <c r="ES26" i="25"/>
  <c r="ES48" i="25"/>
  <c r="ET29" i="25"/>
  <c r="ET26" i="25"/>
  <c r="ET48" i="25"/>
  <c r="CE71" i="25"/>
  <c r="CF71" i="25"/>
  <c r="CH71" i="25"/>
  <c r="CI71" i="25"/>
  <c r="CJ71" i="25"/>
  <c r="CK71" i="25"/>
  <c r="CL71" i="25"/>
  <c r="CM71" i="25"/>
  <c r="CN71" i="25"/>
  <c r="CT71" i="25"/>
  <c r="CU71" i="25" s="1"/>
  <c r="DB71" i="25"/>
  <c r="DC71" i="25"/>
  <c r="DG71" i="25"/>
  <c r="DH71" i="25"/>
  <c r="DL71" i="25"/>
  <c r="DM71" i="25"/>
  <c r="DT71" i="25" s="1"/>
  <c r="DN71" i="25"/>
  <c r="DO71" i="25"/>
  <c r="DV71" i="25"/>
  <c r="DW71" i="25"/>
  <c r="DX71" i="25" s="1"/>
  <c r="DY71" i="25"/>
  <c r="EA71" i="25"/>
  <c r="EB71" i="25"/>
  <c r="EI71" i="25"/>
  <c r="EJ71" i="25"/>
  <c r="EK71" i="25"/>
  <c r="EL71" i="25"/>
  <c r="EM71" i="25"/>
  <c r="DU71" i="25" s="1"/>
  <c r="EN71" i="25"/>
  <c r="EO71" i="25"/>
  <c r="EP71" i="25"/>
  <c r="ES71" i="25"/>
  <c r="ET71" i="25"/>
  <c r="CE10" i="25"/>
  <c r="CE56" i="25"/>
  <c r="CE72" i="25"/>
  <c r="CF10" i="25"/>
  <c r="CF56" i="25"/>
  <c r="CF72" i="25"/>
  <c r="CH10" i="25"/>
  <c r="CH56" i="25"/>
  <c r="CH72" i="25"/>
  <c r="CI10" i="25"/>
  <c r="CI56" i="25"/>
  <c r="CI72" i="25"/>
  <c r="CJ10" i="25"/>
  <c r="CJ56" i="25"/>
  <c r="CJ72" i="25"/>
  <c r="CK10" i="25"/>
  <c r="CK56" i="25"/>
  <c r="CK72" i="25"/>
  <c r="CL10" i="25"/>
  <c r="CL56" i="25"/>
  <c r="CL72" i="25"/>
  <c r="CM10" i="25"/>
  <c r="CM56" i="25"/>
  <c r="CM72" i="25"/>
  <c r="CN10" i="25"/>
  <c r="CN56" i="25"/>
  <c r="CN72" i="25"/>
  <c r="CT10" i="25"/>
  <c r="CU10" i="25" s="1"/>
  <c r="CT56" i="25"/>
  <c r="CT72" i="25"/>
  <c r="CU72" i="25" s="1"/>
  <c r="DB10" i="25"/>
  <c r="DB56" i="25"/>
  <c r="DB72" i="25"/>
  <c r="DC10" i="25"/>
  <c r="DC56" i="25"/>
  <c r="DC72" i="25"/>
  <c r="DG10" i="25"/>
  <c r="DG56" i="25"/>
  <c r="DG72" i="25"/>
  <c r="DH10" i="25"/>
  <c r="DH56" i="25"/>
  <c r="DH72" i="25"/>
  <c r="DL10" i="25"/>
  <c r="DL56" i="25"/>
  <c r="DL72" i="25"/>
  <c r="DM10" i="25"/>
  <c r="DT10" i="25" s="1"/>
  <c r="DM56" i="25"/>
  <c r="DM72" i="25"/>
  <c r="DN10" i="25"/>
  <c r="DN56" i="25"/>
  <c r="DN72" i="25"/>
  <c r="DO10" i="25"/>
  <c r="DO56" i="25"/>
  <c r="DO72" i="25"/>
  <c r="DV10" i="25"/>
  <c r="DV56" i="25"/>
  <c r="DV72" i="25"/>
  <c r="DW10" i="25"/>
  <c r="DX10" i="25" s="1"/>
  <c r="DW56" i="25"/>
  <c r="DX56" i="25" s="1"/>
  <c r="DW72" i="25"/>
  <c r="DX72" i="25" s="1"/>
  <c r="DY10" i="25"/>
  <c r="DY56" i="25"/>
  <c r="DY72" i="25"/>
  <c r="EA10" i="25"/>
  <c r="EA56" i="25"/>
  <c r="EA72" i="25"/>
  <c r="EB10" i="25"/>
  <c r="EB56" i="25"/>
  <c r="EB72" i="25"/>
  <c r="EI10" i="25"/>
  <c r="EI56" i="25"/>
  <c r="EI72" i="25"/>
  <c r="EJ10" i="25"/>
  <c r="EJ56" i="25"/>
  <c r="EJ72" i="25"/>
  <c r="EK10" i="25"/>
  <c r="EK56" i="25"/>
  <c r="DI56" i="25" s="1"/>
  <c r="DJ56" i="25" s="1"/>
  <c r="EK72" i="25"/>
  <c r="DF72" i="25" s="1"/>
  <c r="EL10" i="25"/>
  <c r="EL56" i="25"/>
  <c r="EL72" i="25"/>
  <c r="EM10" i="25"/>
  <c r="DU10" i="25" s="1"/>
  <c r="EM56" i="25"/>
  <c r="DU56" i="25" s="1"/>
  <c r="EM72" i="25"/>
  <c r="DU72" i="25" s="1"/>
  <c r="EN10" i="25"/>
  <c r="EN56" i="25"/>
  <c r="EN72" i="25"/>
  <c r="EO10" i="25"/>
  <c r="EO56" i="25"/>
  <c r="EO72" i="25"/>
  <c r="EP10" i="25"/>
  <c r="EP56" i="25"/>
  <c r="EP72" i="25"/>
  <c r="ES10" i="25"/>
  <c r="ES56" i="25"/>
  <c r="ES72" i="25"/>
  <c r="ET10" i="25"/>
  <c r="ET56" i="25"/>
  <c r="ET72" i="25"/>
  <c r="CE191" i="25"/>
  <c r="CE192" i="25"/>
  <c r="CF191" i="25"/>
  <c r="CF192" i="25"/>
  <c r="CH191" i="25"/>
  <c r="CH192" i="25"/>
  <c r="CI191" i="25"/>
  <c r="CI192" i="25"/>
  <c r="CJ191" i="25"/>
  <c r="CJ192" i="25"/>
  <c r="CK191" i="25"/>
  <c r="CK192" i="25"/>
  <c r="CL191" i="25"/>
  <c r="CL192" i="25"/>
  <c r="CM191" i="25"/>
  <c r="CM192" i="25"/>
  <c r="CN191" i="25"/>
  <c r="CN192" i="25"/>
  <c r="CT191" i="25"/>
  <c r="CU191" i="25" s="1"/>
  <c r="CT192" i="25"/>
  <c r="CU192" i="25" s="1"/>
  <c r="DB191" i="25"/>
  <c r="DB192" i="25"/>
  <c r="DC191" i="25"/>
  <c r="DC192" i="25"/>
  <c r="DG191" i="25"/>
  <c r="DG192" i="25"/>
  <c r="DH191" i="25"/>
  <c r="DH192" i="25"/>
  <c r="DL191" i="25"/>
  <c r="DL192" i="25"/>
  <c r="DM191" i="25"/>
  <c r="DT191" i="25" s="1"/>
  <c r="DM192" i="25"/>
  <c r="DT192" i="25" s="1"/>
  <c r="DN191" i="25"/>
  <c r="DN192" i="25"/>
  <c r="DO191" i="25"/>
  <c r="DO192" i="25"/>
  <c r="DV191" i="25"/>
  <c r="DV192" i="25"/>
  <c r="DW191" i="25"/>
  <c r="DX191" i="25" s="1"/>
  <c r="DW192" i="25"/>
  <c r="DX192" i="25" s="1"/>
  <c r="DY191" i="25"/>
  <c r="DY192" i="25"/>
  <c r="EA191" i="25"/>
  <c r="EA192" i="25"/>
  <c r="EB191" i="25"/>
  <c r="EB192" i="25"/>
  <c r="EI191" i="25"/>
  <c r="EI192" i="25"/>
  <c r="EJ191" i="25"/>
  <c r="EJ192" i="25"/>
  <c r="EK191" i="25"/>
  <c r="EK192" i="25"/>
  <c r="EL191" i="25"/>
  <c r="EL192" i="25"/>
  <c r="EM191" i="25"/>
  <c r="DU191" i="25" s="1"/>
  <c r="EM192" i="25"/>
  <c r="DU192" i="25" s="1"/>
  <c r="EN191" i="25"/>
  <c r="EN192" i="25"/>
  <c r="EO191" i="25"/>
  <c r="EO192" i="25"/>
  <c r="EP191" i="25"/>
  <c r="EP192" i="25"/>
  <c r="ES191" i="25"/>
  <c r="ES192" i="25"/>
  <c r="ET191" i="25"/>
  <c r="ET192" i="25"/>
  <c r="CE190" i="25"/>
  <c r="CF190" i="25"/>
  <c r="CH190" i="25"/>
  <c r="CI190" i="25"/>
  <c r="CJ190" i="25"/>
  <c r="CK190" i="25"/>
  <c r="CL190" i="25"/>
  <c r="CM190" i="25"/>
  <c r="CN190" i="25"/>
  <c r="CT190" i="25"/>
  <c r="CU190" i="25" s="1"/>
  <c r="DB190" i="25"/>
  <c r="DC190" i="25"/>
  <c r="DG190" i="25"/>
  <c r="DH190" i="25"/>
  <c r="DL190" i="25"/>
  <c r="DM190" i="25"/>
  <c r="DT190" i="25" s="1"/>
  <c r="DN190" i="25"/>
  <c r="DO190" i="25"/>
  <c r="DV190" i="25"/>
  <c r="DW190" i="25"/>
  <c r="DX190" i="25" s="1"/>
  <c r="DY190" i="25"/>
  <c r="EA190" i="25"/>
  <c r="EB190" i="25"/>
  <c r="EI190" i="25"/>
  <c r="EJ190" i="25"/>
  <c r="EK190" i="25"/>
  <c r="DI190" i="25" s="1"/>
  <c r="DJ190" i="25" s="1"/>
  <c r="EL190" i="25"/>
  <c r="EM190" i="25"/>
  <c r="DU190" i="25" s="1"/>
  <c r="EN190" i="25"/>
  <c r="EO190" i="25"/>
  <c r="EP190" i="25"/>
  <c r="ES190" i="25"/>
  <c r="ET190" i="25"/>
  <c r="CE189" i="25"/>
  <c r="CF189" i="25"/>
  <c r="CH189" i="25"/>
  <c r="CI189" i="25"/>
  <c r="CJ189" i="25"/>
  <c r="CK189" i="25"/>
  <c r="CL189" i="25"/>
  <c r="CM189" i="25"/>
  <c r="CN189" i="25"/>
  <c r="CT189" i="25"/>
  <c r="CU189" i="25" s="1"/>
  <c r="DB189" i="25"/>
  <c r="DC189" i="25"/>
  <c r="DG189" i="25"/>
  <c r="DH189" i="25"/>
  <c r="DL189" i="25"/>
  <c r="DM189" i="25"/>
  <c r="DN189" i="25"/>
  <c r="DO189" i="25"/>
  <c r="DV189" i="25"/>
  <c r="DW189" i="25"/>
  <c r="DX189" i="25" s="1"/>
  <c r="DY189" i="25"/>
  <c r="EA189" i="25"/>
  <c r="EB189" i="25"/>
  <c r="EI189" i="25"/>
  <c r="EJ189" i="25"/>
  <c r="EK189" i="25"/>
  <c r="EL189" i="25"/>
  <c r="EM189" i="25"/>
  <c r="DU189" i="25" s="1"/>
  <c r="EN189" i="25"/>
  <c r="EO189" i="25"/>
  <c r="EP189" i="25"/>
  <c r="ES189" i="25"/>
  <c r="ET189" i="25"/>
  <c r="CE188" i="25"/>
  <c r="CF188" i="25"/>
  <c r="CH188" i="25"/>
  <c r="CI188" i="25"/>
  <c r="CJ188" i="25"/>
  <c r="CK188" i="25"/>
  <c r="CL188" i="25"/>
  <c r="CM188" i="25"/>
  <c r="CN188" i="25"/>
  <c r="CT188" i="25"/>
  <c r="CU188" i="25" s="1"/>
  <c r="DB188" i="25"/>
  <c r="DC188" i="25"/>
  <c r="DG188" i="25"/>
  <c r="DH188" i="25"/>
  <c r="DL188" i="25"/>
  <c r="DM188" i="25"/>
  <c r="DT188" i="25" s="1"/>
  <c r="DN188" i="25"/>
  <c r="DO188" i="25"/>
  <c r="DV188" i="25"/>
  <c r="DW188" i="25"/>
  <c r="DX188" i="25" s="1"/>
  <c r="DY188" i="25"/>
  <c r="EA188" i="25"/>
  <c r="EB188" i="25"/>
  <c r="EI188" i="25"/>
  <c r="EJ188" i="25"/>
  <c r="EK188" i="25"/>
  <c r="EL188" i="25"/>
  <c r="EM188" i="25"/>
  <c r="DU188" i="25" s="1"/>
  <c r="EN188" i="25"/>
  <c r="EO188" i="25"/>
  <c r="EP188" i="25"/>
  <c r="ES188" i="25"/>
  <c r="ET188" i="25"/>
  <c r="CE178" i="25"/>
  <c r="CF178" i="25"/>
  <c r="CH178" i="25"/>
  <c r="CI178" i="25"/>
  <c r="CJ178" i="25"/>
  <c r="CK178" i="25"/>
  <c r="CL178" i="25"/>
  <c r="CM178" i="25"/>
  <c r="CN178" i="25"/>
  <c r="CT178" i="25"/>
  <c r="CU178" i="25" s="1"/>
  <c r="DB178" i="25"/>
  <c r="DC178" i="25"/>
  <c r="DG178" i="25"/>
  <c r="DH178" i="25"/>
  <c r="DL178" i="25"/>
  <c r="DM178" i="25"/>
  <c r="DN178" i="25"/>
  <c r="DO178" i="25"/>
  <c r="DV178" i="25"/>
  <c r="DW178" i="25"/>
  <c r="DZ178" i="25" s="1"/>
  <c r="DY178" i="25"/>
  <c r="EA178" i="25"/>
  <c r="EB178" i="25"/>
  <c r="EI178" i="25"/>
  <c r="EJ178" i="25"/>
  <c r="EK178" i="25"/>
  <c r="EL178" i="25"/>
  <c r="EM178" i="25"/>
  <c r="DU178" i="25" s="1"/>
  <c r="EN178" i="25"/>
  <c r="EO178" i="25"/>
  <c r="EP178" i="25"/>
  <c r="ES178" i="25"/>
  <c r="ET178" i="25"/>
  <c r="CE177" i="25"/>
  <c r="CF177" i="25"/>
  <c r="CH177" i="25"/>
  <c r="CI177" i="25"/>
  <c r="CJ177" i="25"/>
  <c r="CK177" i="25"/>
  <c r="CL177" i="25"/>
  <c r="CM177" i="25"/>
  <c r="CN177" i="25"/>
  <c r="CT177" i="25"/>
  <c r="CU177" i="25" s="1"/>
  <c r="DB177" i="25"/>
  <c r="DC177" i="25"/>
  <c r="DG177" i="25"/>
  <c r="DH177" i="25"/>
  <c r="DL177" i="25"/>
  <c r="DM177" i="25"/>
  <c r="DT177" i="25" s="1"/>
  <c r="DN177" i="25"/>
  <c r="DO177" i="25"/>
  <c r="DV177" i="25"/>
  <c r="DW177" i="25"/>
  <c r="DX177" i="25" s="1"/>
  <c r="DY177" i="25"/>
  <c r="EA177" i="25"/>
  <c r="EB177" i="25"/>
  <c r="EI177" i="25"/>
  <c r="EJ177" i="25"/>
  <c r="EK177" i="25"/>
  <c r="EL177" i="25"/>
  <c r="EM177" i="25"/>
  <c r="DU177" i="25" s="1"/>
  <c r="EN177" i="25"/>
  <c r="EO177" i="25"/>
  <c r="EP177" i="25"/>
  <c r="ES177" i="25"/>
  <c r="ET177" i="25"/>
  <c r="CE85" i="25"/>
  <c r="CE139" i="25"/>
  <c r="CE175" i="25"/>
  <c r="CE176" i="25"/>
  <c r="CF85" i="25"/>
  <c r="CF139" i="25"/>
  <c r="CF175" i="25"/>
  <c r="CF176" i="25"/>
  <c r="CH85" i="25"/>
  <c r="CH139" i="25"/>
  <c r="CH175" i="25"/>
  <c r="CH176" i="25"/>
  <c r="CI85" i="25"/>
  <c r="CI139" i="25"/>
  <c r="CI175" i="25"/>
  <c r="CI176" i="25"/>
  <c r="CJ85" i="25"/>
  <c r="CJ139" i="25"/>
  <c r="CJ175" i="25"/>
  <c r="CJ176" i="25"/>
  <c r="CK85" i="25"/>
  <c r="CK139" i="25"/>
  <c r="CK175" i="25"/>
  <c r="CK176" i="25"/>
  <c r="CL85" i="25"/>
  <c r="CL139" i="25"/>
  <c r="CL175" i="25"/>
  <c r="CL176" i="25"/>
  <c r="CM85" i="25"/>
  <c r="CM139" i="25"/>
  <c r="CM175" i="25"/>
  <c r="CM176" i="25"/>
  <c r="CN85" i="25"/>
  <c r="CN139" i="25"/>
  <c r="CN175" i="25"/>
  <c r="CN176" i="25"/>
  <c r="CT85" i="25"/>
  <c r="CU85" i="25" s="1"/>
  <c r="CT139" i="25"/>
  <c r="CU139" i="25" s="1"/>
  <c r="CT175" i="25"/>
  <c r="CU175" i="25" s="1"/>
  <c r="CT176" i="25"/>
  <c r="CU176" i="25" s="1"/>
  <c r="DB85" i="25"/>
  <c r="DB139" i="25"/>
  <c r="DB175" i="25"/>
  <c r="DB176" i="25"/>
  <c r="DC85" i="25"/>
  <c r="DC139" i="25"/>
  <c r="DC175" i="25"/>
  <c r="DC176" i="25"/>
  <c r="DG85" i="25"/>
  <c r="DG139" i="25"/>
  <c r="DG175" i="25"/>
  <c r="DG176" i="25"/>
  <c r="DH85" i="25"/>
  <c r="DH139" i="25"/>
  <c r="DH175" i="25"/>
  <c r="DH176" i="25"/>
  <c r="DL85" i="25"/>
  <c r="DL139" i="25"/>
  <c r="DL175" i="25"/>
  <c r="DL176" i="25"/>
  <c r="DM85" i="25"/>
  <c r="DT85" i="25" s="1"/>
  <c r="DM139" i="25"/>
  <c r="DT139" i="25" s="1"/>
  <c r="DM175" i="25"/>
  <c r="DT175" i="25" s="1"/>
  <c r="DM176" i="25"/>
  <c r="DT176" i="25" s="1"/>
  <c r="DN85" i="25"/>
  <c r="DN139" i="25"/>
  <c r="DN175" i="25"/>
  <c r="DN176" i="25"/>
  <c r="DO85" i="25"/>
  <c r="DO139" i="25"/>
  <c r="DO175" i="25"/>
  <c r="DO176" i="25"/>
  <c r="DV85" i="25"/>
  <c r="DV139" i="25"/>
  <c r="DV175" i="25"/>
  <c r="DV176" i="25"/>
  <c r="DW85" i="25"/>
  <c r="DX85" i="25" s="1"/>
  <c r="DW139" i="25"/>
  <c r="DZ139" i="25" s="1"/>
  <c r="DW175" i="25"/>
  <c r="DX175" i="25" s="1"/>
  <c r="DW176" i="25"/>
  <c r="DX176" i="25" s="1"/>
  <c r="DY85" i="25"/>
  <c r="DY139" i="25"/>
  <c r="DY175" i="25"/>
  <c r="DY176" i="25"/>
  <c r="EA85" i="25"/>
  <c r="EA139" i="25"/>
  <c r="EA175" i="25"/>
  <c r="EA176" i="25"/>
  <c r="EB85" i="25"/>
  <c r="EB139" i="25"/>
  <c r="EB175" i="25"/>
  <c r="EB176" i="25"/>
  <c r="EI85" i="25"/>
  <c r="EI139" i="25"/>
  <c r="EI175" i="25"/>
  <c r="EI176" i="25"/>
  <c r="EJ85" i="25"/>
  <c r="EJ139" i="25"/>
  <c r="EJ175" i="25"/>
  <c r="EJ176" i="25"/>
  <c r="EK85" i="25"/>
  <c r="EK139" i="25"/>
  <c r="EK175" i="25"/>
  <c r="EK176" i="25"/>
  <c r="EL85" i="25"/>
  <c r="EL139" i="25"/>
  <c r="EL175" i="25"/>
  <c r="EL176" i="25"/>
  <c r="EM85" i="25"/>
  <c r="DU85" i="25" s="1"/>
  <c r="EM139" i="25"/>
  <c r="DU139" i="25" s="1"/>
  <c r="EM175" i="25"/>
  <c r="DU175" i="25" s="1"/>
  <c r="EM176" i="25"/>
  <c r="DU176" i="25" s="1"/>
  <c r="EN85" i="25"/>
  <c r="EN139" i="25"/>
  <c r="EN175" i="25"/>
  <c r="EN176" i="25"/>
  <c r="EO85" i="25"/>
  <c r="EO139" i="25"/>
  <c r="EO175" i="25"/>
  <c r="EO176" i="25"/>
  <c r="EP85" i="25"/>
  <c r="EP139" i="25"/>
  <c r="EP175" i="25"/>
  <c r="EP176" i="25"/>
  <c r="ES85" i="25"/>
  <c r="ES139" i="25"/>
  <c r="ES175" i="25"/>
  <c r="ES176" i="25"/>
  <c r="ET85" i="25"/>
  <c r="ET139" i="25"/>
  <c r="ET175" i="25"/>
  <c r="ET176" i="25"/>
  <c r="CE84" i="25"/>
  <c r="CF84" i="25"/>
  <c r="CH84" i="25"/>
  <c r="CI84" i="25"/>
  <c r="CJ84" i="25"/>
  <c r="CK84" i="25"/>
  <c r="CL84" i="25"/>
  <c r="CM84" i="25"/>
  <c r="CN84" i="25"/>
  <c r="CT84" i="25"/>
  <c r="CU84" i="25" s="1"/>
  <c r="DB84" i="25"/>
  <c r="DC84" i="25"/>
  <c r="DG84" i="25"/>
  <c r="DH84" i="25"/>
  <c r="DL84" i="25"/>
  <c r="DM84" i="25"/>
  <c r="DT84" i="25" s="1"/>
  <c r="DN84" i="25"/>
  <c r="DO84" i="25"/>
  <c r="DV84" i="25"/>
  <c r="DW84" i="25"/>
  <c r="DX84" i="25" s="1"/>
  <c r="DY84" i="25"/>
  <c r="EA84" i="25"/>
  <c r="EB84" i="25"/>
  <c r="EI84" i="25"/>
  <c r="EJ84" i="25"/>
  <c r="EK84" i="25"/>
  <c r="EL84" i="25"/>
  <c r="EM84" i="25"/>
  <c r="DU84" i="25" s="1"/>
  <c r="EN84" i="25"/>
  <c r="EO84" i="25"/>
  <c r="EP84" i="25"/>
  <c r="ES84" i="25"/>
  <c r="ET84" i="25"/>
  <c r="CE76" i="25"/>
  <c r="CE80" i="25"/>
  <c r="CF76" i="25"/>
  <c r="CF80" i="25"/>
  <c r="CH76" i="25"/>
  <c r="CH80" i="25"/>
  <c r="CI76" i="25"/>
  <c r="CI80" i="25"/>
  <c r="CJ76" i="25"/>
  <c r="CJ80" i="25"/>
  <c r="CK76" i="25"/>
  <c r="CK80" i="25"/>
  <c r="CL76" i="25"/>
  <c r="CL80" i="25"/>
  <c r="CM76" i="25"/>
  <c r="CM80" i="25"/>
  <c r="CN76" i="25"/>
  <c r="CN80" i="25"/>
  <c r="CT76" i="25"/>
  <c r="CU76" i="25" s="1"/>
  <c r="CT80" i="25"/>
  <c r="CU80" i="25" s="1"/>
  <c r="DB76" i="25"/>
  <c r="DB80" i="25"/>
  <c r="DC76" i="25"/>
  <c r="DC80" i="25"/>
  <c r="DG76" i="25"/>
  <c r="DG80" i="25"/>
  <c r="DH76" i="25"/>
  <c r="DH80" i="25"/>
  <c r="DL76" i="25"/>
  <c r="DL80" i="25"/>
  <c r="DM76" i="25"/>
  <c r="DT76" i="25" s="1"/>
  <c r="DM80" i="25"/>
  <c r="DT80" i="25" s="1"/>
  <c r="DN76" i="25"/>
  <c r="DN80" i="25"/>
  <c r="DO76" i="25"/>
  <c r="DO80" i="25"/>
  <c r="DV76" i="25"/>
  <c r="DV80" i="25"/>
  <c r="DW76" i="25"/>
  <c r="DX76" i="25" s="1"/>
  <c r="DW80" i="25"/>
  <c r="DX80" i="25" s="1"/>
  <c r="DY76" i="25"/>
  <c r="DY80" i="25"/>
  <c r="EA76" i="25"/>
  <c r="EA80" i="25"/>
  <c r="EB76" i="25"/>
  <c r="EB80" i="25"/>
  <c r="EI76" i="25"/>
  <c r="EI80" i="25"/>
  <c r="EJ76" i="25"/>
  <c r="EJ80" i="25"/>
  <c r="EK76" i="25"/>
  <c r="EK80" i="25"/>
  <c r="EL76" i="25"/>
  <c r="EL80" i="25"/>
  <c r="EM76" i="25"/>
  <c r="DU76" i="25" s="1"/>
  <c r="EM80" i="25"/>
  <c r="DU80" i="25" s="1"/>
  <c r="EN76" i="25"/>
  <c r="EN80" i="25"/>
  <c r="EO76" i="25"/>
  <c r="EO80" i="25"/>
  <c r="EP76" i="25"/>
  <c r="EP80" i="25"/>
  <c r="ES76" i="25"/>
  <c r="ES80" i="25"/>
  <c r="ET76" i="25"/>
  <c r="ET80" i="25"/>
  <c r="EG80" i="25" l="1"/>
  <c r="EG193" i="25"/>
  <c r="EG89" i="25"/>
  <c r="EG22" i="25"/>
  <c r="EG76" i="25"/>
  <c r="EG53" i="25"/>
  <c r="EG26" i="25"/>
  <c r="EG7" i="25"/>
  <c r="EG85" i="25"/>
  <c r="EG56" i="25"/>
  <c r="EG179" i="25"/>
  <c r="EG84" i="25"/>
  <c r="EG10" i="25"/>
  <c r="EG36" i="25"/>
  <c r="EG52" i="25"/>
  <c r="EG192" i="25"/>
  <c r="EG180" i="25"/>
  <c r="EG11" i="25"/>
  <c r="EG29" i="25"/>
  <c r="EG196" i="25"/>
  <c r="EG182" i="25"/>
  <c r="EG48" i="25"/>
  <c r="EG43" i="25"/>
  <c r="EG181" i="25"/>
  <c r="EG188" i="25"/>
  <c r="EG71" i="25"/>
  <c r="EG195" i="25"/>
  <c r="EG189" i="25"/>
  <c r="EG186" i="25"/>
  <c r="EG187" i="25"/>
  <c r="EG197" i="25"/>
  <c r="EG190" i="25"/>
  <c r="EG194" i="25"/>
  <c r="EG185" i="25"/>
  <c r="EG183" i="25"/>
  <c r="EG176" i="25"/>
  <c r="EG191" i="25"/>
  <c r="EG175" i="25"/>
  <c r="EG177" i="25"/>
  <c r="EG139" i="25"/>
  <c r="EG178" i="25"/>
  <c r="EG72" i="25"/>
  <c r="EG14" i="25"/>
  <c r="CG197" i="25"/>
  <c r="EH183" i="25"/>
  <c r="EH197" i="25"/>
  <c r="EH89" i="25"/>
  <c r="CG89" i="25"/>
  <c r="CG182" i="25"/>
  <c r="DE89" i="25"/>
  <c r="DD89" i="25" s="1"/>
  <c r="DK89" i="25" s="1"/>
  <c r="DE182" i="25"/>
  <c r="DD182" i="25" s="1"/>
  <c r="DK182" i="25" s="1"/>
  <c r="DP197" i="25"/>
  <c r="DQ197" i="25" s="1"/>
  <c r="DR197" i="25" s="1"/>
  <c r="DS197" i="25" s="1"/>
  <c r="CQ183" i="25"/>
  <c r="DP181" i="25"/>
  <c r="DQ181" i="25" s="1"/>
  <c r="DR181" i="25" s="1"/>
  <c r="DS181" i="25" s="1"/>
  <c r="CG181" i="25"/>
  <c r="DF183" i="25"/>
  <c r="DE43" i="25"/>
  <c r="DD43" i="25" s="1"/>
  <c r="DK43" i="25" s="1"/>
  <c r="DZ183" i="25"/>
  <c r="DZ181" i="25"/>
  <c r="DP89" i="25"/>
  <c r="DQ89" i="25" s="1"/>
  <c r="DR89" i="25" s="1"/>
  <c r="DS89" i="25" s="1"/>
  <c r="EH182" i="25"/>
  <c r="CG183" i="25"/>
  <c r="CG43" i="25"/>
  <c r="CQ89" i="25"/>
  <c r="CP183" i="25"/>
  <c r="CR183" i="25" s="1"/>
  <c r="CS183" i="25" s="1"/>
  <c r="CW183" i="25" s="1"/>
  <c r="CX183" i="25" s="1"/>
  <c r="DA183" i="25" s="1"/>
  <c r="CP197" i="25"/>
  <c r="CR197" i="25" s="1"/>
  <c r="CS197" i="25" s="1"/>
  <c r="CW197" i="25" s="1"/>
  <c r="CX197" i="25" s="1"/>
  <c r="DA197" i="25" s="1"/>
  <c r="DZ180" i="25"/>
  <c r="EH180" i="25"/>
  <c r="DI43" i="25"/>
  <c r="DJ43" i="25" s="1"/>
  <c r="DZ89" i="25"/>
  <c r="DZ182" i="25"/>
  <c r="EH181" i="25"/>
  <c r="DP183" i="25"/>
  <c r="DQ183" i="25" s="1"/>
  <c r="DR183" i="25" s="1"/>
  <c r="DS183" i="25" s="1"/>
  <c r="DI89" i="25"/>
  <c r="DJ89" i="25" s="1"/>
  <c r="DF89" i="25"/>
  <c r="DX197" i="25"/>
  <c r="EH22" i="25"/>
  <c r="DP182" i="25"/>
  <c r="DQ182" i="25" s="1"/>
  <c r="DR182" i="25" s="1"/>
  <c r="DS182" i="25" s="1"/>
  <c r="CP89" i="25"/>
  <c r="CR89" i="25" s="1"/>
  <c r="DE197" i="25"/>
  <c r="DD197" i="25" s="1"/>
  <c r="DK197" i="25" s="1"/>
  <c r="DE183" i="25"/>
  <c r="DD183" i="25" s="1"/>
  <c r="DK183" i="25" s="1"/>
  <c r="DP180" i="25"/>
  <c r="DQ180" i="25" s="1"/>
  <c r="DR180" i="25" s="1"/>
  <c r="DS180" i="25" s="1"/>
  <c r="CP182" i="25"/>
  <c r="CR182" i="25" s="1"/>
  <c r="CQ197" i="25"/>
  <c r="DP43" i="25"/>
  <c r="DQ43" i="25" s="1"/>
  <c r="DR43" i="25" s="1"/>
  <c r="DS43" i="25" s="1"/>
  <c r="DI197" i="25"/>
  <c r="DJ197" i="25" s="1"/>
  <c r="DP185" i="25"/>
  <c r="DQ185" i="25" s="1"/>
  <c r="DR185" i="25" s="1"/>
  <c r="DS185" i="25" s="1"/>
  <c r="DT182" i="25"/>
  <c r="DE181" i="25"/>
  <c r="DD181" i="25" s="1"/>
  <c r="DK181" i="25" s="1"/>
  <c r="CP181" i="25"/>
  <c r="CR181" i="25" s="1"/>
  <c r="DI182" i="25"/>
  <c r="DJ182" i="25" s="1"/>
  <c r="CQ182" i="25"/>
  <c r="DE195" i="25"/>
  <c r="DD195" i="25" s="1"/>
  <c r="DK195" i="25" s="1"/>
  <c r="DT181" i="25"/>
  <c r="DF182" i="25"/>
  <c r="DE36" i="25"/>
  <c r="DD36" i="25" s="1"/>
  <c r="DK36" i="25" s="1"/>
  <c r="DE187" i="25"/>
  <c r="DD187" i="25" s="1"/>
  <c r="DK187" i="25" s="1"/>
  <c r="DI181" i="25"/>
  <c r="DJ181" i="25" s="1"/>
  <c r="DP187" i="25"/>
  <c r="DQ187" i="25" s="1"/>
  <c r="DR187" i="25" s="1"/>
  <c r="DS187" i="25" s="1"/>
  <c r="DF43" i="25"/>
  <c r="CG179" i="25"/>
  <c r="CG14" i="25"/>
  <c r="EH196" i="25"/>
  <c r="CP43" i="25"/>
  <c r="CR43" i="25" s="1"/>
  <c r="CS43" i="25" s="1"/>
  <c r="CQ181" i="25"/>
  <c r="DZ43" i="25"/>
  <c r="DF181" i="25"/>
  <c r="CP22" i="25"/>
  <c r="CR22" i="25" s="1"/>
  <c r="CV22" i="25" s="1"/>
  <c r="CY22" i="25" s="1"/>
  <c r="CZ22" i="25" s="1"/>
  <c r="DP195" i="25"/>
  <c r="DQ195" i="25" s="1"/>
  <c r="DR195" i="25" s="1"/>
  <c r="DS195" i="25" s="1"/>
  <c r="CP180" i="25"/>
  <c r="CR180" i="25" s="1"/>
  <c r="EH43" i="25"/>
  <c r="EH194" i="25"/>
  <c r="CG194" i="25"/>
  <c r="CG180" i="25"/>
  <c r="CU43" i="25"/>
  <c r="CG185" i="25"/>
  <c r="DZ195" i="25"/>
  <c r="CP196" i="25"/>
  <c r="CR196" i="25" s="1"/>
  <c r="EH36" i="25"/>
  <c r="CQ43" i="25"/>
  <c r="EH187" i="25"/>
  <c r="DP196" i="25"/>
  <c r="DQ196" i="25" s="1"/>
  <c r="DR196" i="25" s="1"/>
  <c r="DS196" i="25" s="1"/>
  <c r="EH26" i="25"/>
  <c r="DI36" i="25"/>
  <c r="DJ36" i="25" s="1"/>
  <c r="DP194" i="25"/>
  <c r="DQ194" i="25" s="1"/>
  <c r="DR194" i="25" s="1"/>
  <c r="DS194" i="25" s="1"/>
  <c r="CQ196" i="25"/>
  <c r="DP186" i="25"/>
  <c r="DQ186" i="25" s="1"/>
  <c r="DR186" i="25" s="1"/>
  <c r="DS186" i="25" s="1"/>
  <c r="CG196" i="25"/>
  <c r="DP22" i="25"/>
  <c r="DQ22" i="25" s="1"/>
  <c r="DR22" i="25" s="1"/>
  <c r="DS22" i="25" s="1"/>
  <c r="EH195" i="25"/>
  <c r="CG195" i="25"/>
  <c r="CG187" i="25"/>
  <c r="CQ180" i="25"/>
  <c r="DZ187" i="25"/>
  <c r="DZ196" i="25"/>
  <c r="DF196" i="25"/>
  <c r="CP187" i="25"/>
  <c r="CR187" i="25" s="1"/>
  <c r="DF180" i="25"/>
  <c r="DI196" i="25"/>
  <c r="DJ196" i="25" s="1"/>
  <c r="DE196" i="25"/>
  <c r="DD196" i="25" s="1"/>
  <c r="DK196" i="25" s="1"/>
  <c r="DP179" i="25"/>
  <c r="DQ179" i="25" s="1"/>
  <c r="DR179" i="25" s="1"/>
  <c r="DS179" i="25" s="1"/>
  <c r="CG22" i="25"/>
  <c r="DI180" i="25"/>
  <c r="DJ180" i="25" s="1"/>
  <c r="DE180" i="25"/>
  <c r="DD180" i="25" s="1"/>
  <c r="DK180" i="25" s="1"/>
  <c r="CG186" i="25"/>
  <c r="DZ53" i="25"/>
  <c r="DI187" i="25"/>
  <c r="DJ187" i="25" s="1"/>
  <c r="CQ195" i="25"/>
  <c r="EH14" i="25"/>
  <c r="CQ187" i="25"/>
  <c r="DX22" i="25"/>
  <c r="DF187" i="25"/>
  <c r="DX185" i="25"/>
  <c r="CP195" i="25"/>
  <c r="CR195" i="25" s="1"/>
  <c r="CS195" i="25" s="1"/>
  <c r="CW195" i="25" s="1"/>
  <c r="CX195" i="25" s="1"/>
  <c r="DA195" i="25" s="1"/>
  <c r="DE22" i="25"/>
  <c r="DD22" i="25" s="1"/>
  <c r="DK22" i="25" s="1"/>
  <c r="DF22" i="25"/>
  <c r="DI195" i="25"/>
  <c r="DJ195" i="25" s="1"/>
  <c r="DP14" i="25"/>
  <c r="DQ14" i="25" s="1"/>
  <c r="DR14" i="25" s="1"/>
  <c r="DS14" i="25" s="1"/>
  <c r="EH185" i="25"/>
  <c r="DE52" i="25"/>
  <c r="DD52" i="25" s="1"/>
  <c r="DK52" i="25" s="1"/>
  <c r="EH186" i="25"/>
  <c r="CQ22" i="25"/>
  <c r="CP52" i="25"/>
  <c r="CR52" i="25" s="1"/>
  <c r="CS52" i="25" s="1"/>
  <c r="CW52" i="25" s="1"/>
  <c r="CX52" i="25" s="1"/>
  <c r="DA52" i="25" s="1"/>
  <c r="CG52" i="25"/>
  <c r="CQ186" i="25"/>
  <c r="EH179" i="25"/>
  <c r="DT185" i="25"/>
  <c r="DE53" i="25"/>
  <c r="DD53" i="25" s="1"/>
  <c r="DK53" i="25" s="1"/>
  <c r="CP194" i="25"/>
  <c r="CR194" i="25" s="1"/>
  <c r="CS194" i="25" s="1"/>
  <c r="CW194" i="25" s="1"/>
  <c r="CX194" i="25" s="1"/>
  <c r="DA194" i="25" s="1"/>
  <c r="EH52" i="25"/>
  <c r="CP186" i="25"/>
  <c r="CR186" i="25" s="1"/>
  <c r="CQ14" i="25"/>
  <c r="CQ185" i="25"/>
  <c r="DF195" i="25"/>
  <c r="CG26" i="25"/>
  <c r="DP11" i="25"/>
  <c r="DQ11" i="25" s="1"/>
  <c r="DR11" i="25" s="1"/>
  <c r="DS11" i="25" s="1"/>
  <c r="CG53" i="25"/>
  <c r="DE186" i="25"/>
  <c r="DD186" i="25" s="1"/>
  <c r="DK186" i="25" s="1"/>
  <c r="DP52" i="25"/>
  <c r="DQ52" i="25" s="1"/>
  <c r="DR52" i="25" s="1"/>
  <c r="DS52" i="25" s="1"/>
  <c r="CQ52" i="25"/>
  <c r="CQ194" i="25"/>
  <c r="CG48" i="25"/>
  <c r="EH193" i="25"/>
  <c r="DP7" i="25"/>
  <c r="DQ7" i="25" s="1"/>
  <c r="DR7" i="25" s="1"/>
  <c r="DS7" i="25" s="1"/>
  <c r="DZ52" i="25"/>
  <c r="DX186" i="25"/>
  <c r="DF14" i="25"/>
  <c r="DE185" i="25"/>
  <c r="DD185" i="25" s="1"/>
  <c r="DK185" i="25" s="1"/>
  <c r="CP14" i="25"/>
  <c r="CR14" i="25" s="1"/>
  <c r="DX179" i="25"/>
  <c r="DI22" i="25"/>
  <c r="DJ22" i="25" s="1"/>
  <c r="DF186" i="25"/>
  <c r="CU185" i="25"/>
  <c r="DZ11" i="25"/>
  <c r="DF185" i="25"/>
  <c r="CP185" i="25"/>
  <c r="CR185" i="25" s="1"/>
  <c r="CS185" i="25" s="1"/>
  <c r="DZ14" i="25"/>
  <c r="DF52" i="25"/>
  <c r="DE29" i="25"/>
  <c r="DD29" i="25" s="1"/>
  <c r="DK29" i="25" s="1"/>
  <c r="CG36" i="25"/>
  <c r="DZ194" i="25"/>
  <c r="DE14" i="25"/>
  <c r="DD14" i="25" s="1"/>
  <c r="DK14" i="25" s="1"/>
  <c r="DE193" i="25"/>
  <c r="DD193" i="25" s="1"/>
  <c r="DK193" i="25" s="1"/>
  <c r="DE194" i="25"/>
  <c r="DD194" i="25" s="1"/>
  <c r="DK194" i="25" s="1"/>
  <c r="DI194" i="25"/>
  <c r="DJ194" i="25" s="1"/>
  <c r="CG11" i="25"/>
  <c r="EH53" i="25"/>
  <c r="CQ36" i="25"/>
  <c r="DP53" i="25"/>
  <c r="DQ53" i="25" s="1"/>
  <c r="DR53" i="25" s="1"/>
  <c r="DS53" i="25" s="1"/>
  <c r="CP53" i="25"/>
  <c r="CR53" i="25" s="1"/>
  <c r="CS53" i="25" s="1"/>
  <c r="CW53" i="25" s="1"/>
  <c r="CX53" i="25" s="1"/>
  <c r="DA53" i="25" s="1"/>
  <c r="CQ7" i="25"/>
  <c r="DF194" i="25"/>
  <c r="DP36" i="25"/>
  <c r="DQ36" i="25" s="1"/>
  <c r="DR36" i="25" s="1"/>
  <c r="DS36" i="25" s="1"/>
  <c r="CP36" i="25"/>
  <c r="CR36" i="25" s="1"/>
  <c r="CG7" i="25"/>
  <c r="DZ36" i="25"/>
  <c r="DF53" i="25"/>
  <c r="EH11" i="25"/>
  <c r="CQ53" i="25"/>
  <c r="CP7" i="25"/>
  <c r="CR7" i="25" s="1"/>
  <c r="DE7" i="25"/>
  <c r="DD7" i="25" s="1"/>
  <c r="DK7" i="25" s="1"/>
  <c r="CQ11" i="25"/>
  <c r="EH7" i="25"/>
  <c r="CP11" i="25"/>
  <c r="CR11" i="25" s="1"/>
  <c r="CS11" i="25" s="1"/>
  <c r="CW11" i="25" s="1"/>
  <c r="CX11" i="25" s="1"/>
  <c r="DA11" i="25" s="1"/>
  <c r="CQ179" i="25"/>
  <c r="DF36" i="25"/>
  <c r="EH190" i="25"/>
  <c r="DE11" i="25"/>
  <c r="DD11" i="25" s="1"/>
  <c r="DK11" i="25" s="1"/>
  <c r="DE71" i="25"/>
  <c r="DD71" i="25" s="1"/>
  <c r="DK71" i="25" s="1"/>
  <c r="DZ7" i="25"/>
  <c r="DF179" i="25"/>
  <c r="CP179" i="25"/>
  <c r="CR179" i="25" s="1"/>
  <c r="DI53" i="25"/>
  <c r="DJ53" i="25" s="1"/>
  <c r="DF11" i="25"/>
  <c r="DF7" i="25"/>
  <c r="CP48" i="25"/>
  <c r="CR48" i="25" s="1"/>
  <c r="DE179" i="25"/>
  <c r="DD179" i="25" s="1"/>
  <c r="DK179" i="25" s="1"/>
  <c r="EH29" i="25"/>
  <c r="CQ29" i="25"/>
  <c r="CG193" i="25"/>
  <c r="DE189" i="25"/>
  <c r="DD189" i="25" s="1"/>
  <c r="DK189" i="25" s="1"/>
  <c r="DP48" i="25"/>
  <c r="DQ48" i="25" s="1"/>
  <c r="DR48" i="25" s="1"/>
  <c r="DS48" i="25" s="1"/>
  <c r="DE176" i="25"/>
  <c r="DD176" i="25" s="1"/>
  <c r="DK176" i="25" s="1"/>
  <c r="DZ29" i="25"/>
  <c r="EH56" i="25"/>
  <c r="CG29" i="25"/>
  <c r="DZ193" i="25"/>
  <c r="DP71" i="25"/>
  <c r="DQ71" i="25" s="1"/>
  <c r="DR71" i="25" s="1"/>
  <c r="DS71" i="25" s="1"/>
  <c r="CG71" i="25"/>
  <c r="DZ26" i="25"/>
  <c r="CQ26" i="25"/>
  <c r="DI193" i="25"/>
  <c r="DJ193" i="25" s="1"/>
  <c r="DP26" i="25"/>
  <c r="DQ26" i="25" s="1"/>
  <c r="DR26" i="25" s="1"/>
  <c r="DS26" i="25" s="1"/>
  <c r="DI29" i="25"/>
  <c r="DJ29" i="25" s="1"/>
  <c r="CP193" i="25"/>
  <c r="CR193" i="25" s="1"/>
  <c r="DP10" i="25"/>
  <c r="DQ10" i="25" s="1"/>
  <c r="DR10" i="25" s="1"/>
  <c r="DS10" i="25" s="1"/>
  <c r="CG56" i="25"/>
  <c r="DP29" i="25"/>
  <c r="DQ29" i="25" s="1"/>
  <c r="DR29" i="25" s="1"/>
  <c r="DS29" i="25" s="1"/>
  <c r="EH48" i="25"/>
  <c r="DZ72" i="25"/>
  <c r="DP193" i="25"/>
  <c r="DQ193" i="25" s="1"/>
  <c r="DR193" i="25" s="1"/>
  <c r="DS193" i="25" s="1"/>
  <c r="DT29" i="25"/>
  <c r="CP26" i="25"/>
  <c r="CR26" i="25" s="1"/>
  <c r="DF26" i="25"/>
  <c r="DE10" i="25"/>
  <c r="DD10" i="25" s="1"/>
  <c r="DK10" i="25" s="1"/>
  <c r="DP72" i="25"/>
  <c r="DQ72" i="25" s="1"/>
  <c r="DR72" i="25" s="1"/>
  <c r="DS72" i="25" s="1"/>
  <c r="EH192" i="25"/>
  <c r="DZ56" i="25"/>
  <c r="DZ48" i="25"/>
  <c r="DZ191" i="25"/>
  <c r="EH71" i="25"/>
  <c r="CQ193" i="25"/>
  <c r="DF193" i="25"/>
  <c r="CG72" i="25"/>
  <c r="DF56" i="25"/>
  <c r="CG10" i="25"/>
  <c r="DF29" i="25"/>
  <c r="CP29" i="25"/>
  <c r="CR29" i="25" s="1"/>
  <c r="DE72" i="25"/>
  <c r="DD72" i="25" s="1"/>
  <c r="DK72" i="25" s="1"/>
  <c r="DZ71" i="25"/>
  <c r="DE48" i="25"/>
  <c r="DD48" i="25" s="1"/>
  <c r="DK48" i="25" s="1"/>
  <c r="CQ192" i="25"/>
  <c r="DP178" i="25"/>
  <c r="DQ178" i="25" s="1"/>
  <c r="DR178" i="25" s="1"/>
  <c r="DS178" i="25" s="1"/>
  <c r="DP56" i="25"/>
  <c r="DQ56" i="25" s="1"/>
  <c r="DR56" i="25" s="1"/>
  <c r="DS56" i="25" s="1"/>
  <c r="DE26" i="25"/>
  <c r="DD26" i="25" s="1"/>
  <c r="DK26" i="25" s="1"/>
  <c r="DZ10" i="25"/>
  <c r="CP71" i="25"/>
  <c r="CR71" i="25" s="1"/>
  <c r="CS71" i="25" s="1"/>
  <c r="CW71" i="25" s="1"/>
  <c r="CX71" i="25" s="1"/>
  <c r="DA71" i="25" s="1"/>
  <c r="CQ48" i="25"/>
  <c r="EH191" i="25"/>
  <c r="EH10" i="25"/>
  <c r="EH72" i="25"/>
  <c r="DI48" i="25"/>
  <c r="DJ48" i="25" s="1"/>
  <c r="DI10" i="25"/>
  <c r="DJ10" i="25" s="1"/>
  <c r="EH85" i="25"/>
  <c r="DI71" i="25"/>
  <c r="DJ71" i="25" s="1"/>
  <c r="DP192" i="25"/>
  <c r="DQ192" i="25" s="1"/>
  <c r="DR192" i="25" s="1"/>
  <c r="DS192" i="25" s="1"/>
  <c r="CP72" i="25"/>
  <c r="CR72" i="25" s="1"/>
  <c r="CQ10" i="25"/>
  <c r="DP191" i="25"/>
  <c r="DQ191" i="25" s="1"/>
  <c r="DR191" i="25" s="1"/>
  <c r="DS191" i="25" s="1"/>
  <c r="CQ71" i="25"/>
  <c r="CG139" i="25"/>
  <c r="CQ56" i="25"/>
  <c r="DF71" i="25"/>
  <c r="CP56" i="25"/>
  <c r="CR56" i="25" s="1"/>
  <c r="CS56" i="25" s="1"/>
  <c r="EH188" i="25"/>
  <c r="CG192" i="25"/>
  <c r="DF10" i="25"/>
  <c r="CU56" i="25"/>
  <c r="CP10" i="25"/>
  <c r="CR10" i="25" s="1"/>
  <c r="DE56" i="25"/>
  <c r="DD56" i="25" s="1"/>
  <c r="DK56" i="25" s="1"/>
  <c r="CG191" i="25"/>
  <c r="DP189" i="25"/>
  <c r="DQ189" i="25" s="1"/>
  <c r="DR189" i="25" s="1"/>
  <c r="DS189" i="25" s="1"/>
  <c r="EH189" i="25"/>
  <c r="CG189" i="25"/>
  <c r="CP191" i="25"/>
  <c r="CR191" i="25" s="1"/>
  <c r="CQ72" i="25"/>
  <c r="CP192" i="25"/>
  <c r="CR192" i="25" s="1"/>
  <c r="DT72" i="25"/>
  <c r="CP175" i="25"/>
  <c r="CR175" i="25" s="1"/>
  <c r="CP190" i="25"/>
  <c r="CR190" i="25" s="1"/>
  <c r="DT56" i="25"/>
  <c r="DI72" i="25"/>
  <c r="DJ72" i="25" s="1"/>
  <c r="DE188" i="25"/>
  <c r="DD188" i="25" s="1"/>
  <c r="DK188" i="25" s="1"/>
  <c r="DE190" i="25"/>
  <c r="DD190" i="25" s="1"/>
  <c r="DK190" i="25" s="1"/>
  <c r="DZ190" i="25"/>
  <c r="CG190" i="25"/>
  <c r="CQ191" i="25"/>
  <c r="DZ192" i="25"/>
  <c r="DF192" i="25"/>
  <c r="EH175" i="25"/>
  <c r="DZ189" i="25"/>
  <c r="DF191" i="25"/>
  <c r="DI192" i="25"/>
  <c r="DJ192" i="25" s="1"/>
  <c r="DE192" i="25"/>
  <c r="DD192" i="25" s="1"/>
  <c r="DK192" i="25" s="1"/>
  <c r="DI191" i="25"/>
  <c r="DJ191" i="25" s="1"/>
  <c r="DE191" i="25"/>
  <c r="DD191" i="25" s="1"/>
  <c r="DK191" i="25" s="1"/>
  <c r="CG85" i="25"/>
  <c r="DE178" i="25"/>
  <c r="DD178" i="25" s="1"/>
  <c r="DK178" i="25" s="1"/>
  <c r="DZ188" i="25"/>
  <c r="DP190" i="25"/>
  <c r="DQ190" i="25" s="1"/>
  <c r="DR190" i="25" s="1"/>
  <c r="DS190" i="25" s="1"/>
  <c r="CP139" i="25"/>
  <c r="CR139" i="25" s="1"/>
  <c r="CS139" i="25" s="1"/>
  <c r="CW139" i="25" s="1"/>
  <c r="CX139" i="25" s="1"/>
  <c r="DA139" i="25" s="1"/>
  <c r="CG188" i="25"/>
  <c r="CG76" i="25"/>
  <c r="CP189" i="25"/>
  <c r="CR189" i="25" s="1"/>
  <c r="CS189" i="25" s="1"/>
  <c r="CW189" i="25" s="1"/>
  <c r="CX189" i="25" s="1"/>
  <c r="DA189" i="25" s="1"/>
  <c r="CQ190" i="25"/>
  <c r="DT189" i="25"/>
  <c r="DF190" i="25"/>
  <c r="CQ176" i="25"/>
  <c r="EH139" i="25"/>
  <c r="DE177" i="25"/>
  <c r="DD177" i="25" s="1"/>
  <c r="DK177" i="25" s="1"/>
  <c r="DI189" i="25"/>
  <c r="DJ189" i="25" s="1"/>
  <c r="DI188" i="25"/>
  <c r="DJ188" i="25" s="1"/>
  <c r="CP188" i="25"/>
  <c r="CR188" i="25" s="1"/>
  <c r="CQ189" i="25"/>
  <c r="CP85" i="25"/>
  <c r="CR85" i="25" s="1"/>
  <c r="CV85" i="25" s="1"/>
  <c r="CY85" i="25" s="1"/>
  <c r="CZ85" i="25" s="1"/>
  <c r="CG175" i="25"/>
  <c r="CP177" i="25"/>
  <c r="CR177" i="25" s="1"/>
  <c r="DF189" i="25"/>
  <c r="DP85" i="25"/>
  <c r="DQ85" i="25" s="1"/>
  <c r="DR85" i="25" s="1"/>
  <c r="DS85" i="25" s="1"/>
  <c r="DZ177" i="25"/>
  <c r="DP188" i="25"/>
  <c r="DQ188" i="25" s="1"/>
  <c r="DR188" i="25" s="1"/>
  <c r="DS188" i="25" s="1"/>
  <c r="EH178" i="25"/>
  <c r="CG178" i="25"/>
  <c r="DX178" i="25"/>
  <c r="DP84" i="25"/>
  <c r="DQ84" i="25" s="1"/>
  <c r="DR84" i="25" s="1"/>
  <c r="DS84" i="25" s="1"/>
  <c r="EH84" i="25"/>
  <c r="CG176" i="25"/>
  <c r="DZ175" i="25"/>
  <c r="DP176" i="25"/>
  <c r="DQ176" i="25" s="1"/>
  <c r="DR176" i="25" s="1"/>
  <c r="DS176" i="25" s="1"/>
  <c r="DT178" i="25"/>
  <c r="CQ188" i="25"/>
  <c r="CP178" i="25"/>
  <c r="CR178" i="25" s="1"/>
  <c r="DF188" i="25"/>
  <c r="DP177" i="25"/>
  <c r="DQ177" i="25" s="1"/>
  <c r="DR177" i="25" s="1"/>
  <c r="DS177" i="25" s="1"/>
  <c r="EH177" i="25"/>
  <c r="DZ85" i="25"/>
  <c r="DE84" i="25"/>
  <c r="DD84" i="25" s="1"/>
  <c r="DK84" i="25" s="1"/>
  <c r="DI178" i="25"/>
  <c r="DJ178" i="25" s="1"/>
  <c r="DP175" i="25"/>
  <c r="DQ175" i="25" s="1"/>
  <c r="DR175" i="25" s="1"/>
  <c r="DS175" i="25" s="1"/>
  <c r="EH176" i="25"/>
  <c r="CQ178" i="25"/>
  <c r="DP139" i="25"/>
  <c r="DQ139" i="25" s="1"/>
  <c r="DR139" i="25" s="1"/>
  <c r="DS139" i="25" s="1"/>
  <c r="DF178" i="25"/>
  <c r="DX139" i="25"/>
  <c r="CG177" i="25"/>
  <c r="CQ139" i="25"/>
  <c r="CQ85" i="25"/>
  <c r="CP176" i="25"/>
  <c r="CR176" i="25" s="1"/>
  <c r="DI177" i="25"/>
  <c r="DJ177" i="25" s="1"/>
  <c r="CQ177" i="25"/>
  <c r="CP76" i="25"/>
  <c r="CR76" i="25" s="1"/>
  <c r="DF177" i="25"/>
  <c r="CG80" i="25"/>
  <c r="DP76" i="25"/>
  <c r="DQ76" i="25" s="1"/>
  <c r="DR76" i="25" s="1"/>
  <c r="DS76" i="25" s="1"/>
  <c r="EH76" i="25"/>
  <c r="DI176" i="25"/>
  <c r="DJ176" i="25" s="1"/>
  <c r="CQ175" i="25"/>
  <c r="DI175" i="25"/>
  <c r="DJ175" i="25" s="1"/>
  <c r="DE175" i="25"/>
  <c r="DD175" i="25" s="1"/>
  <c r="DK175" i="25" s="1"/>
  <c r="DI139" i="25"/>
  <c r="DJ139" i="25" s="1"/>
  <c r="DE139" i="25"/>
  <c r="DD139" i="25" s="1"/>
  <c r="DK139" i="25" s="1"/>
  <c r="CG84" i="25"/>
  <c r="DI85" i="25"/>
  <c r="DJ85" i="25" s="1"/>
  <c r="DE85" i="25"/>
  <c r="DD85" i="25" s="1"/>
  <c r="DK85" i="25" s="1"/>
  <c r="DZ84" i="25"/>
  <c r="DZ176" i="25"/>
  <c r="DF176" i="25"/>
  <c r="CP84" i="25"/>
  <c r="CR84" i="25" s="1"/>
  <c r="DF175" i="25"/>
  <c r="DF139" i="25"/>
  <c r="EH80" i="25"/>
  <c r="DF85" i="25"/>
  <c r="CP80" i="25"/>
  <c r="CR80" i="25" s="1"/>
  <c r="CS80" i="25" s="1"/>
  <c r="CW80" i="25" s="1"/>
  <c r="CX80" i="25" s="1"/>
  <c r="DA80" i="25" s="1"/>
  <c r="DI84" i="25"/>
  <c r="DJ84" i="25" s="1"/>
  <c r="DP80" i="25"/>
  <c r="DQ80" i="25" s="1"/>
  <c r="DR80" i="25" s="1"/>
  <c r="DS80" i="25" s="1"/>
  <c r="CQ84" i="25"/>
  <c r="CQ80" i="25"/>
  <c r="DF84" i="25"/>
  <c r="CQ76" i="25"/>
  <c r="DZ80" i="25"/>
  <c r="DF80" i="25"/>
  <c r="DZ76" i="25"/>
  <c r="DF76" i="25"/>
  <c r="DI80" i="25"/>
  <c r="DJ80" i="25" s="1"/>
  <c r="DE80" i="25"/>
  <c r="DD80" i="25" s="1"/>
  <c r="DK80" i="25" s="1"/>
  <c r="DI76" i="25"/>
  <c r="DJ76" i="25" s="1"/>
  <c r="DE76" i="25"/>
  <c r="DD76" i="25" s="1"/>
  <c r="DK76" i="25" s="1"/>
  <c r="CV43" i="25" l="1"/>
  <c r="CY43" i="25" s="1"/>
  <c r="CZ43" i="25" s="1"/>
  <c r="CV197" i="25"/>
  <c r="CY197" i="25" s="1"/>
  <c r="CZ197" i="25" s="1"/>
  <c r="CV89" i="25"/>
  <c r="CY89" i="25" s="1"/>
  <c r="CZ89" i="25" s="1"/>
  <c r="CS89" i="25"/>
  <c r="CW89" i="25" s="1"/>
  <c r="CX89" i="25" s="1"/>
  <c r="DA89" i="25" s="1"/>
  <c r="CS22" i="25"/>
  <c r="CW22" i="25" s="1"/>
  <c r="CX22" i="25" s="1"/>
  <c r="DA22" i="25" s="1"/>
  <c r="CV183" i="25"/>
  <c r="CY183" i="25" s="1"/>
  <c r="CZ183" i="25" s="1"/>
  <c r="CV180" i="25"/>
  <c r="CY180" i="25" s="1"/>
  <c r="CZ180" i="25" s="1"/>
  <c r="CS180" i="25"/>
  <c r="CW180" i="25" s="1"/>
  <c r="CX180" i="25" s="1"/>
  <c r="DA180" i="25" s="1"/>
  <c r="CV182" i="25"/>
  <c r="CY182" i="25" s="1"/>
  <c r="CZ182" i="25" s="1"/>
  <c r="CS182" i="25"/>
  <c r="CW182" i="25" s="1"/>
  <c r="CX182" i="25" s="1"/>
  <c r="DA182" i="25" s="1"/>
  <c r="CV181" i="25"/>
  <c r="CY181" i="25" s="1"/>
  <c r="CZ181" i="25" s="1"/>
  <c r="CS181" i="25"/>
  <c r="CW181" i="25" s="1"/>
  <c r="CX181" i="25" s="1"/>
  <c r="DA181" i="25" s="1"/>
  <c r="CW43" i="25"/>
  <c r="CX43" i="25" s="1"/>
  <c r="DA43" i="25" s="1"/>
  <c r="CV196" i="25"/>
  <c r="CY196" i="25" s="1"/>
  <c r="CZ196" i="25" s="1"/>
  <c r="CS196" i="25"/>
  <c r="CW196" i="25" s="1"/>
  <c r="CX196" i="25" s="1"/>
  <c r="DA196" i="25" s="1"/>
  <c r="CV53" i="25"/>
  <c r="CY53" i="25" s="1"/>
  <c r="CZ53" i="25" s="1"/>
  <c r="CV187" i="25"/>
  <c r="CY187" i="25" s="1"/>
  <c r="CZ187" i="25" s="1"/>
  <c r="CS187" i="25"/>
  <c r="CW187" i="25" s="1"/>
  <c r="CX187" i="25" s="1"/>
  <c r="DA187" i="25" s="1"/>
  <c r="CV195" i="25"/>
  <c r="CY195" i="25" s="1"/>
  <c r="CZ195" i="25" s="1"/>
  <c r="CV14" i="25"/>
  <c r="CY14" i="25" s="1"/>
  <c r="CZ14" i="25" s="1"/>
  <c r="CS14" i="25"/>
  <c r="CW14" i="25" s="1"/>
  <c r="CX14" i="25" s="1"/>
  <c r="DA14" i="25" s="1"/>
  <c r="CW185" i="25"/>
  <c r="CX185" i="25" s="1"/>
  <c r="DA185" i="25" s="1"/>
  <c r="CV52" i="25"/>
  <c r="CY52" i="25" s="1"/>
  <c r="CZ52" i="25" s="1"/>
  <c r="CV185" i="25"/>
  <c r="CY185" i="25" s="1"/>
  <c r="CZ185" i="25" s="1"/>
  <c r="CV186" i="25"/>
  <c r="CY186" i="25" s="1"/>
  <c r="CZ186" i="25" s="1"/>
  <c r="CS186" i="25"/>
  <c r="CW186" i="25" s="1"/>
  <c r="CX186" i="25" s="1"/>
  <c r="DA186" i="25" s="1"/>
  <c r="CV194" i="25"/>
  <c r="CY194" i="25" s="1"/>
  <c r="CZ194" i="25" s="1"/>
  <c r="CV36" i="25"/>
  <c r="CY36" i="25" s="1"/>
  <c r="CZ36" i="25" s="1"/>
  <c r="CS36" i="25"/>
  <c r="CW36" i="25" s="1"/>
  <c r="CX36" i="25" s="1"/>
  <c r="DA36" i="25" s="1"/>
  <c r="CV7" i="25"/>
  <c r="CY7" i="25" s="1"/>
  <c r="CZ7" i="25" s="1"/>
  <c r="CS7" i="25"/>
  <c r="CS179" i="25"/>
  <c r="CW179" i="25" s="1"/>
  <c r="CX179" i="25" s="1"/>
  <c r="DA179" i="25" s="1"/>
  <c r="CV179" i="25"/>
  <c r="CY179" i="25" s="1"/>
  <c r="CZ179" i="25" s="1"/>
  <c r="CV11" i="25"/>
  <c r="CY11" i="25" s="1"/>
  <c r="CZ11" i="25" s="1"/>
  <c r="CV193" i="25"/>
  <c r="CY193" i="25" s="1"/>
  <c r="CZ193" i="25" s="1"/>
  <c r="CS193" i="25"/>
  <c r="CW193" i="25" s="1"/>
  <c r="CX193" i="25" s="1"/>
  <c r="DA193" i="25" s="1"/>
  <c r="CV29" i="25"/>
  <c r="CY29" i="25" s="1"/>
  <c r="CZ29" i="25" s="1"/>
  <c r="CS29" i="25"/>
  <c r="CW29" i="25" s="1"/>
  <c r="CX29" i="25" s="1"/>
  <c r="DA29" i="25" s="1"/>
  <c r="CS48" i="25"/>
  <c r="CW48" i="25" s="1"/>
  <c r="CX48" i="25" s="1"/>
  <c r="DA48" i="25" s="1"/>
  <c r="CV48" i="25"/>
  <c r="CY48" i="25" s="1"/>
  <c r="CZ48" i="25" s="1"/>
  <c r="CS26" i="25"/>
  <c r="CW26" i="25" s="1"/>
  <c r="CX26" i="25" s="1"/>
  <c r="DA26" i="25" s="1"/>
  <c r="CV26" i="25"/>
  <c r="CY26" i="25" s="1"/>
  <c r="CZ26" i="25" s="1"/>
  <c r="CV71" i="25"/>
  <c r="CY71" i="25" s="1"/>
  <c r="CZ71" i="25" s="1"/>
  <c r="CS191" i="25"/>
  <c r="CW191" i="25" s="1"/>
  <c r="CX191" i="25" s="1"/>
  <c r="DA191" i="25" s="1"/>
  <c r="CV191" i="25"/>
  <c r="CY191" i="25" s="1"/>
  <c r="CZ191" i="25" s="1"/>
  <c r="CV175" i="25"/>
  <c r="CY175" i="25" s="1"/>
  <c r="CZ175" i="25" s="1"/>
  <c r="CS175" i="25"/>
  <c r="CW175" i="25" s="1"/>
  <c r="CX175" i="25" s="1"/>
  <c r="DA175" i="25" s="1"/>
  <c r="CS192" i="25"/>
  <c r="CW192" i="25" s="1"/>
  <c r="CX192" i="25" s="1"/>
  <c r="DA192" i="25" s="1"/>
  <c r="CV192" i="25"/>
  <c r="CY192" i="25" s="1"/>
  <c r="CZ192" i="25" s="1"/>
  <c r="CV10" i="25"/>
  <c r="CY10" i="25" s="1"/>
  <c r="CZ10" i="25" s="1"/>
  <c r="CS10" i="25"/>
  <c r="CW10" i="25" s="1"/>
  <c r="CX10" i="25" s="1"/>
  <c r="DA10" i="25" s="1"/>
  <c r="CW56" i="25"/>
  <c r="CX56" i="25" s="1"/>
  <c r="DA56" i="25" s="1"/>
  <c r="CS72" i="25"/>
  <c r="CW72" i="25" s="1"/>
  <c r="CX72" i="25" s="1"/>
  <c r="DA72" i="25" s="1"/>
  <c r="CV72" i="25"/>
  <c r="CY72" i="25" s="1"/>
  <c r="CZ72" i="25" s="1"/>
  <c r="CV56" i="25"/>
  <c r="CY56" i="25" s="1"/>
  <c r="CZ56" i="25" s="1"/>
  <c r="CV190" i="25"/>
  <c r="CY190" i="25" s="1"/>
  <c r="CZ190" i="25" s="1"/>
  <c r="CS190" i="25"/>
  <c r="CW190" i="25" s="1"/>
  <c r="CX190" i="25" s="1"/>
  <c r="DA190" i="25" s="1"/>
  <c r="CV189" i="25"/>
  <c r="CY189" i="25" s="1"/>
  <c r="CZ189" i="25" s="1"/>
  <c r="CS85" i="25"/>
  <c r="CW85" i="25" s="1"/>
  <c r="CX85" i="25" s="1"/>
  <c r="DA85" i="25" s="1"/>
  <c r="CV188" i="25"/>
  <c r="CY188" i="25" s="1"/>
  <c r="CZ188" i="25" s="1"/>
  <c r="CS188" i="25"/>
  <c r="CW188" i="25" s="1"/>
  <c r="CX188" i="25" s="1"/>
  <c r="DA188" i="25" s="1"/>
  <c r="CV139" i="25"/>
  <c r="CY139" i="25" s="1"/>
  <c r="CZ139" i="25" s="1"/>
  <c r="CV80" i="25"/>
  <c r="CY80" i="25" s="1"/>
  <c r="CZ80" i="25" s="1"/>
  <c r="CV176" i="25"/>
  <c r="CY176" i="25" s="1"/>
  <c r="CZ176" i="25" s="1"/>
  <c r="CS176" i="25"/>
  <c r="CW176" i="25" s="1"/>
  <c r="CX176" i="25" s="1"/>
  <c r="DA176" i="25" s="1"/>
  <c r="CV178" i="25"/>
  <c r="CY178" i="25" s="1"/>
  <c r="CZ178" i="25" s="1"/>
  <c r="CS178" i="25"/>
  <c r="CW178" i="25" s="1"/>
  <c r="CX178" i="25" s="1"/>
  <c r="DA178" i="25" s="1"/>
  <c r="CV177" i="25"/>
  <c r="CY177" i="25" s="1"/>
  <c r="CZ177" i="25" s="1"/>
  <c r="CS177" i="25"/>
  <c r="CW177" i="25" s="1"/>
  <c r="CX177" i="25" s="1"/>
  <c r="DA177" i="25" s="1"/>
  <c r="CV84" i="25"/>
  <c r="CY84" i="25" s="1"/>
  <c r="CZ84" i="25" s="1"/>
  <c r="CS84" i="25"/>
  <c r="CW84" i="25" s="1"/>
  <c r="CX84" i="25" s="1"/>
  <c r="DA84" i="25" s="1"/>
  <c r="CV76" i="25"/>
  <c r="CY76" i="25" s="1"/>
  <c r="CZ76" i="25" s="1"/>
  <c r="CS76" i="25"/>
  <c r="CW76" i="25" s="1"/>
  <c r="CX76" i="25" s="1"/>
  <c r="DA76" i="25" s="1"/>
  <c r="CW7" i="25" l="1"/>
  <c r="CX7" i="25" s="1"/>
  <c r="DA7" i="25" s="1"/>
  <c r="G169" i="25"/>
  <c r="G167" i="25"/>
  <c r="G184" i="25"/>
  <c r="G173" i="25"/>
  <c r="G172" i="25"/>
  <c r="G171" i="25"/>
  <c r="G135" i="25" l="1"/>
  <c r="G136" i="25"/>
  <c r="G137" i="25"/>
  <c r="G62" i="25"/>
  <c r="G35" i="25"/>
  <c r="G33" i="25"/>
  <c r="G30" i="25"/>
  <c r="G28" i="25"/>
  <c r="CE169" i="25"/>
  <c r="CE170" i="25"/>
  <c r="CE135" i="25"/>
  <c r="CE171" i="25"/>
  <c r="CE62" i="25"/>
  <c r="CE172" i="25"/>
  <c r="CE137" i="25"/>
  <c r="CE136" i="25"/>
  <c r="CE173" i="25"/>
  <c r="CE184" i="25"/>
  <c r="CF169" i="25"/>
  <c r="CF170" i="25"/>
  <c r="CF135" i="25"/>
  <c r="CF171" i="25"/>
  <c r="CF62" i="25"/>
  <c r="CF172" i="25"/>
  <c r="CF137" i="25"/>
  <c r="CF136" i="25"/>
  <c r="CF173" i="25"/>
  <c r="CF184" i="25"/>
  <c r="CH169" i="25"/>
  <c r="CH170" i="25"/>
  <c r="CH135" i="25"/>
  <c r="CH171" i="25"/>
  <c r="CH62" i="25"/>
  <c r="CH172" i="25"/>
  <c r="CH137" i="25"/>
  <c r="CH136" i="25"/>
  <c r="CH173" i="25"/>
  <c r="CH184" i="25"/>
  <c r="CI169" i="25"/>
  <c r="CI170" i="25"/>
  <c r="CI135" i="25"/>
  <c r="CI171" i="25"/>
  <c r="CI62" i="25"/>
  <c r="CI172" i="25"/>
  <c r="CI137" i="25"/>
  <c r="CI136" i="25"/>
  <c r="CI173" i="25"/>
  <c r="CI184" i="25"/>
  <c r="CJ169" i="25"/>
  <c r="CJ170" i="25"/>
  <c r="CJ135" i="25"/>
  <c r="CJ171" i="25"/>
  <c r="CJ62" i="25"/>
  <c r="CJ172" i="25"/>
  <c r="CJ137" i="25"/>
  <c r="CJ136" i="25"/>
  <c r="CJ173" i="25"/>
  <c r="CJ184" i="25"/>
  <c r="CK169" i="25"/>
  <c r="CK170" i="25"/>
  <c r="CK135" i="25"/>
  <c r="CK171" i="25"/>
  <c r="CK62" i="25"/>
  <c r="CK172" i="25"/>
  <c r="CK137" i="25"/>
  <c r="CK136" i="25"/>
  <c r="CK173" i="25"/>
  <c r="CK184" i="25"/>
  <c r="CL169" i="25"/>
  <c r="CL170" i="25"/>
  <c r="CL135" i="25"/>
  <c r="CL171" i="25"/>
  <c r="CL62" i="25"/>
  <c r="CL172" i="25"/>
  <c r="CL137" i="25"/>
  <c r="CL136" i="25"/>
  <c r="CL173" i="25"/>
  <c r="CL184" i="25"/>
  <c r="CM169" i="25"/>
  <c r="CM170" i="25"/>
  <c r="CM135" i="25"/>
  <c r="CM171" i="25"/>
  <c r="CM62" i="25"/>
  <c r="CM172" i="25"/>
  <c r="CM137" i="25"/>
  <c r="CM136" i="25"/>
  <c r="CM173" i="25"/>
  <c r="CM184" i="25"/>
  <c r="CN169" i="25"/>
  <c r="CN170" i="25"/>
  <c r="CN135" i="25"/>
  <c r="CN171" i="25"/>
  <c r="CN62" i="25"/>
  <c r="CN172" i="25"/>
  <c r="CN137" i="25"/>
  <c r="CN136" i="25"/>
  <c r="CN173" i="25"/>
  <c r="CN184" i="25"/>
  <c r="CT169" i="25"/>
  <c r="CU169" i="25" s="1"/>
  <c r="CT170" i="25"/>
  <c r="CU170" i="25" s="1"/>
  <c r="CT135" i="25"/>
  <c r="CU135" i="25" s="1"/>
  <c r="CT171" i="25"/>
  <c r="CU171" i="25" s="1"/>
  <c r="CT62" i="25"/>
  <c r="CU62" i="25" s="1"/>
  <c r="CT172" i="25"/>
  <c r="CU172" i="25" s="1"/>
  <c r="CT137" i="25"/>
  <c r="CU137" i="25" s="1"/>
  <c r="CT136" i="25"/>
  <c r="CU136" i="25" s="1"/>
  <c r="CT173" i="25"/>
  <c r="CU173" i="25" s="1"/>
  <c r="CT184" i="25"/>
  <c r="CU184" i="25" s="1"/>
  <c r="DB169" i="25"/>
  <c r="DB170" i="25"/>
  <c r="DB135" i="25"/>
  <c r="DB171" i="25"/>
  <c r="DB62" i="25"/>
  <c r="DB172" i="25"/>
  <c r="DB137" i="25"/>
  <c r="DB136" i="25"/>
  <c r="DB173" i="25"/>
  <c r="DB184" i="25"/>
  <c r="DC169" i="25"/>
  <c r="DC170" i="25"/>
  <c r="DC135" i="25"/>
  <c r="DC171" i="25"/>
  <c r="DC62" i="25"/>
  <c r="DC172" i="25"/>
  <c r="DC137" i="25"/>
  <c r="DC136" i="25"/>
  <c r="DC173" i="25"/>
  <c r="DC184" i="25"/>
  <c r="DG169" i="25"/>
  <c r="DG170" i="25"/>
  <c r="DG135" i="25"/>
  <c r="DG171" i="25"/>
  <c r="DG62" i="25"/>
  <c r="DG172" i="25"/>
  <c r="DG137" i="25"/>
  <c r="DG136" i="25"/>
  <c r="DG173" i="25"/>
  <c r="DG184" i="25"/>
  <c r="DH169" i="25"/>
  <c r="DH170" i="25"/>
  <c r="DH135" i="25"/>
  <c r="DH171" i="25"/>
  <c r="DH62" i="25"/>
  <c r="DH172" i="25"/>
  <c r="DH137" i="25"/>
  <c r="DH136" i="25"/>
  <c r="DH173" i="25"/>
  <c r="DH184" i="25"/>
  <c r="DL169" i="25"/>
  <c r="DL170" i="25"/>
  <c r="DL135" i="25"/>
  <c r="DL171" i="25"/>
  <c r="DL62" i="25"/>
  <c r="DL172" i="25"/>
  <c r="DL137" i="25"/>
  <c r="DL136" i="25"/>
  <c r="DL173" i="25"/>
  <c r="DL184" i="25"/>
  <c r="DM169" i="25"/>
  <c r="DT169" i="25" s="1"/>
  <c r="DM170" i="25"/>
  <c r="DT170" i="25" s="1"/>
  <c r="DM135" i="25"/>
  <c r="DT135" i="25" s="1"/>
  <c r="DM171" i="25"/>
  <c r="DT171" i="25" s="1"/>
  <c r="DM62" i="25"/>
  <c r="DM172" i="25"/>
  <c r="DT172" i="25" s="1"/>
  <c r="DM137" i="25"/>
  <c r="DT137" i="25" s="1"/>
  <c r="DM136" i="25"/>
  <c r="DT136" i="25" s="1"/>
  <c r="DM173" i="25"/>
  <c r="DT173" i="25" s="1"/>
  <c r="DM184" i="25"/>
  <c r="DT184" i="25" s="1"/>
  <c r="DN169" i="25"/>
  <c r="DN170" i="25"/>
  <c r="DN135" i="25"/>
  <c r="DN171" i="25"/>
  <c r="DN62" i="25"/>
  <c r="DN172" i="25"/>
  <c r="DN137" i="25"/>
  <c r="DN136" i="25"/>
  <c r="DN173" i="25"/>
  <c r="DN184" i="25"/>
  <c r="DO169" i="25"/>
  <c r="DO170" i="25"/>
  <c r="DO135" i="25"/>
  <c r="DO171" i="25"/>
  <c r="DO62" i="25"/>
  <c r="DO172" i="25"/>
  <c r="DO137" i="25"/>
  <c r="DO136" i="25"/>
  <c r="DO173" i="25"/>
  <c r="DO184" i="25"/>
  <c r="DV169" i="25"/>
  <c r="DV170" i="25"/>
  <c r="DV135" i="25"/>
  <c r="DV171" i="25"/>
  <c r="DV62" i="25"/>
  <c r="DV172" i="25"/>
  <c r="DV137" i="25"/>
  <c r="DV136" i="25"/>
  <c r="DV173" i="25"/>
  <c r="DV184" i="25"/>
  <c r="DW169" i="25"/>
  <c r="DX169" i="25" s="1"/>
  <c r="DW170" i="25"/>
  <c r="DZ170" i="25" s="1"/>
  <c r="DW135" i="25"/>
  <c r="DX135" i="25" s="1"/>
  <c r="DW171" i="25"/>
  <c r="DZ171" i="25" s="1"/>
  <c r="DW62" i="25"/>
  <c r="DX62" i="25" s="1"/>
  <c r="DW172" i="25"/>
  <c r="DX172" i="25" s="1"/>
  <c r="DW137" i="25"/>
  <c r="DZ137" i="25" s="1"/>
  <c r="DW136" i="25"/>
  <c r="DZ136" i="25" s="1"/>
  <c r="DW173" i="25"/>
  <c r="DX173" i="25" s="1"/>
  <c r="DW184" i="25"/>
  <c r="DX184" i="25" s="1"/>
  <c r="DY169" i="25"/>
  <c r="DY170" i="25"/>
  <c r="DY135" i="25"/>
  <c r="DY171" i="25"/>
  <c r="DY62" i="25"/>
  <c r="DY172" i="25"/>
  <c r="DY137" i="25"/>
  <c r="DY136" i="25"/>
  <c r="DY173" i="25"/>
  <c r="DY184" i="25"/>
  <c r="EA169" i="25"/>
  <c r="EA170" i="25"/>
  <c r="EA135" i="25"/>
  <c r="EA171" i="25"/>
  <c r="EA62" i="25"/>
  <c r="EA172" i="25"/>
  <c r="EA137" i="25"/>
  <c r="EA136" i="25"/>
  <c r="EA173" i="25"/>
  <c r="EA184" i="25"/>
  <c r="EB169" i="25"/>
  <c r="EB170" i="25"/>
  <c r="EB135" i="25"/>
  <c r="EB171" i="25"/>
  <c r="EB62" i="25"/>
  <c r="EB172" i="25"/>
  <c r="EB137" i="25"/>
  <c r="EB136" i="25"/>
  <c r="EB173" i="25"/>
  <c r="EB184" i="25"/>
  <c r="EI169" i="25"/>
  <c r="EI170" i="25"/>
  <c r="EI135" i="25"/>
  <c r="EI171" i="25"/>
  <c r="EI62" i="25"/>
  <c r="EI172" i="25"/>
  <c r="EI137" i="25"/>
  <c r="EI136" i="25"/>
  <c r="EI173" i="25"/>
  <c r="EI184" i="25"/>
  <c r="EJ169" i="25"/>
  <c r="EJ170" i="25"/>
  <c r="EJ135" i="25"/>
  <c r="EJ171" i="25"/>
  <c r="EJ62" i="25"/>
  <c r="EJ172" i="25"/>
  <c r="EJ137" i="25"/>
  <c r="EJ136" i="25"/>
  <c r="EJ173" i="25"/>
  <c r="EJ184" i="25"/>
  <c r="EK169" i="25"/>
  <c r="EK170" i="25"/>
  <c r="DI170" i="25" s="1"/>
  <c r="DJ170" i="25" s="1"/>
  <c r="EK135" i="25"/>
  <c r="DF135" i="25" s="1"/>
  <c r="EK171" i="25"/>
  <c r="DF171" i="25" s="1"/>
  <c r="EK62" i="25"/>
  <c r="EK172" i="25"/>
  <c r="EK137" i="25"/>
  <c r="EK136" i="25"/>
  <c r="EK173" i="25"/>
  <c r="EK184" i="25"/>
  <c r="DF184" i="25" s="1"/>
  <c r="EL169" i="25"/>
  <c r="EL170" i="25"/>
  <c r="EL135" i="25"/>
  <c r="EL171" i="25"/>
  <c r="EL62" i="25"/>
  <c r="EL172" i="25"/>
  <c r="EL137" i="25"/>
  <c r="EL136" i="25"/>
  <c r="EL173" i="25"/>
  <c r="EL184" i="25"/>
  <c r="EM169" i="25"/>
  <c r="DU169" i="25" s="1"/>
  <c r="EM170" i="25"/>
  <c r="DU170" i="25" s="1"/>
  <c r="EM135" i="25"/>
  <c r="DU135" i="25" s="1"/>
  <c r="EM171" i="25"/>
  <c r="DU171" i="25" s="1"/>
  <c r="EM62" i="25"/>
  <c r="DU62" i="25" s="1"/>
  <c r="EM172" i="25"/>
  <c r="DU172" i="25" s="1"/>
  <c r="EM137" i="25"/>
  <c r="DU137" i="25" s="1"/>
  <c r="EM136" i="25"/>
  <c r="DU136" i="25" s="1"/>
  <c r="EM173" i="25"/>
  <c r="DU173" i="25" s="1"/>
  <c r="EM184" i="25"/>
  <c r="DU184" i="25" s="1"/>
  <c r="EN169" i="25"/>
  <c r="EN170" i="25"/>
  <c r="EN135" i="25"/>
  <c r="EN171" i="25"/>
  <c r="EN62" i="25"/>
  <c r="EN172" i="25"/>
  <c r="EN137" i="25"/>
  <c r="EN136" i="25"/>
  <c r="EN173" i="25"/>
  <c r="EN184" i="25"/>
  <c r="EO169" i="25"/>
  <c r="EO170" i="25"/>
  <c r="EO135" i="25"/>
  <c r="EO171" i="25"/>
  <c r="EO62" i="25"/>
  <c r="EO172" i="25"/>
  <c r="EO137" i="25"/>
  <c r="EO136" i="25"/>
  <c r="EO173" i="25"/>
  <c r="EO184" i="25"/>
  <c r="EP169" i="25"/>
  <c r="EP170" i="25"/>
  <c r="EP135" i="25"/>
  <c r="EP171" i="25"/>
  <c r="EP62" i="25"/>
  <c r="EP172" i="25"/>
  <c r="EP137" i="25"/>
  <c r="EP136" i="25"/>
  <c r="EP173" i="25"/>
  <c r="EP184" i="25"/>
  <c r="ES169" i="25"/>
  <c r="ES170" i="25"/>
  <c r="ES135" i="25"/>
  <c r="ES171" i="25"/>
  <c r="ES62" i="25"/>
  <c r="ES172" i="25"/>
  <c r="ES137" i="25"/>
  <c r="ES136" i="25"/>
  <c r="ES173" i="25"/>
  <c r="ES184" i="25"/>
  <c r="ET169" i="25"/>
  <c r="ET170" i="25"/>
  <c r="ET135" i="25"/>
  <c r="ET171" i="25"/>
  <c r="ET62" i="25"/>
  <c r="ET172" i="25"/>
  <c r="ET137" i="25"/>
  <c r="ET136" i="25"/>
  <c r="ET173" i="25"/>
  <c r="ET184" i="25"/>
  <c r="CE168" i="25"/>
  <c r="CF168" i="25"/>
  <c r="CH168" i="25"/>
  <c r="CI168" i="25"/>
  <c r="CJ168" i="25"/>
  <c r="CK168" i="25"/>
  <c r="CL168" i="25"/>
  <c r="CM168" i="25"/>
  <c r="CN168" i="25"/>
  <c r="CT168" i="25"/>
  <c r="CU168" i="25" s="1"/>
  <c r="DB168" i="25"/>
  <c r="DC168" i="25"/>
  <c r="DG168" i="25"/>
  <c r="DH168" i="25"/>
  <c r="DL168" i="25"/>
  <c r="DM168" i="25"/>
  <c r="DN168" i="25"/>
  <c r="DO168" i="25"/>
  <c r="DV168" i="25"/>
  <c r="DW168" i="25"/>
  <c r="DZ168" i="25" s="1"/>
  <c r="DY168" i="25"/>
  <c r="EA168" i="25"/>
  <c r="EB168" i="25"/>
  <c r="EI168" i="25"/>
  <c r="EJ168" i="25"/>
  <c r="EK168" i="25"/>
  <c r="EL168" i="25"/>
  <c r="EM168" i="25"/>
  <c r="DU168" i="25" s="1"/>
  <c r="EN168" i="25"/>
  <c r="EO168" i="25"/>
  <c r="EP168" i="25"/>
  <c r="ES168" i="25"/>
  <c r="ET168" i="25"/>
  <c r="CE167" i="25"/>
  <c r="CF167" i="25"/>
  <c r="CH167" i="25"/>
  <c r="CI167" i="25"/>
  <c r="CJ167" i="25"/>
  <c r="CK167" i="25"/>
  <c r="CL167" i="25"/>
  <c r="CM167" i="25"/>
  <c r="CN167" i="25"/>
  <c r="CT167" i="25"/>
  <c r="CU167" i="25" s="1"/>
  <c r="DB167" i="25"/>
  <c r="DC167" i="25"/>
  <c r="DG167" i="25"/>
  <c r="DH167" i="25"/>
  <c r="DL167" i="25"/>
  <c r="DM167" i="25"/>
  <c r="DT167" i="25" s="1"/>
  <c r="DN167" i="25"/>
  <c r="DO167" i="25"/>
  <c r="DV167" i="25"/>
  <c r="DW167" i="25"/>
  <c r="DX167" i="25" s="1"/>
  <c r="DY167" i="25"/>
  <c r="EA167" i="25"/>
  <c r="EB167" i="25"/>
  <c r="EI167" i="25"/>
  <c r="EJ167" i="25"/>
  <c r="EK167" i="25"/>
  <c r="EL167" i="25"/>
  <c r="EM167" i="25"/>
  <c r="DU167" i="25" s="1"/>
  <c r="EN167" i="25"/>
  <c r="EO167" i="25"/>
  <c r="EP167" i="25"/>
  <c r="ES167" i="25"/>
  <c r="ET167" i="25"/>
  <c r="CE166" i="25"/>
  <c r="CF166" i="25"/>
  <c r="CH166" i="25"/>
  <c r="CI166" i="25"/>
  <c r="CJ166" i="25"/>
  <c r="CK166" i="25"/>
  <c r="CL166" i="25"/>
  <c r="CM166" i="25"/>
  <c r="CN166" i="25"/>
  <c r="CT166" i="25"/>
  <c r="CU166" i="25" s="1"/>
  <c r="DB166" i="25"/>
  <c r="DC166" i="25"/>
  <c r="DG166" i="25"/>
  <c r="DH166" i="25"/>
  <c r="DL166" i="25"/>
  <c r="DM166" i="25"/>
  <c r="DT166" i="25" s="1"/>
  <c r="DN166" i="25"/>
  <c r="DO166" i="25"/>
  <c r="DV166" i="25"/>
  <c r="DW166" i="25"/>
  <c r="DX166" i="25" s="1"/>
  <c r="DY166" i="25"/>
  <c r="EA166" i="25"/>
  <c r="EB166" i="25"/>
  <c r="EI166" i="25"/>
  <c r="EJ166" i="25"/>
  <c r="EK166" i="25"/>
  <c r="EL166" i="25"/>
  <c r="EM166" i="25"/>
  <c r="DU166" i="25" s="1"/>
  <c r="EN166" i="25"/>
  <c r="EO166" i="25"/>
  <c r="EP166" i="25"/>
  <c r="ES166" i="25"/>
  <c r="ET166" i="25"/>
  <c r="CE35" i="25"/>
  <c r="CF35" i="25"/>
  <c r="CH35" i="25"/>
  <c r="CI35" i="25"/>
  <c r="CJ35" i="25"/>
  <c r="CK35" i="25"/>
  <c r="CL35" i="25"/>
  <c r="CM35" i="25"/>
  <c r="CN35" i="25"/>
  <c r="CT35" i="25"/>
  <c r="CU35" i="25" s="1"/>
  <c r="DB35" i="25"/>
  <c r="DC35" i="25"/>
  <c r="DG35" i="25"/>
  <c r="DH35" i="25"/>
  <c r="DL35" i="25"/>
  <c r="DM35" i="25"/>
  <c r="DN35" i="25"/>
  <c r="DO35" i="25"/>
  <c r="DV35" i="25"/>
  <c r="DW35" i="25"/>
  <c r="DX35" i="25" s="1"/>
  <c r="DY35" i="25"/>
  <c r="EA35" i="25"/>
  <c r="EB35" i="25"/>
  <c r="EI35" i="25"/>
  <c r="EJ35" i="25"/>
  <c r="EK35" i="25"/>
  <c r="EL35" i="25"/>
  <c r="EM35" i="25"/>
  <c r="DU35" i="25" s="1"/>
  <c r="EN35" i="25"/>
  <c r="EO35" i="25"/>
  <c r="EP35" i="25"/>
  <c r="ES35" i="25"/>
  <c r="ET35" i="25"/>
  <c r="CE165" i="25"/>
  <c r="CF165" i="25"/>
  <c r="CH165" i="25"/>
  <c r="CI165" i="25"/>
  <c r="CJ165" i="25"/>
  <c r="CK165" i="25"/>
  <c r="CL165" i="25"/>
  <c r="CM165" i="25"/>
  <c r="CN165" i="25"/>
  <c r="CT165" i="25"/>
  <c r="CU165" i="25" s="1"/>
  <c r="DB165" i="25"/>
  <c r="DC165" i="25"/>
  <c r="DG165" i="25"/>
  <c r="DH165" i="25"/>
  <c r="DL165" i="25"/>
  <c r="DM165" i="25"/>
  <c r="DT165" i="25" s="1"/>
  <c r="DN165" i="25"/>
  <c r="DO165" i="25"/>
  <c r="DV165" i="25"/>
  <c r="DW165" i="25"/>
  <c r="DX165" i="25" s="1"/>
  <c r="DY165" i="25"/>
  <c r="EA165" i="25"/>
  <c r="EB165" i="25"/>
  <c r="EI165" i="25"/>
  <c r="EJ165" i="25"/>
  <c r="EK165" i="25"/>
  <c r="EL165" i="25"/>
  <c r="EM165" i="25"/>
  <c r="DU165" i="25" s="1"/>
  <c r="EN165" i="25"/>
  <c r="EO165" i="25"/>
  <c r="EP165" i="25"/>
  <c r="ES165" i="25"/>
  <c r="ET165" i="25"/>
  <c r="CE33" i="25"/>
  <c r="CF33" i="25"/>
  <c r="CH33" i="25"/>
  <c r="CI33" i="25"/>
  <c r="CJ33" i="25"/>
  <c r="CK33" i="25"/>
  <c r="CL33" i="25"/>
  <c r="CM33" i="25"/>
  <c r="CN33" i="25"/>
  <c r="CT33" i="25"/>
  <c r="CU33" i="25" s="1"/>
  <c r="DB33" i="25"/>
  <c r="DC33" i="25"/>
  <c r="DG33" i="25"/>
  <c r="DH33" i="25"/>
  <c r="DL33" i="25"/>
  <c r="DM33" i="25"/>
  <c r="DT33" i="25" s="1"/>
  <c r="DN33" i="25"/>
  <c r="DO33" i="25"/>
  <c r="DV33" i="25"/>
  <c r="DW33" i="25"/>
  <c r="DX33" i="25" s="1"/>
  <c r="DY33" i="25"/>
  <c r="EA33" i="25"/>
  <c r="EB33" i="25"/>
  <c r="EI33" i="25"/>
  <c r="EJ33" i="25"/>
  <c r="EK33" i="25"/>
  <c r="EL33" i="25"/>
  <c r="EM33" i="25"/>
  <c r="DU33" i="25" s="1"/>
  <c r="EN33" i="25"/>
  <c r="EO33" i="25"/>
  <c r="EP33" i="25"/>
  <c r="ES33" i="25"/>
  <c r="ET33" i="25"/>
  <c r="CE30" i="25"/>
  <c r="CE138" i="25"/>
  <c r="CF30" i="25"/>
  <c r="CF138" i="25"/>
  <c r="CH30" i="25"/>
  <c r="CH138" i="25"/>
  <c r="CI30" i="25"/>
  <c r="CI138" i="25"/>
  <c r="CJ30" i="25"/>
  <c r="CJ138" i="25"/>
  <c r="CK30" i="25"/>
  <c r="CK138" i="25"/>
  <c r="CL30" i="25"/>
  <c r="CL138" i="25"/>
  <c r="CM30" i="25"/>
  <c r="CM138" i="25"/>
  <c r="CN30" i="25"/>
  <c r="CN138" i="25"/>
  <c r="CT30" i="25"/>
  <c r="CT138" i="25"/>
  <c r="CU138" i="25" s="1"/>
  <c r="DB30" i="25"/>
  <c r="DB138" i="25"/>
  <c r="DC30" i="25"/>
  <c r="DC138" i="25"/>
  <c r="DG30" i="25"/>
  <c r="DG138" i="25"/>
  <c r="DH30" i="25"/>
  <c r="DH138" i="25"/>
  <c r="DL30" i="25"/>
  <c r="DL138" i="25"/>
  <c r="DM30" i="25"/>
  <c r="DT30" i="25" s="1"/>
  <c r="DM138" i="25"/>
  <c r="DT138" i="25" s="1"/>
  <c r="DN30" i="25"/>
  <c r="DN138" i="25"/>
  <c r="DO30" i="25"/>
  <c r="DO138" i="25"/>
  <c r="DV30" i="25"/>
  <c r="DV138" i="25"/>
  <c r="DW30" i="25"/>
  <c r="DX30" i="25" s="1"/>
  <c r="DW138" i="25"/>
  <c r="DX138" i="25" s="1"/>
  <c r="DY30" i="25"/>
  <c r="DY138" i="25"/>
  <c r="EA30" i="25"/>
  <c r="EA138" i="25"/>
  <c r="EB30" i="25"/>
  <c r="EB138" i="25"/>
  <c r="EI30" i="25"/>
  <c r="EI138" i="25"/>
  <c r="EJ30" i="25"/>
  <c r="EJ138" i="25"/>
  <c r="EK30" i="25"/>
  <c r="EK138" i="25"/>
  <c r="EL30" i="25"/>
  <c r="EL138" i="25"/>
  <c r="EM30" i="25"/>
  <c r="DU30" i="25" s="1"/>
  <c r="EM138" i="25"/>
  <c r="DU138" i="25" s="1"/>
  <c r="EN30" i="25"/>
  <c r="EN138" i="25"/>
  <c r="EO30" i="25"/>
  <c r="EO138" i="25"/>
  <c r="EP30" i="25"/>
  <c r="EP138" i="25"/>
  <c r="ES30" i="25"/>
  <c r="ES138" i="25"/>
  <c r="ET30" i="25"/>
  <c r="ET138" i="25"/>
  <c r="CE28" i="25"/>
  <c r="CF28" i="25"/>
  <c r="CH28" i="25"/>
  <c r="CI28" i="25"/>
  <c r="CJ28" i="25"/>
  <c r="CK28" i="25"/>
  <c r="CL28" i="25"/>
  <c r="CM28" i="25"/>
  <c r="CN28" i="25"/>
  <c r="CT28" i="25"/>
  <c r="CU28" i="25" s="1"/>
  <c r="DB28" i="25"/>
  <c r="DC28" i="25"/>
  <c r="DG28" i="25"/>
  <c r="DH28" i="25"/>
  <c r="DL28" i="25"/>
  <c r="DM28" i="25"/>
  <c r="DT28" i="25" s="1"/>
  <c r="DN28" i="25"/>
  <c r="DO28" i="25"/>
  <c r="DV28" i="25"/>
  <c r="DW28" i="25"/>
  <c r="DX28" i="25" s="1"/>
  <c r="DY28" i="25"/>
  <c r="EA28" i="25"/>
  <c r="EB28" i="25"/>
  <c r="EI28" i="25"/>
  <c r="EJ28" i="25"/>
  <c r="EK28" i="25"/>
  <c r="DF28" i="25" s="1"/>
  <c r="EL28" i="25"/>
  <c r="EM28" i="25"/>
  <c r="DU28" i="25" s="1"/>
  <c r="EN28" i="25"/>
  <c r="EO28" i="25"/>
  <c r="EP28" i="25"/>
  <c r="ES28" i="25"/>
  <c r="ET28" i="25"/>
  <c r="EG166" i="25" l="1"/>
  <c r="EG165" i="25"/>
  <c r="EG135" i="25"/>
  <c r="EG30" i="25"/>
  <c r="EG33" i="25"/>
  <c r="EG138" i="25"/>
  <c r="EG184" i="25"/>
  <c r="EG170" i="25"/>
  <c r="EG173" i="25"/>
  <c r="EG169" i="25"/>
  <c r="EG136" i="25"/>
  <c r="EG35" i="25"/>
  <c r="EG137" i="25"/>
  <c r="EG172" i="25"/>
  <c r="EG167" i="25"/>
  <c r="EG62" i="25"/>
  <c r="EG28" i="25"/>
  <c r="EG168" i="25"/>
  <c r="EG171" i="25"/>
  <c r="DE173" i="25"/>
  <c r="DD173" i="25" s="1"/>
  <c r="DK173" i="25" s="1"/>
  <c r="DE169" i="25"/>
  <c r="DD169" i="25" s="1"/>
  <c r="DK169" i="25" s="1"/>
  <c r="DE137" i="25"/>
  <c r="DD137" i="25" s="1"/>
  <c r="DK137" i="25" s="1"/>
  <c r="EH137" i="25"/>
  <c r="DE172" i="25"/>
  <c r="DD172" i="25" s="1"/>
  <c r="DK172" i="25" s="1"/>
  <c r="DZ173" i="25"/>
  <c r="CG171" i="25"/>
  <c r="DZ169" i="25"/>
  <c r="DZ135" i="25"/>
  <c r="EH171" i="25"/>
  <c r="CG137" i="25"/>
  <c r="CG135" i="25"/>
  <c r="EH173" i="25"/>
  <c r="EH169" i="25"/>
  <c r="CG173" i="25"/>
  <c r="CG169" i="25"/>
  <c r="DZ172" i="25"/>
  <c r="DX171" i="25"/>
  <c r="CG170" i="25"/>
  <c r="DE168" i="25"/>
  <c r="DD168" i="25" s="1"/>
  <c r="DK168" i="25" s="1"/>
  <c r="CG136" i="25"/>
  <c r="DE62" i="25"/>
  <c r="DD62" i="25" s="1"/>
  <c r="DK62" i="25" s="1"/>
  <c r="EH184" i="25"/>
  <c r="EH135" i="25"/>
  <c r="CG184" i="25"/>
  <c r="CQ136" i="25"/>
  <c r="EH170" i="25"/>
  <c r="CQ184" i="25"/>
  <c r="CQ135" i="25"/>
  <c r="CP172" i="25"/>
  <c r="CR172" i="25" s="1"/>
  <c r="CS172" i="25" s="1"/>
  <c r="CW172" i="25" s="1"/>
  <c r="CX172" i="25" s="1"/>
  <c r="DA172" i="25" s="1"/>
  <c r="CQ173" i="25"/>
  <c r="CQ169" i="25"/>
  <c r="CP171" i="25"/>
  <c r="CR171" i="25" s="1"/>
  <c r="CV171" i="25" s="1"/>
  <c r="CY171" i="25" s="1"/>
  <c r="CZ171" i="25" s="1"/>
  <c r="DP137" i="25"/>
  <c r="DQ137" i="25" s="1"/>
  <c r="DR137" i="25" s="1"/>
  <c r="DS137" i="25" s="1"/>
  <c r="DE35" i="25"/>
  <c r="DD35" i="25" s="1"/>
  <c r="DK35" i="25" s="1"/>
  <c r="CG167" i="25"/>
  <c r="DX168" i="25"/>
  <c r="DP172" i="25"/>
  <c r="DQ172" i="25" s="1"/>
  <c r="DR172" i="25" s="1"/>
  <c r="DS172" i="25" s="1"/>
  <c r="EH136" i="25"/>
  <c r="CQ137" i="25"/>
  <c r="CP170" i="25"/>
  <c r="CR170" i="25" s="1"/>
  <c r="DP62" i="25"/>
  <c r="DQ62" i="25" s="1"/>
  <c r="DR62" i="25" s="1"/>
  <c r="DS62" i="25" s="1"/>
  <c r="DP173" i="25"/>
  <c r="DQ173" i="25" s="1"/>
  <c r="DR173" i="25" s="1"/>
  <c r="DS173" i="25" s="1"/>
  <c r="DP169" i="25"/>
  <c r="DQ169" i="25" s="1"/>
  <c r="DR169" i="25" s="1"/>
  <c r="DS169" i="25" s="1"/>
  <c r="DZ62" i="25"/>
  <c r="DP171" i="25"/>
  <c r="DQ171" i="25" s="1"/>
  <c r="DR171" i="25" s="1"/>
  <c r="DS171" i="25" s="1"/>
  <c r="DE167" i="25"/>
  <c r="DD167" i="25" s="1"/>
  <c r="DK167" i="25" s="1"/>
  <c r="DZ184" i="25"/>
  <c r="EH168" i="25"/>
  <c r="CG172" i="25"/>
  <c r="EH166" i="25"/>
  <c r="CG168" i="25"/>
  <c r="DP136" i="25"/>
  <c r="DQ136" i="25" s="1"/>
  <c r="DR136" i="25" s="1"/>
  <c r="DS136" i="25" s="1"/>
  <c r="DP184" i="25"/>
  <c r="DQ184" i="25" s="1"/>
  <c r="DR184" i="25" s="1"/>
  <c r="DS184" i="25" s="1"/>
  <c r="DP135" i="25"/>
  <c r="DQ135" i="25" s="1"/>
  <c r="DR135" i="25" s="1"/>
  <c r="DS135" i="25" s="1"/>
  <c r="DP170" i="25"/>
  <c r="DQ170" i="25" s="1"/>
  <c r="DR170" i="25" s="1"/>
  <c r="DS170" i="25" s="1"/>
  <c r="DI173" i="25"/>
  <c r="DJ173" i="25" s="1"/>
  <c r="DI169" i="25"/>
  <c r="DJ169" i="25" s="1"/>
  <c r="DF170" i="25"/>
  <c r="CG62" i="25"/>
  <c r="EH172" i="25"/>
  <c r="CQ170" i="25"/>
  <c r="CP62" i="25"/>
  <c r="CR62" i="25" s="1"/>
  <c r="CP136" i="25"/>
  <c r="CR136" i="25" s="1"/>
  <c r="DE136" i="25"/>
  <c r="DD136" i="25" s="1"/>
  <c r="DK136" i="25" s="1"/>
  <c r="EH62" i="25"/>
  <c r="CP184" i="25"/>
  <c r="CR184" i="25" s="1"/>
  <c r="CS184" i="25" s="1"/>
  <c r="CW184" i="25" s="1"/>
  <c r="CX184" i="25" s="1"/>
  <c r="DA184" i="25" s="1"/>
  <c r="CP135" i="25"/>
  <c r="CR135" i="25" s="1"/>
  <c r="CS135" i="25" s="1"/>
  <c r="CW135" i="25" s="1"/>
  <c r="CX135" i="25" s="1"/>
  <c r="DA135" i="25" s="1"/>
  <c r="CQ171" i="25"/>
  <c r="CP137" i="25"/>
  <c r="CR137" i="25" s="1"/>
  <c r="DE166" i="25"/>
  <c r="DD166" i="25" s="1"/>
  <c r="DK166" i="25" s="1"/>
  <c r="DP168" i="25"/>
  <c r="DQ168" i="25" s="1"/>
  <c r="DR168" i="25" s="1"/>
  <c r="DS168" i="25" s="1"/>
  <c r="DZ166" i="25"/>
  <c r="DI136" i="25"/>
  <c r="DJ136" i="25" s="1"/>
  <c r="DF173" i="25"/>
  <c r="DF169" i="25"/>
  <c r="DE171" i="25"/>
  <c r="DD171" i="25" s="1"/>
  <c r="DK171" i="25" s="1"/>
  <c r="CQ172" i="25"/>
  <c r="CP173" i="25"/>
  <c r="CR173" i="25" s="1"/>
  <c r="CP169" i="25"/>
  <c r="CR169" i="25" s="1"/>
  <c r="EH167" i="25"/>
  <c r="DX170" i="25"/>
  <c r="DI137" i="25"/>
  <c r="DJ137" i="25" s="1"/>
  <c r="DF136" i="25"/>
  <c r="DE184" i="25"/>
  <c r="DD184" i="25" s="1"/>
  <c r="DK184" i="25" s="1"/>
  <c r="DE135" i="25"/>
  <c r="DD135" i="25" s="1"/>
  <c r="DK135" i="25" s="1"/>
  <c r="CQ62" i="25"/>
  <c r="DT62" i="25"/>
  <c r="DI172" i="25"/>
  <c r="DJ172" i="25" s="1"/>
  <c r="DF137" i="25"/>
  <c r="DE170" i="25"/>
  <c r="DD170" i="25" s="1"/>
  <c r="DK170" i="25" s="1"/>
  <c r="CP167" i="25"/>
  <c r="CR167" i="25" s="1"/>
  <c r="DX136" i="25"/>
  <c r="DI62" i="25"/>
  <c r="DJ62" i="25" s="1"/>
  <c r="DF172" i="25"/>
  <c r="DZ167" i="25"/>
  <c r="DX137" i="25"/>
  <c r="DI171" i="25"/>
  <c r="DJ171" i="25" s="1"/>
  <c r="DF62" i="25"/>
  <c r="DP166" i="25"/>
  <c r="DQ166" i="25" s="1"/>
  <c r="DR166" i="25" s="1"/>
  <c r="DS166" i="25" s="1"/>
  <c r="CG166" i="25"/>
  <c r="DT168" i="25"/>
  <c r="DI184" i="25"/>
  <c r="DJ184" i="25" s="1"/>
  <c r="DI135" i="25"/>
  <c r="DJ135" i="25" s="1"/>
  <c r="CP168" i="25"/>
  <c r="CR168" i="25" s="1"/>
  <c r="DI168" i="25"/>
  <c r="DJ168" i="25" s="1"/>
  <c r="CQ168" i="25"/>
  <c r="DF168" i="25"/>
  <c r="DZ35" i="25"/>
  <c r="DP167" i="25"/>
  <c r="DQ167" i="25" s="1"/>
  <c r="DR167" i="25" s="1"/>
  <c r="DS167" i="25" s="1"/>
  <c r="EH35" i="25"/>
  <c r="CG35" i="25"/>
  <c r="DI167" i="25"/>
  <c r="DJ167" i="25" s="1"/>
  <c r="EH165" i="25"/>
  <c r="CG165" i="25"/>
  <c r="CP35" i="25"/>
  <c r="CR35" i="25" s="1"/>
  <c r="CP166" i="25"/>
  <c r="CR166" i="25" s="1"/>
  <c r="CS166" i="25" s="1"/>
  <c r="CW166" i="25" s="1"/>
  <c r="CX166" i="25" s="1"/>
  <c r="DA166" i="25" s="1"/>
  <c r="CQ167" i="25"/>
  <c r="DF167" i="25"/>
  <c r="DI166" i="25"/>
  <c r="DJ166" i="25" s="1"/>
  <c r="DP33" i="25"/>
  <c r="DQ33" i="25" s="1"/>
  <c r="DR33" i="25" s="1"/>
  <c r="DS33" i="25" s="1"/>
  <c r="EH33" i="25"/>
  <c r="CQ166" i="25"/>
  <c r="DT35" i="25"/>
  <c r="DF166" i="25"/>
  <c r="DP28" i="25"/>
  <c r="DQ28" i="25" s="1"/>
  <c r="DR28" i="25" s="1"/>
  <c r="DS28" i="25" s="1"/>
  <c r="EH138" i="25"/>
  <c r="CG138" i="25"/>
  <c r="DZ33" i="25"/>
  <c r="DP35" i="25"/>
  <c r="DQ35" i="25" s="1"/>
  <c r="DR35" i="25" s="1"/>
  <c r="DS35" i="25" s="1"/>
  <c r="DP165" i="25"/>
  <c r="DQ165" i="25" s="1"/>
  <c r="DR165" i="25" s="1"/>
  <c r="DS165" i="25" s="1"/>
  <c r="CP33" i="25"/>
  <c r="CR33" i="25" s="1"/>
  <c r="CP165" i="25"/>
  <c r="CR165" i="25" s="1"/>
  <c r="DI35" i="25"/>
  <c r="DJ35" i="25" s="1"/>
  <c r="EH30" i="25"/>
  <c r="CG30" i="25"/>
  <c r="CQ165" i="25"/>
  <c r="CQ35" i="25"/>
  <c r="DF35" i="25"/>
  <c r="CP30" i="25"/>
  <c r="CR30" i="25" s="1"/>
  <c r="CQ30" i="25"/>
  <c r="CG33" i="25"/>
  <c r="DE33" i="25"/>
  <c r="DD33" i="25" s="1"/>
  <c r="DK33" i="25" s="1"/>
  <c r="DZ165" i="25"/>
  <c r="DF165" i="25"/>
  <c r="DZ30" i="25"/>
  <c r="DI165" i="25"/>
  <c r="DJ165" i="25" s="1"/>
  <c r="DE165" i="25"/>
  <c r="DD165" i="25" s="1"/>
  <c r="DK165" i="25" s="1"/>
  <c r="DZ28" i="25"/>
  <c r="DP138" i="25"/>
  <c r="DQ138" i="25" s="1"/>
  <c r="DR138" i="25" s="1"/>
  <c r="DS138" i="25" s="1"/>
  <c r="DI33" i="25"/>
  <c r="DJ33" i="25" s="1"/>
  <c r="CP138" i="25"/>
  <c r="CR138" i="25" s="1"/>
  <c r="DP30" i="25"/>
  <c r="DQ30" i="25" s="1"/>
  <c r="DR30" i="25" s="1"/>
  <c r="DS30" i="25" s="1"/>
  <c r="CQ138" i="25"/>
  <c r="CQ33" i="25"/>
  <c r="DF33" i="25"/>
  <c r="CU30" i="25"/>
  <c r="DZ138" i="25"/>
  <c r="DF138" i="25"/>
  <c r="EH28" i="25"/>
  <c r="CG28" i="25"/>
  <c r="DF30" i="25"/>
  <c r="DI138" i="25"/>
  <c r="DJ138" i="25" s="1"/>
  <c r="DE138" i="25"/>
  <c r="DD138" i="25" s="1"/>
  <c r="DK138" i="25" s="1"/>
  <c r="DI30" i="25"/>
  <c r="DJ30" i="25" s="1"/>
  <c r="DE30" i="25"/>
  <c r="DD30" i="25" s="1"/>
  <c r="DK30" i="25" s="1"/>
  <c r="DE28" i="25"/>
  <c r="DD28" i="25" s="1"/>
  <c r="DK28" i="25" s="1"/>
  <c r="CP28" i="25"/>
  <c r="CR28" i="25" s="1"/>
  <c r="CS28" i="25" s="1"/>
  <c r="CW28" i="25" s="1"/>
  <c r="CX28" i="25" s="1"/>
  <c r="DA28" i="25" s="1"/>
  <c r="DI28" i="25"/>
  <c r="DJ28" i="25" s="1"/>
  <c r="CQ28" i="25"/>
  <c r="CS171" i="25" l="1"/>
  <c r="CW171" i="25" s="1"/>
  <c r="CX171" i="25" s="1"/>
  <c r="DA171" i="25" s="1"/>
  <c r="CS137" i="25"/>
  <c r="CW137" i="25" s="1"/>
  <c r="CX137" i="25" s="1"/>
  <c r="DA137" i="25" s="1"/>
  <c r="CV137" i="25"/>
  <c r="CY137" i="25" s="1"/>
  <c r="CZ137" i="25" s="1"/>
  <c r="CS62" i="25"/>
  <c r="CW62" i="25" s="1"/>
  <c r="CX62" i="25" s="1"/>
  <c r="DA62" i="25" s="1"/>
  <c r="CV62" i="25"/>
  <c r="CY62" i="25" s="1"/>
  <c r="CZ62" i="25" s="1"/>
  <c r="CV184" i="25"/>
  <c r="CY184" i="25" s="1"/>
  <c r="CZ184" i="25" s="1"/>
  <c r="CV169" i="25"/>
  <c r="CY169" i="25" s="1"/>
  <c r="CZ169" i="25" s="1"/>
  <c r="CS169" i="25"/>
  <c r="CW169" i="25" s="1"/>
  <c r="CX169" i="25" s="1"/>
  <c r="DA169" i="25" s="1"/>
  <c r="CS30" i="25"/>
  <c r="CW30" i="25" s="1"/>
  <c r="CX30" i="25" s="1"/>
  <c r="DA30" i="25" s="1"/>
  <c r="CV30" i="25"/>
  <c r="CY30" i="25" s="1"/>
  <c r="CZ30" i="25" s="1"/>
  <c r="CS136" i="25"/>
  <c r="CW136" i="25" s="1"/>
  <c r="CX136" i="25" s="1"/>
  <c r="DA136" i="25" s="1"/>
  <c r="CV136" i="25"/>
  <c r="CY136" i="25" s="1"/>
  <c r="CZ136" i="25" s="1"/>
  <c r="CV135" i="25"/>
  <c r="CY135" i="25" s="1"/>
  <c r="CZ135" i="25" s="1"/>
  <c r="CS170" i="25"/>
  <c r="CW170" i="25" s="1"/>
  <c r="CX170" i="25" s="1"/>
  <c r="DA170" i="25" s="1"/>
  <c r="CV170" i="25"/>
  <c r="CY170" i="25" s="1"/>
  <c r="CZ170" i="25" s="1"/>
  <c r="CV173" i="25"/>
  <c r="CY173" i="25" s="1"/>
  <c r="CZ173" i="25" s="1"/>
  <c r="CS173" i="25"/>
  <c r="CW173" i="25" s="1"/>
  <c r="CX173" i="25" s="1"/>
  <c r="DA173" i="25" s="1"/>
  <c r="CV172" i="25"/>
  <c r="CY172" i="25" s="1"/>
  <c r="CZ172" i="25" s="1"/>
  <c r="CV168" i="25"/>
  <c r="CY168" i="25" s="1"/>
  <c r="CZ168" i="25" s="1"/>
  <c r="CS168" i="25"/>
  <c r="CW168" i="25" s="1"/>
  <c r="CX168" i="25" s="1"/>
  <c r="DA168" i="25" s="1"/>
  <c r="CV167" i="25"/>
  <c r="CY167" i="25" s="1"/>
  <c r="CZ167" i="25" s="1"/>
  <c r="CS167" i="25"/>
  <c r="CW167" i="25" s="1"/>
  <c r="CX167" i="25" s="1"/>
  <c r="DA167" i="25" s="1"/>
  <c r="CV166" i="25"/>
  <c r="CY166" i="25" s="1"/>
  <c r="CZ166" i="25" s="1"/>
  <c r="CV165" i="25"/>
  <c r="CY165" i="25" s="1"/>
  <c r="CZ165" i="25" s="1"/>
  <c r="CS165" i="25"/>
  <c r="CW165" i="25" s="1"/>
  <c r="CX165" i="25" s="1"/>
  <c r="DA165" i="25" s="1"/>
  <c r="CV35" i="25"/>
  <c r="CY35" i="25" s="1"/>
  <c r="CZ35" i="25" s="1"/>
  <c r="CS35" i="25"/>
  <c r="CW35" i="25" s="1"/>
  <c r="CX35" i="25" s="1"/>
  <c r="DA35" i="25" s="1"/>
  <c r="CV33" i="25"/>
  <c r="CY33" i="25" s="1"/>
  <c r="CZ33" i="25" s="1"/>
  <c r="CS33" i="25"/>
  <c r="CW33" i="25" s="1"/>
  <c r="CX33" i="25" s="1"/>
  <c r="DA33" i="25" s="1"/>
  <c r="CV138" i="25"/>
  <c r="CY138" i="25" s="1"/>
  <c r="CZ138" i="25" s="1"/>
  <c r="CS138" i="25"/>
  <c r="CW138" i="25" s="1"/>
  <c r="CX138" i="25" s="1"/>
  <c r="DA138" i="25" s="1"/>
  <c r="CV28" i="25"/>
  <c r="CY28" i="25" s="1"/>
  <c r="CZ28" i="25" s="1"/>
  <c r="G65" i="25" l="1"/>
  <c r="G164" i="25"/>
  <c r="CE164" i="25"/>
  <c r="CF164" i="25"/>
  <c r="CH164" i="25"/>
  <c r="CI164" i="25"/>
  <c r="CJ164" i="25"/>
  <c r="CK164" i="25"/>
  <c r="CL164" i="25"/>
  <c r="CM164" i="25"/>
  <c r="CN164" i="25"/>
  <c r="CT164" i="25"/>
  <c r="CU164" i="25" s="1"/>
  <c r="DB164" i="25"/>
  <c r="DC164" i="25"/>
  <c r="DG164" i="25"/>
  <c r="DH164" i="25"/>
  <c r="DL164" i="25"/>
  <c r="DM164" i="25"/>
  <c r="DT164" i="25" s="1"/>
  <c r="DN164" i="25"/>
  <c r="DO164" i="25"/>
  <c r="DV164" i="25"/>
  <c r="DW164" i="25"/>
  <c r="DX164" i="25" s="1"/>
  <c r="DY164" i="25"/>
  <c r="EA164" i="25"/>
  <c r="EB164" i="25"/>
  <c r="EI164" i="25"/>
  <c r="EJ164" i="25"/>
  <c r="EK164" i="25"/>
  <c r="DF164" i="25" s="1"/>
  <c r="EL164" i="25"/>
  <c r="EM164" i="25"/>
  <c r="DU164" i="25" s="1"/>
  <c r="EN164" i="25"/>
  <c r="EO164" i="25"/>
  <c r="EP164" i="25"/>
  <c r="ES164" i="25"/>
  <c r="ET164" i="25"/>
  <c r="EP20" i="25"/>
  <c r="G163" i="25"/>
  <c r="G162" i="25"/>
  <c r="G161" i="25"/>
  <c r="G160" i="25"/>
  <c r="G158" i="25"/>
  <c r="G157" i="25"/>
  <c r="G156" i="25"/>
  <c r="G155" i="25"/>
  <c r="G154" i="25"/>
  <c r="G153" i="25"/>
  <c r="G152" i="25"/>
  <c r="G146" i="25"/>
  <c r="G150" i="25"/>
  <c r="G73" i="25"/>
  <c r="G147" i="25"/>
  <c r="G151" i="25"/>
  <c r="G41" i="25"/>
  <c r="G145" i="25"/>
  <c r="G144" i="25"/>
  <c r="G143" i="25"/>
  <c r="G134" i="25"/>
  <c r="G133" i="25"/>
  <c r="G132" i="25"/>
  <c r="G131" i="25"/>
  <c r="G129" i="25"/>
  <c r="G128" i="25"/>
  <c r="G126" i="25"/>
  <c r="G125" i="25"/>
  <c r="G123" i="25"/>
  <c r="G122" i="25"/>
  <c r="G121" i="25"/>
  <c r="G117" i="25"/>
  <c r="G115" i="25"/>
  <c r="G113" i="25"/>
  <c r="G112" i="25"/>
  <c r="G111" i="25"/>
  <c r="G110" i="25"/>
  <c r="G109" i="25"/>
  <c r="G108" i="25"/>
  <c r="G107" i="25"/>
  <c r="G106" i="25"/>
  <c r="G104" i="25"/>
  <c r="G102" i="25"/>
  <c r="G101" i="25"/>
  <c r="G99" i="25"/>
  <c r="G98" i="25"/>
  <c r="G97" i="25"/>
  <c r="G96" i="25"/>
  <c r="G95" i="25"/>
  <c r="G94" i="25"/>
  <c r="G92" i="25"/>
  <c r="G91" i="25"/>
  <c r="G149" i="25"/>
  <c r="G87" i="25"/>
  <c r="G86" i="25"/>
  <c r="G83" i="25"/>
  <c r="G82" i="25"/>
  <c r="G79" i="25"/>
  <c r="G78" i="25"/>
  <c r="G77" i="25"/>
  <c r="G75" i="25"/>
  <c r="G74" i="25"/>
  <c r="G142" i="25"/>
  <c r="G70" i="25"/>
  <c r="G69" i="25"/>
  <c r="G68" i="25"/>
  <c r="G66" i="25"/>
  <c r="G64" i="25"/>
  <c r="G63" i="25"/>
  <c r="G218" i="25"/>
  <c r="G55" i="25"/>
  <c r="G54" i="25"/>
  <c r="G51" i="25"/>
  <c r="G50" i="25"/>
  <c r="G49" i="25"/>
  <c r="G47" i="25"/>
  <c r="G46" i="25"/>
  <c r="G45" i="25"/>
  <c r="G44" i="25"/>
  <c r="G88" i="25"/>
  <c r="G40" i="25"/>
  <c r="G27" i="25"/>
  <c r="G219" i="25"/>
  <c r="G38" i="25"/>
  <c r="G37" i="25"/>
  <c r="G32" i="25"/>
  <c r="G31" i="25"/>
  <c r="G25" i="25"/>
  <c r="G23" i="25"/>
  <c r="G21" i="25"/>
  <c r="G20" i="25"/>
  <c r="G18" i="25"/>
  <c r="G17" i="25"/>
  <c r="G16" i="25"/>
  <c r="G15" i="25"/>
  <c r="G13" i="25"/>
  <c r="G9" i="25"/>
  <c r="G8" i="25"/>
  <c r="G148" i="25"/>
  <c r="CE148" i="25"/>
  <c r="CE143" i="25"/>
  <c r="CE144" i="25"/>
  <c r="CE145" i="25"/>
  <c r="CE41" i="25"/>
  <c r="CE151" i="25"/>
  <c r="CE147" i="25"/>
  <c r="CE73" i="25"/>
  <c r="CE150" i="25"/>
  <c r="CE146" i="25"/>
  <c r="CE152" i="25"/>
  <c r="CE153" i="25"/>
  <c r="CE154" i="25"/>
  <c r="CE155" i="25"/>
  <c r="CE156" i="25"/>
  <c r="CE157" i="25"/>
  <c r="CE158" i="25"/>
  <c r="CE160" i="25"/>
  <c r="CE161" i="25"/>
  <c r="CE162" i="25"/>
  <c r="CE163" i="25"/>
  <c r="CF148" i="25"/>
  <c r="CF143" i="25"/>
  <c r="CF144" i="25"/>
  <c r="CF145" i="25"/>
  <c r="CF41" i="25"/>
  <c r="CF151" i="25"/>
  <c r="CF147" i="25"/>
  <c r="CF73" i="25"/>
  <c r="CF150" i="25"/>
  <c r="CF146" i="25"/>
  <c r="CF152" i="25"/>
  <c r="CF153" i="25"/>
  <c r="CF154" i="25"/>
  <c r="CF155" i="25"/>
  <c r="CF156" i="25"/>
  <c r="CF157" i="25"/>
  <c r="CF158" i="25"/>
  <c r="CF160" i="25"/>
  <c r="CF161" i="25"/>
  <c r="CF162" i="25"/>
  <c r="CF163" i="25"/>
  <c r="CH148" i="25"/>
  <c r="CH143" i="25"/>
  <c r="CH144" i="25"/>
  <c r="CH145" i="25"/>
  <c r="CH41" i="25"/>
  <c r="CH151" i="25"/>
  <c r="CH147" i="25"/>
  <c r="CH73" i="25"/>
  <c r="CH150" i="25"/>
  <c r="CH146" i="25"/>
  <c r="CH152" i="25"/>
  <c r="CH153" i="25"/>
  <c r="CH154" i="25"/>
  <c r="CH155" i="25"/>
  <c r="CH156" i="25"/>
  <c r="CH157" i="25"/>
  <c r="CH158" i="25"/>
  <c r="CH160" i="25"/>
  <c r="CH161" i="25"/>
  <c r="CH162" i="25"/>
  <c r="CH163" i="25"/>
  <c r="CI148" i="25"/>
  <c r="CI143" i="25"/>
  <c r="CI144" i="25"/>
  <c r="CI145" i="25"/>
  <c r="CI41" i="25"/>
  <c r="CI151" i="25"/>
  <c r="CI147" i="25"/>
  <c r="CI73" i="25"/>
  <c r="CI150" i="25"/>
  <c r="CI146" i="25"/>
  <c r="CI152" i="25"/>
  <c r="CI153" i="25"/>
  <c r="CI154" i="25"/>
  <c r="CI155" i="25"/>
  <c r="CI156" i="25"/>
  <c r="CI157" i="25"/>
  <c r="CI158" i="25"/>
  <c r="CI160" i="25"/>
  <c r="CI161" i="25"/>
  <c r="CI162" i="25"/>
  <c r="CI163" i="25"/>
  <c r="CJ148" i="25"/>
  <c r="CJ143" i="25"/>
  <c r="CJ144" i="25"/>
  <c r="CJ145" i="25"/>
  <c r="CJ41" i="25"/>
  <c r="CJ151" i="25"/>
  <c r="CJ147" i="25"/>
  <c r="CJ73" i="25"/>
  <c r="CJ150" i="25"/>
  <c r="CJ146" i="25"/>
  <c r="CJ152" i="25"/>
  <c r="CJ153" i="25"/>
  <c r="CJ154" i="25"/>
  <c r="CJ155" i="25"/>
  <c r="CJ156" i="25"/>
  <c r="CJ157" i="25"/>
  <c r="CJ158" i="25"/>
  <c r="CJ160" i="25"/>
  <c r="CJ161" i="25"/>
  <c r="CJ162" i="25"/>
  <c r="CJ163" i="25"/>
  <c r="CK148" i="25"/>
  <c r="CK143" i="25"/>
  <c r="CK144" i="25"/>
  <c r="CK145" i="25"/>
  <c r="CK41" i="25"/>
  <c r="CK151" i="25"/>
  <c r="CK147" i="25"/>
  <c r="CK73" i="25"/>
  <c r="CK150" i="25"/>
  <c r="CK146" i="25"/>
  <c r="CK152" i="25"/>
  <c r="CK153" i="25"/>
  <c r="CK154" i="25"/>
  <c r="CK155" i="25"/>
  <c r="CK156" i="25"/>
  <c r="CK157" i="25"/>
  <c r="CK158" i="25"/>
  <c r="CK160" i="25"/>
  <c r="CK161" i="25"/>
  <c r="CK162" i="25"/>
  <c r="CK163" i="25"/>
  <c r="CL148" i="25"/>
  <c r="CL143" i="25"/>
  <c r="CL144" i="25"/>
  <c r="CL145" i="25"/>
  <c r="CL41" i="25"/>
  <c r="CL151" i="25"/>
  <c r="CL147" i="25"/>
  <c r="CL73" i="25"/>
  <c r="CL150" i="25"/>
  <c r="CL146" i="25"/>
  <c r="CL152" i="25"/>
  <c r="CL153" i="25"/>
  <c r="CL154" i="25"/>
  <c r="CL155" i="25"/>
  <c r="CL156" i="25"/>
  <c r="CL157" i="25"/>
  <c r="CL158" i="25"/>
  <c r="CL160" i="25"/>
  <c r="CL161" i="25"/>
  <c r="CL162" i="25"/>
  <c r="CL163" i="25"/>
  <c r="CM148" i="25"/>
  <c r="CM143" i="25"/>
  <c r="CM144" i="25"/>
  <c r="CM145" i="25"/>
  <c r="CM41" i="25"/>
  <c r="CM151" i="25"/>
  <c r="CM147" i="25"/>
  <c r="CM73" i="25"/>
  <c r="CM150" i="25"/>
  <c r="CM146" i="25"/>
  <c r="CM152" i="25"/>
  <c r="CM153" i="25"/>
  <c r="CM154" i="25"/>
  <c r="CM155" i="25"/>
  <c r="CM156" i="25"/>
  <c r="CM157" i="25"/>
  <c r="CM158" i="25"/>
  <c r="CM160" i="25"/>
  <c r="CM161" i="25"/>
  <c r="CM162" i="25"/>
  <c r="CM163" i="25"/>
  <c r="CN148" i="25"/>
  <c r="CN143" i="25"/>
  <c r="CN144" i="25"/>
  <c r="CN145" i="25"/>
  <c r="CN41" i="25"/>
  <c r="CN151" i="25"/>
  <c r="CN147" i="25"/>
  <c r="CN73" i="25"/>
  <c r="CN150" i="25"/>
  <c r="CN146" i="25"/>
  <c r="CN152" i="25"/>
  <c r="CN153" i="25"/>
  <c r="CN154" i="25"/>
  <c r="CN155" i="25"/>
  <c r="CN156" i="25"/>
  <c r="CN157" i="25"/>
  <c r="CN158" i="25"/>
  <c r="CN160" i="25"/>
  <c r="CN161" i="25"/>
  <c r="CN162" i="25"/>
  <c r="CN163" i="25"/>
  <c r="CT148" i="25"/>
  <c r="CU148" i="25" s="1"/>
  <c r="CT143" i="25"/>
  <c r="CU143" i="25" s="1"/>
  <c r="CT144" i="25"/>
  <c r="CU144" i="25" s="1"/>
  <c r="CT145" i="25"/>
  <c r="CU145" i="25" s="1"/>
  <c r="CT41" i="25"/>
  <c r="CU41" i="25" s="1"/>
  <c r="CT151" i="25"/>
  <c r="CU151" i="25" s="1"/>
  <c r="CT147" i="25"/>
  <c r="CT73" i="25"/>
  <c r="CU73" i="25" s="1"/>
  <c r="CT150" i="25"/>
  <c r="CU150" i="25" s="1"/>
  <c r="CT146" i="25"/>
  <c r="CU146" i="25" s="1"/>
  <c r="CT152" i="25"/>
  <c r="CU152" i="25" s="1"/>
  <c r="CT153" i="25"/>
  <c r="CU153" i="25" s="1"/>
  <c r="CT154" i="25"/>
  <c r="CU154" i="25" s="1"/>
  <c r="CT155" i="25"/>
  <c r="CU155" i="25" s="1"/>
  <c r="CT156" i="25"/>
  <c r="CU156" i="25" s="1"/>
  <c r="CT157" i="25"/>
  <c r="CU157" i="25" s="1"/>
  <c r="CT158" i="25"/>
  <c r="CU158" i="25" s="1"/>
  <c r="CT160" i="25"/>
  <c r="CU160" i="25" s="1"/>
  <c r="CT161" i="25"/>
  <c r="CU161" i="25" s="1"/>
  <c r="CT162" i="25"/>
  <c r="CU162" i="25" s="1"/>
  <c r="CT163" i="25"/>
  <c r="DB148" i="25"/>
  <c r="DB143" i="25"/>
  <c r="DB144" i="25"/>
  <c r="DB145" i="25"/>
  <c r="DB41" i="25"/>
  <c r="DB151" i="25"/>
  <c r="DB147" i="25"/>
  <c r="DB73" i="25"/>
  <c r="DB150" i="25"/>
  <c r="DB146" i="25"/>
  <c r="DB152" i="25"/>
  <c r="DB153" i="25"/>
  <c r="DB154" i="25"/>
  <c r="DB155" i="25"/>
  <c r="DB156" i="25"/>
  <c r="DB157" i="25"/>
  <c r="DB158" i="25"/>
  <c r="DB160" i="25"/>
  <c r="DB161" i="25"/>
  <c r="DB162" i="25"/>
  <c r="DB163" i="25"/>
  <c r="DC148" i="25"/>
  <c r="DC143" i="25"/>
  <c r="DC144" i="25"/>
  <c r="DC145" i="25"/>
  <c r="DC41" i="25"/>
  <c r="DC151" i="25"/>
  <c r="DC147" i="25"/>
  <c r="DC73" i="25"/>
  <c r="DC150" i="25"/>
  <c r="DC146" i="25"/>
  <c r="DC152" i="25"/>
  <c r="DC153" i="25"/>
  <c r="DC154" i="25"/>
  <c r="DC155" i="25"/>
  <c r="DC156" i="25"/>
  <c r="DC157" i="25"/>
  <c r="DC158" i="25"/>
  <c r="DC160" i="25"/>
  <c r="DC161" i="25"/>
  <c r="DC162" i="25"/>
  <c r="DC163" i="25"/>
  <c r="DG148" i="25"/>
  <c r="DG143" i="25"/>
  <c r="DG144" i="25"/>
  <c r="DG145" i="25"/>
  <c r="DG41" i="25"/>
  <c r="DG151" i="25"/>
  <c r="DG147" i="25"/>
  <c r="DG73" i="25"/>
  <c r="DG150" i="25"/>
  <c r="DG146" i="25"/>
  <c r="DG152" i="25"/>
  <c r="DG153" i="25"/>
  <c r="DG154" i="25"/>
  <c r="DG155" i="25"/>
  <c r="DG156" i="25"/>
  <c r="DG157" i="25"/>
  <c r="DG158" i="25"/>
  <c r="DG160" i="25"/>
  <c r="DG161" i="25"/>
  <c r="DG162" i="25"/>
  <c r="DG163" i="25"/>
  <c r="DH148" i="25"/>
  <c r="DH143" i="25"/>
  <c r="DH144" i="25"/>
  <c r="DH145" i="25"/>
  <c r="DH41" i="25"/>
  <c r="DH151" i="25"/>
  <c r="DH147" i="25"/>
  <c r="DH73" i="25"/>
  <c r="DH150" i="25"/>
  <c r="DH146" i="25"/>
  <c r="DH152" i="25"/>
  <c r="DH153" i="25"/>
  <c r="DH154" i="25"/>
  <c r="DH155" i="25"/>
  <c r="DH156" i="25"/>
  <c r="DH157" i="25"/>
  <c r="DH158" i="25"/>
  <c r="DH160" i="25"/>
  <c r="DH161" i="25"/>
  <c r="DH162" i="25"/>
  <c r="DH163" i="25"/>
  <c r="DL148" i="25"/>
  <c r="DL143" i="25"/>
  <c r="DL144" i="25"/>
  <c r="DL145" i="25"/>
  <c r="DL41" i="25"/>
  <c r="DL151" i="25"/>
  <c r="DL147" i="25"/>
  <c r="DL73" i="25"/>
  <c r="DL150" i="25"/>
  <c r="DL146" i="25"/>
  <c r="DL152" i="25"/>
  <c r="DL153" i="25"/>
  <c r="DL154" i="25"/>
  <c r="DL155" i="25"/>
  <c r="DL156" i="25"/>
  <c r="DL157" i="25"/>
  <c r="DL158" i="25"/>
  <c r="DL160" i="25"/>
  <c r="DL161" i="25"/>
  <c r="DL162" i="25"/>
  <c r="DL163" i="25"/>
  <c r="DM148" i="25"/>
  <c r="DT148" i="25" s="1"/>
  <c r="DM143" i="25"/>
  <c r="DT143" i="25" s="1"/>
  <c r="DM144" i="25"/>
  <c r="DT144" i="25" s="1"/>
  <c r="DM145" i="25"/>
  <c r="DT145" i="25" s="1"/>
  <c r="DM41" i="25"/>
  <c r="DT41" i="25" s="1"/>
  <c r="DM151" i="25"/>
  <c r="DT151" i="25" s="1"/>
  <c r="DM147" i="25"/>
  <c r="DT147" i="25" s="1"/>
  <c r="DM73" i="25"/>
  <c r="DT73" i="25" s="1"/>
  <c r="DM150" i="25"/>
  <c r="DT150" i="25" s="1"/>
  <c r="DM146" i="25"/>
  <c r="DT146" i="25" s="1"/>
  <c r="DM152" i="25"/>
  <c r="DT152" i="25" s="1"/>
  <c r="DM153" i="25"/>
  <c r="DT153" i="25" s="1"/>
  <c r="DM154" i="25"/>
  <c r="DT154" i="25" s="1"/>
  <c r="DM155" i="25"/>
  <c r="DT155" i="25" s="1"/>
  <c r="DM156" i="25"/>
  <c r="DT156" i="25" s="1"/>
  <c r="DM157" i="25"/>
  <c r="DT157" i="25" s="1"/>
  <c r="DM158" i="25"/>
  <c r="DT158" i="25" s="1"/>
  <c r="DM160" i="25"/>
  <c r="DT160" i="25" s="1"/>
  <c r="DM161" i="25"/>
  <c r="DT161" i="25" s="1"/>
  <c r="DM162" i="25"/>
  <c r="DT162" i="25" s="1"/>
  <c r="DM163" i="25"/>
  <c r="DT163" i="25" s="1"/>
  <c r="DN148" i="25"/>
  <c r="DN143" i="25"/>
  <c r="DN144" i="25"/>
  <c r="DN145" i="25"/>
  <c r="DN41" i="25"/>
  <c r="DN151" i="25"/>
  <c r="DN147" i="25"/>
  <c r="DN73" i="25"/>
  <c r="DN150" i="25"/>
  <c r="DN146" i="25"/>
  <c r="DN152" i="25"/>
  <c r="DN153" i="25"/>
  <c r="DN154" i="25"/>
  <c r="DN155" i="25"/>
  <c r="DN156" i="25"/>
  <c r="DN157" i="25"/>
  <c r="DN158" i="25"/>
  <c r="DN160" i="25"/>
  <c r="DN161" i="25"/>
  <c r="DN162" i="25"/>
  <c r="DN163" i="25"/>
  <c r="DO148" i="25"/>
  <c r="DO143" i="25"/>
  <c r="DO144" i="25"/>
  <c r="DO145" i="25"/>
  <c r="DO41" i="25"/>
  <c r="DO151" i="25"/>
  <c r="DO147" i="25"/>
  <c r="DO73" i="25"/>
  <c r="DO150" i="25"/>
  <c r="DO146" i="25"/>
  <c r="DO152" i="25"/>
  <c r="DO153" i="25"/>
  <c r="DO154" i="25"/>
  <c r="DO155" i="25"/>
  <c r="DO156" i="25"/>
  <c r="DO157" i="25"/>
  <c r="DO158" i="25"/>
  <c r="DO160" i="25"/>
  <c r="DO161" i="25"/>
  <c r="DO162" i="25"/>
  <c r="DO163" i="25"/>
  <c r="DV148" i="25"/>
  <c r="DV143" i="25"/>
  <c r="DV144" i="25"/>
  <c r="DV145" i="25"/>
  <c r="DV41" i="25"/>
  <c r="DV151" i="25"/>
  <c r="DV147" i="25"/>
  <c r="DV73" i="25"/>
  <c r="DV150" i="25"/>
  <c r="DV146" i="25"/>
  <c r="DV152" i="25"/>
  <c r="DV153" i="25"/>
  <c r="DV154" i="25"/>
  <c r="DV155" i="25"/>
  <c r="DV156" i="25"/>
  <c r="DV157" i="25"/>
  <c r="DV158" i="25"/>
  <c r="DV160" i="25"/>
  <c r="DV161" i="25"/>
  <c r="DV162" i="25"/>
  <c r="DV163" i="25"/>
  <c r="DW148" i="25"/>
  <c r="DZ148" i="25" s="1"/>
  <c r="DW143" i="25"/>
  <c r="DX143" i="25" s="1"/>
  <c r="DW144" i="25"/>
  <c r="DZ144" i="25" s="1"/>
  <c r="DW145" i="25"/>
  <c r="DZ145" i="25" s="1"/>
  <c r="DW41" i="25"/>
  <c r="DZ41" i="25" s="1"/>
  <c r="DW151" i="25"/>
  <c r="DZ151" i="25" s="1"/>
  <c r="DW147" i="25"/>
  <c r="DX147" i="25" s="1"/>
  <c r="DW73" i="25"/>
  <c r="DZ73" i="25" s="1"/>
  <c r="DW150" i="25"/>
  <c r="DX150" i="25" s="1"/>
  <c r="DW146" i="25"/>
  <c r="DZ146" i="25" s="1"/>
  <c r="DW152" i="25"/>
  <c r="DX152" i="25" s="1"/>
  <c r="DW153" i="25"/>
  <c r="DZ153" i="25" s="1"/>
  <c r="DW154" i="25"/>
  <c r="DZ154" i="25" s="1"/>
  <c r="DW155" i="25"/>
  <c r="DX155" i="25" s="1"/>
  <c r="DW156" i="25"/>
  <c r="DZ156" i="25" s="1"/>
  <c r="DW157" i="25"/>
  <c r="DZ157" i="25" s="1"/>
  <c r="DW158" i="25"/>
  <c r="DZ158" i="25" s="1"/>
  <c r="DW160" i="25"/>
  <c r="DZ160" i="25" s="1"/>
  <c r="DW161" i="25"/>
  <c r="DZ161" i="25" s="1"/>
  <c r="DW162" i="25"/>
  <c r="DX162" i="25" s="1"/>
  <c r="DW163" i="25"/>
  <c r="DX163" i="25" s="1"/>
  <c r="DY148" i="25"/>
  <c r="DY143" i="25"/>
  <c r="DY144" i="25"/>
  <c r="DY145" i="25"/>
  <c r="DY41" i="25"/>
  <c r="DY151" i="25"/>
  <c r="DY147" i="25"/>
  <c r="DY73" i="25"/>
  <c r="DY150" i="25"/>
  <c r="DY146" i="25"/>
  <c r="DY152" i="25"/>
  <c r="DY153" i="25"/>
  <c r="DY154" i="25"/>
  <c r="DY155" i="25"/>
  <c r="DY156" i="25"/>
  <c r="DY157" i="25"/>
  <c r="DY158" i="25"/>
  <c r="DY160" i="25"/>
  <c r="DY161" i="25"/>
  <c r="DY162" i="25"/>
  <c r="DY163" i="25"/>
  <c r="EA148" i="25"/>
  <c r="EA143" i="25"/>
  <c r="EA144" i="25"/>
  <c r="EA145" i="25"/>
  <c r="EA41" i="25"/>
  <c r="EA151" i="25"/>
  <c r="EA147" i="25"/>
  <c r="EA73" i="25"/>
  <c r="EA150" i="25"/>
  <c r="EA146" i="25"/>
  <c r="EA152" i="25"/>
  <c r="EA153" i="25"/>
  <c r="EA154" i="25"/>
  <c r="EA155" i="25"/>
  <c r="EA156" i="25"/>
  <c r="EA157" i="25"/>
  <c r="EA158" i="25"/>
  <c r="EA160" i="25"/>
  <c r="EA161" i="25"/>
  <c r="EA162" i="25"/>
  <c r="EA163" i="25"/>
  <c r="EB148" i="25"/>
  <c r="EB143" i="25"/>
  <c r="EB144" i="25"/>
  <c r="EB145" i="25"/>
  <c r="EB41" i="25"/>
  <c r="EB151" i="25"/>
  <c r="EB147" i="25"/>
  <c r="EB73" i="25"/>
  <c r="EB150" i="25"/>
  <c r="EB146" i="25"/>
  <c r="EB152" i="25"/>
  <c r="EB153" i="25"/>
  <c r="EB154" i="25"/>
  <c r="EB155" i="25"/>
  <c r="EB156" i="25"/>
  <c r="EB157" i="25"/>
  <c r="EB158" i="25"/>
  <c r="EB160" i="25"/>
  <c r="EB161" i="25"/>
  <c r="EB162" i="25"/>
  <c r="EB163" i="25"/>
  <c r="EI148" i="25"/>
  <c r="EI143" i="25"/>
  <c r="EI144" i="25"/>
  <c r="EI145" i="25"/>
  <c r="EI41" i="25"/>
  <c r="EI151" i="25"/>
  <c r="EI147" i="25"/>
  <c r="EI73" i="25"/>
  <c r="EI150" i="25"/>
  <c r="EI146" i="25"/>
  <c r="EI152" i="25"/>
  <c r="EI153" i="25"/>
  <c r="EI154" i="25"/>
  <c r="EI155" i="25"/>
  <c r="EI156" i="25"/>
  <c r="EI157" i="25"/>
  <c r="EI158" i="25"/>
  <c r="EI160" i="25"/>
  <c r="EI161" i="25"/>
  <c r="EI162" i="25"/>
  <c r="EI163" i="25"/>
  <c r="EJ148" i="25"/>
  <c r="EJ143" i="25"/>
  <c r="EJ144" i="25"/>
  <c r="EJ145" i="25"/>
  <c r="EJ41" i="25"/>
  <c r="EJ151" i="25"/>
  <c r="EJ147" i="25"/>
  <c r="EJ73" i="25"/>
  <c r="EJ150" i="25"/>
  <c r="EJ146" i="25"/>
  <c r="EJ152" i="25"/>
  <c r="EJ153" i="25"/>
  <c r="EJ154" i="25"/>
  <c r="EJ155" i="25"/>
  <c r="EJ156" i="25"/>
  <c r="EJ157" i="25"/>
  <c r="EJ158" i="25"/>
  <c r="EJ160" i="25"/>
  <c r="EJ161" i="25"/>
  <c r="EJ162" i="25"/>
  <c r="EJ163" i="25"/>
  <c r="EK148" i="25"/>
  <c r="DI148" i="25" s="1"/>
  <c r="DJ148" i="25" s="1"/>
  <c r="EK143" i="25"/>
  <c r="DI143" i="25" s="1"/>
  <c r="DJ143" i="25" s="1"/>
  <c r="EK144" i="25"/>
  <c r="DI144" i="25" s="1"/>
  <c r="DJ144" i="25" s="1"/>
  <c r="EK145" i="25"/>
  <c r="DF145" i="25" s="1"/>
  <c r="EK41" i="25"/>
  <c r="DF41" i="25" s="1"/>
  <c r="EK151" i="25"/>
  <c r="EK147" i="25"/>
  <c r="DI147" i="25" s="1"/>
  <c r="DJ147" i="25" s="1"/>
  <c r="EK73" i="25"/>
  <c r="DI73" i="25" s="1"/>
  <c r="DJ73" i="25" s="1"/>
  <c r="EK150" i="25"/>
  <c r="DI150" i="25" s="1"/>
  <c r="DJ150" i="25" s="1"/>
  <c r="EK146" i="25"/>
  <c r="DI146" i="25" s="1"/>
  <c r="DJ146" i="25" s="1"/>
  <c r="EK152" i="25"/>
  <c r="DI152" i="25" s="1"/>
  <c r="DJ152" i="25" s="1"/>
  <c r="EK153" i="25"/>
  <c r="DF153" i="25" s="1"/>
  <c r="EK154" i="25"/>
  <c r="DF154" i="25" s="1"/>
  <c r="EK155" i="25"/>
  <c r="DI155" i="25" s="1"/>
  <c r="DJ155" i="25" s="1"/>
  <c r="EK156" i="25"/>
  <c r="DI156" i="25" s="1"/>
  <c r="DJ156" i="25" s="1"/>
  <c r="EK157" i="25"/>
  <c r="DI157" i="25" s="1"/>
  <c r="DJ157" i="25" s="1"/>
  <c r="EK158" i="25"/>
  <c r="DI158" i="25" s="1"/>
  <c r="DJ158" i="25" s="1"/>
  <c r="EK160" i="25"/>
  <c r="DF160" i="25" s="1"/>
  <c r="EK161" i="25"/>
  <c r="DF161" i="25" s="1"/>
  <c r="EK162" i="25"/>
  <c r="EK163" i="25"/>
  <c r="DI163" i="25" s="1"/>
  <c r="DJ163" i="25" s="1"/>
  <c r="EL148" i="25"/>
  <c r="EL143" i="25"/>
  <c r="EL144" i="25"/>
  <c r="EL145" i="25"/>
  <c r="EL41" i="25"/>
  <c r="EL151" i="25"/>
  <c r="EL147" i="25"/>
  <c r="EL73" i="25"/>
  <c r="EL150" i="25"/>
  <c r="EL146" i="25"/>
  <c r="EL152" i="25"/>
  <c r="EL153" i="25"/>
  <c r="EL154" i="25"/>
  <c r="EL155" i="25"/>
  <c r="EL156" i="25"/>
  <c r="EL157" i="25"/>
  <c r="EL158" i="25"/>
  <c r="EL160" i="25"/>
  <c r="EL161" i="25"/>
  <c r="EL162" i="25"/>
  <c r="EL163" i="25"/>
  <c r="EM148" i="25"/>
  <c r="DU148" i="25" s="1"/>
  <c r="EM143" i="25"/>
  <c r="DU143" i="25" s="1"/>
  <c r="EM144" i="25"/>
  <c r="DU144" i="25" s="1"/>
  <c r="EM145" i="25"/>
  <c r="DU145" i="25" s="1"/>
  <c r="EM41" i="25"/>
  <c r="DU41" i="25" s="1"/>
  <c r="EM151" i="25"/>
  <c r="DU151" i="25" s="1"/>
  <c r="EM147" i="25"/>
  <c r="DU147" i="25" s="1"/>
  <c r="EM73" i="25"/>
  <c r="DU73" i="25" s="1"/>
  <c r="EM150" i="25"/>
  <c r="DU150" i="25" s="1"/>
  <c r="EM146" i="25"/>
  <c r="DU146" i="25" s="1"/>
  <c r="EM152" i="25"/>
  <c r="DU152" i="25" s="1"/>
  <c r="EM153" i="25"/>
  <c r="DU153" i="25" s="1"/>
  <c r="EM154" i="25"/>
  <c r="DU154" i="25" s="1"/>
  <c r="EM155" i="25"/>
  <c r="DU155" i="25" s="1"/>
  <c r="EM156" i="25"/>
  <c r="DU156" i="25" s="1"/>
  <c r="EM157" i="25"/>
  <c r="DU157" i="25" s="1"/>
  <c r="EM158" i="25"/>
  <c r="DU158" i="25" s="1"/>
  <c r="EM160" i="25"/>
  <c r="DU160" i="25" s="1"/>
  <c r="EM161" i="25"/>
  <c r="DU161" i="25" s="1"/>
  <c r="EM162" i="25"/>
  <c r="DU162" i="25" s="1"/>
  <c r="EM163" i="25"/>
  <c r="DU163" i="25" s="1"/>
  <c r="EN148" i="25"/>
  <c r="EN143" i="25"/>
  <c r="EN144" i="25"/>
  <c r="EN145" i="25"/>
  <c r="EN41" i="25"/>
  <c r="EN151" i="25"/>
  <c r="EN147" i="25"/>
  <c r="EN73" i="25"/>
  <c r="EN150" i="25"/>
  <c r="EN146" i="25"/>
  <c r="EN152" i="25"/>
  <c r="EN153" i="25"/>
  <c r="EN154" i="25"/>
  <c r="EN155" i="25"/>
  <c r="EN156" i="25"/>
  <c r="EN157" i="25"/>
  <c r="EN158" i="25"/>
  <c r="EN160" i="25"/>
  <c r="EN161" i="25"/>
  <c r="EN162" i="25"/>
  <c r="EN163" i="25"/>
  <c r="EO148" i="25"/>
  <c r="EO143" i="25"/>
  <c r="EO144" i="25"/>
  <c r="EO145" i="25"/>
  <c r="EO41" i="25"/>
  <c r="EO151" i="25"/>
  <c r="EO147" i="25"/>
  <c r="EO73" i="25"/>
  <c r="EO150" i="25"/>
  <c r="EO146" i="25"/>
  <c r="EO152" i="25"/>
  <c r="EO153" i="25"/>
  <c r="EO154" i="25"/>
  <c r="EO155" i="25"/>
  <c r="EO156" i="25"/>
  <c r="EO157" i="25"/>
  <c r="EO158" i="25"/>
  <c r="EO160" i="25"/>
  <c r="EO161" i="25"/>
  <c r="EO162" i="25"/>
  <c r="EO163" i="25"/>
  <c r="EP148" i="25"/>
  <c r="EP143" i="25"/>
  <c r="EP144" i="25"/>
  <c r="EP145" i="25"/>
  <c r="EP41" i="25"/>
  <c r="EP151" i="25"/>
  <c r="EP147" i="25"/>
  <c r="EP73" i="25"/>
  <c r="EP150" i="25"/>
  <c r="EP146" i="25"/>
  <c r="EP152" i="25"/>
  <c r="EP153" i="25"/>
  <c r="EP154" i="25"/>
  <c r="EP155" i="25"/>
  <c r="EP156" i="25"/>
  <c r="EP157" i="25"/>
  <c r="EP158" i="25"/>
  <c r="EP160" i="25"/>
  <c r="EP161" i="25"/>
  <c r="EP162" i="25"/>
  <c r="EP163" i="25"/>
  <c r="ES148" i="25"/>
  <c r="ES143" i="25"/>
  <c r="ES144" i="25"/>
  <c r="ES145" i="25"/>
  <c r="ES41" i="25"/>
  <c r="ES151" i="25"/>
  <c r="ES147" i="25"/>
  <c r="ES73" i="25"/>
  <c r="ES150" i="25"/>
  <c r="ES146" i="25"/>
  <c r="ES152" i="25"/>
  <c r="ES153" i="25"/>
  <c r="ES154" i="25"/>
  <c r="ES155" i="25"/>
  <c r="ES156" i="25"/>
  <c r="ES157" i="25"/>
  <c r="ES158" i="25"/>
  <c r="ES160" i="25"/>
  <c r="ES161" i="25"/>
  <c r="ES162" i="25"/>
  <c r="ES163" i="25"/>
  <c r="ET148" i="25"/>
  <c r="ET143" i="25"/>
  <c r="ET144" i="25"/>
  <c r="ET145" i="25"/>
  <c r="ET41" i="25"/>
  <c r="ET151" i="25"/>
  <c r="ET147" i="25"/>
  <c r="ET73" i="25"/>
  <c r="ET150" i="25"/>
  <c r="ET146" i="25"/>
  <c r="ET152" i="25"/>
  <c r="ET153" i="25"/>
  <c r="ET154" i="25"/>
  <c r="ET155" i="25"/>
  <c r="ET156" i="25"/>
  <c r="ET157" i="25"/>
  <c r="ET158" i="25"/>
  <c r="ET160" i="25"/>
  <c r="ET161" i="25"/>
  <c r="ET162" i="25"/>
  <c r="ET163" i="25"/>
  <c r="G141" i="25"/>
  <c r="CE141" i="25"/>
  <c r="CF141" i="25"/>
  <c r="CH141" i="25"/>
  <c r="CI141" i="25"/>
  <c r="CJ141" i="25"/>
  <c r="CK141" i="25"/>
  <c r="CL141" i="25"/>
  <c r="CM141" i="25"/>
  <c r="CN141" i="25"/>
  <c r="CT141" i="25"/>
  <c r="CU141" i="25" s="1"/>
  <c r="DB141" i="25"/>
  <c r="DC141" i="25"/>
  <c r="DG141" i="25"/>
  <c r="DH141" i="25"/>
  <c r="DL141" i="25"/>
  <c r="DM141" i="25"/>
  <c r="DT141" i="25" s="1"/>
  <c r="DN141" i="25"/>
  <c r="DO141" i="25"/>
  <c r="DV141" i="25"/>
  <c r="DW141" i="25"/>
  <c r="DX141" i="25" s="1"/>
  <c r="DY141" i="25"/>
  <c r="EA141" i="25"/>
  <c r="EB141" i="25"/>
  <c r="EI141" i="25"/>
  <c r="EJ141" i="25"/>
  <c r="EK141" i="25"/>
  <c r="DF141" i="25" s="1"/>
  <c r="EL141" i="25"/>
  <c r="EM141" i="25"/>
  <c r="DU141" i="25" s="1"/>
  <c r="EN141" i="25"/>
  <c r="EO141" i="25"/>
  <c r="EP141" i="25"/>
  <c r="ES141" i="25"/>
  <c r="ET141" i="25"/>
  <c r="G140" i="25"/>
  <c r="CE140" i="25"/>
  <c r="CF140" i="25"/>
  <c r="CH140" i="25"/>
  <c r="CI140" i="25"/>
  <c r="CJ140" i="25"/>
  <c r="CK140" i="25"/>
  <c r="CL140" i="25"/>
  <c r="CM140" i="25"/>
  <c r="CN140" i="25"/>
  <c r="CT140" i="25"/>
  <c r="CU140" i="25" s="1"/>
  <c r="DB140" i="25"/>
  <c r="DC140" i="25"/>
  <c r="DG140" i="25"/>
  <c r="DH140" i="25"/>
  <c r="DL140" i="25"/>
  <c r="DM140" i="25"/>
  <c r="DT140" i="25" s="1"/>
  <c r="DN140" i="25"/>
  <c r="DO140" i="25"/>
  <c r="DV140" i="25"/>
  <c r="DW140" i="25"/>
  <c r="DX140" i="25" s="1"/>
  <c r="DY140" i="25"/>
  <c r="EA140" i="25"/>
  <c r="EB140" i="25"/>
  <c r="EI140" i="25"/>
  <c r="EJ140" i="25"/>
  <c r="EK140" i="25"/>
  <c r="DF140" i="25" s="1"/>
  <c r="EL140" i="25"/>
  <c r="EM140" i="25"/>
  <c r="DU140" i="25" s="1"/>
  <c r="EN140" i="25"/>
  <c r="EO140" i="25"/>
  <c r="EP140" i="25"/>
  <c r="ES140" i="25"/>
  <c r="ET140" i="25"/>
  <c r="EG164" i="25" l="1"/>
  <c r="EG157" i="25"/>
  <c r="EG73" i="25"/>
  <c r="EG155" i="25"/>
  <c r="EG151" i="25"/>
  <c r="EG162" i="25"/>
  <c r="EG153" i="25"/>
  <c r="EG145" i="25"/>
  <c r="EG160" i="25"/>
  <c r="EG146" i="25"/>
  <c r="EG143" i="25"/>
  <c r="EG163" i="25"/>
  <c r="EG154" i="25"/>
  <c r="EG41" i="25"/>
  <c r="EG140" i="25"/>
  <c r="EG141" i="25"/>
  <c r="EG161" i="25"/>
  <c r="EG152" i="25"/>
  <c r="EG144" i="25"/>
  <c r="EG158" i="25"/>
  <c r="EG150" i="25"/>
  <c r="EG148" i="25"/>
  <c r="EG156" i="25"/>
  <c r="EG147" i="25"/>
  <c r="CQ150" i="25"/>
  <c r="CQ157" i="25"/>
  <c r="CQ148" i="25"/>
  <c r="CP73" i="25"/>
  <c r="CR73" i="25" s="1"/>
  <c r="DE162" i="25"/>
  <c r="DD162" i="25" s="1"/>
  <c r="DK162" i="25" s="1"/>
  <c r="DE151" i="25"/>
  <c r="DD151" i="25" s="1"/>
  <c r="DK151" i="25" s="1"/>
  <c r="DE160" i="25"/>
  <c r="DD160" i="25" s="1"/>
  <c r="DK160" i="25" s="1"/>
  <c r="DE153" i="25"/>
  <c r="DD153" i="25" s="1"/>
  <c r="DK153" i="25" s="1"/>
  <c r="DE145" i="25"/>
  <c r="DD145" i="25" s="1"/>
  <c r="DK145" i="25" s="1"/>
  <c r="DE152" i="25"/>
  <c r="DD152" i="25" s="1"/>
  <c r="DK152" i="25" s="1"/>
  <c r="DE144" i="25"/>
  <c r="DD144" i="25" s="1"/>
  <c r="DK144" i="25" s="1"/>
  <c r="DE158" i="25"/>
  <c r="DD158" i="25" s="1"/>
  <c r="DK158" i="25" s="1"/>
  <c r="DE143" i="25"/>
  <c r="DD143" i="25" s="1"/>
  <c r="DK143" i="25" s="1"/>
  <c r="DE157" i="25"/>
  <c r="DD157" i="25" s="1"/>
  <c r="DK157" i="25" s="1"/>
  <c r="DE150" i="25"/>
  <c r="DD150" i="25" s="1"/>
  <c r="DK150" i="25" s="1"/>
  <c r="DE164" i="25"/>
  <c r="DD164" i="25" s="1"/>
  <c r="DK164" i="25" s="1"/>
  <c r="DE156" i="25"/>
  <c r="DD156" i="25" s="1"/>
  <c r="DK156" i="25" s="1"/>
  <c r="DE141" i="25"/>
  <c r="DD141" i="25" s="1"/>
  <c r="DK141" i="25" s="1"/>
  <c r="CQ156" i="25"/>
  <c r="CQ73" i="25"/>
  <c r="CQ163" i="25"/>
  <c r="CQ147" i="25"/>
  <c r="CQ162" i="25"/>
  <c r="CQ155" i="25"/>
  <c r="CQ151" i="25"/>
  <c r="CP161" i="25"/>
  <c r="CR161" i="25" s="1"/>
  <c r="CV161" i="25" s="1"/>
  <c r="CY161" i="25" s="1"/>
  <c r="CZ161" i="25" s="1"/>
  <c r="CP154" i="25"/>
  <c r="CR154" i="25" s="1"/>
  <c r="CV154" i="25" s="1"/>
  <c r="CY154" i="25" s="1"/>
  <c r="CZ154" i="25" s="1"/>
  <c r="CP41" i="25"/>
  <c r="CR41" i="25" s="1"/>
  <c r="CV41" i="25" s="1"/>
  <c r="CY41" i="25" s="1"/>
  <c r="CZ41" i="25" s="1"/>
  <c r="DE163" i="25"/>
  <c r="DD163" i="25" s="1"/>
  <c r="DK163" i="25" s="1"/>
  <c r="DE148" i="25"/>
  <c r="DD148" i="25" s="1"/>
  <c r="DK148" i="25" s="1"/>
  <c r="DE140" i="25"/>
  <c r="DD140" i="25" s="1"/>
  <c r="DK140" i="25" s="1"/>
  <c r="DE155" i="25"/>
  <c r="DD155" i="25" s="1"/>
  <c r="DK155" i="25" s="1"/>
  <c r="DE147" i="25"/>
  <c r="DD147" i="25" s="1"/>
  <c r="DK147" i="25" s="1"/>
  <c r="DE41" i="25"/>
  <c r="DD41" i="25" s="1"/>
  <c r="DK41" i="25" s="1"/>
  <c r="DE161" i="25"/>
  <c r="DD161" i="25" s="1"/>
  <c r="DK161" i="25" s="1"/>
  <c r="DE154" i="25"/>
  <c r="DD154" i="25" s="1"/>
  <c r="DK154" i="25" s="1"/>
  <c r="DE146" i="25"/>
  <c r="DD146" i="25" s="1"/>
  <c r="DK146" i="25" s="1"/>
  <c r="DE73" i="25"/>
  <c r="DD73" i="25" s="1"/>
  <c r="DK73" i="25" s="1"/>
  <c r="CQ141" i="25"/>
  <c r="CQ161" i="25"/>
  <c r="CQ154" i="25"/>
  <c r="CQ41" i="25"/>
  <c r="CP160" i="25"/>
  <c r="CR160" i="25" s="1"/>
  <c r="CP153" i="25"/>
  <c r="CR153" i="25" s="1"/>
  <c r="CP145" i="25"/>
  <c r="CR145" i="25" s="1"/>
  <c r="CP164" i="25"/>
  <c r="CR164" i="25" s="1"/>
  <c r="CS164" i="25" s="1"/>
  <c r="CW164" i="25" s="1"/>
  <c r="CX164" i="25" s="1"/>
  <c r="DA164" i="25" s="1"/>
  <c r="CP156" i="25"/>
  <c r="CR156" i="25" s="1"/>
  <c r="CP140" i="25"/>
  <c r="CR140" i="25" s="1"/>
  <c r="CS140" i="25" s="1"/>
  <c r="CW140" i="25" s="1"/>
  <c r="CX140" i="25" s="1"/>
  <c r="DA140" i="25" s="1"/>
  <c r="CQ160" i="25"/>
  <c r="CQ153" i="25"/>
  <c r="CQ145" i="25"/>
  <c r="CP152" i="25"/>
  <c r="CR152" i="25" s="1"/>
  <c r="CP144" i="25"/>
  <c r="CR144" i="25" s="1"/>
  <c r="CQ158" i="25"/>
  <c r="CQ146" i="25"/>
  <c r="CQ143" i="25"/>
  <c r="CP157" i="25"/>
  <c r="CR157" i="25" s="1"/>
  <c r="CP150" i="25"/>
  <c r="CR150" i="25" s="1"/>
  <c r="CP148" i="25"/>
  <c r="CR148" i="25" s="1"/>
  <c r="CQ140" i="25"/>
  <c r="CP141" i="25"/>
  <c r="CR141" i="25" s="1"/>
  <c r="CS141" i="25" s="1"/>
  <c r="CW141" i="25" s="1"/>
  <c r="CX141" i="25" s="1"/>
  <c r="DA141" i="25" s="1"/>
  <c r="CQ152" i="25"/>
  <c r="CQ144" i="25"/>
  <c r="CP158" i="25"/>
  <c r="CR158" i="25" s="1"/>
  <c r="CP146" i="25"/>
  <c r="CR146" i="25" s="1"/>
  <c r="CP143" i="25"/>
  <c r="CR143" i="25" s="1"/>
  <c r="CP163" i="25"/>
  <c r="CR163" i="25" s="1"/>
  <c r="CS163" i="25" s="1"/>
  <c r="CP147" i="25"/>
  <c r="CR147" i="25" s="1"/>
  <c r="CS147" i="25" s="1"/>
  <c r="CQ164" i="25"/>
  <c r="CP162" i="25"/>
  <c r="CR162" i="25" s="1"/>
  <c r="CS162" i="25" s="1"/>
  <c r="CW162" i="25" s="1"/>
  <c r="CX162" i="25" s="1"/>
  <c r="DA162" i="25" s="1"/>
  <c r="CP155" i="25"/>
  <c r="CR155" i="25" s="1"/>
  <c r="CS155" i="25" s="1"/>
  <c r="CW155" i="25" s="1"/>
  <c r="CX155" i="25" s="1"/>
  <c r="DA155" i="25" s="1"/>
  <c r="CP151" i="25"/>
  <c r="CR151" i="25" s="1"/>
  <c r="CV151" i="25" s="1"/>
  <c r="CY151" i="25" s="1"/>
  <c r="CZ151" i="25" s="1"/>
  <c r="DP164" i="25"/>
  <c r="DQ164" i="25" s="1"/>
  <c r="DR164" i="25" s="1"/>
  <c r="DS164" i="25" s="1"/>
  <c r="CG164" i="25"/>
  <c r="DZ164" i="25"/>
  <c r="EH164" i="25"/>
  <c r="DI164" i="25"/>
  <c r="DJ164" i="25" s="1"/>
  <c r="EH155" i="25"/>
  <c r="DZ152" i="25"/>
  <c r="DX158" i="25"/>
  <c r="DX157" i="25"/>
  <c r="CG153" i="25"/>
  <c r="DX144" i="25"/>
  <c r="DP161" i="25"/>
  <c r="DQ161" i="25" s="1"/>
  <c r="DR161" i="25" s="1"/>
  <c r="DS161" i="25" s="1"/>
  <c r="EH73" i="25"/>
  <c r="EH160" i="25"/>
  <c r="EH153" i="25"/>
  <c r="EH156" i="25"/>
  <c r="DP163" i="25"/>
  <c r="DQ163" i="25" s="1"/>
  <c r="DR163" i="25" s="1"/>
  <c r="DS163" i="25" s="1"/>
  <c r="CG163" i="25"/>
  <c r="DZ147" i="25"/>
  <c r="DP41" i="25"/>
  <c r="DQ41" i="25" s="1"/>
  <c r="DR41" i="25" s="1"/>
  <c r="DS41" i="25" s="1"/>
  <c r="EH144" i="25"/>
  <c r="CG160" i="25"/>
  <c r="CG144" i="25"/>
  <c r="DP150" i="25"/>
  <c r="DQ150" i="25" s="1"/>
  <c r="DR150" i="25" s="1"/>
  <c r="DS150" i="25" s="1"/>
  <c r="EH162" i="25"/>
  <c r="EH151" i="25"/>
  <c r="DP147" i="25"/>
  <c r="DQ147" i="25" s="1"/>
  <c r="DR147" i="25" s="1"/>
  <c r="DS147" i="25" s="1"/>
  <c r="DP162" i="25"/>
  <c r="DQ162" i="25" s="1"/>
  <c r="DR162" i="25" s="1"/>
  <c r="DS162" i="25" s="1"/>
  <c r="DP155" i="25"/>
  <c r="DQ155" i="25" s="1"/>
  <c r="DR155" i="25" s="1"/>
  <c r="DS155" i="25" s="1"/>
  <c r="DZ163" i="25"/>
  <c r="DP157" i="25"/>
  <c r="DQ157" i="25" s="1"/>
  <c r="DR157" i="25" s="1"/>
  <c r="DS157" i="25" s="1"/>
  <c r="DP148" i="25"/>
  <c r="DQ148" i="25" s="1"/>
  <c r="DR148" i="25" s="1"/>
  <c r="DS148" i="25" s="1"/>
  <c r="EH157" i="25"/>
  <c r="EH150" i="25"/>
  <c r="EH148" i="25"/>
  <c r="DX41" i="25"/>
  <c r="DX148" i="25"/>
  <c r="DP154" i="25"/>
  <c r="DQ154" i="25" s="1"/>
  <c r="DR154" i="25" s="1"/>
  <c r="DS154" i="25" s="1"/>
  <c r="CG140" i="25"/>
  <c r="EH145" i="25"/>
  <c r="CG73" i="25"/>
  <c r="DP158" i="25"/>
  <c r="DQ158" i="25" s="1"/>
  <c r="DR158" i="25" s="1"/>
  <c r="DS158" i="25" s="1"/>
  <c r="DP146" i="25"/>
  <c r="DQ146" i="25" s="1"/>
  <c r="DR146" i="25" s="1"/>
  <c r="DS146" i="25" s="1"/>
  <c r="DP143" i="25"/>
  <c r="DQ143" i="25" s="1"/>
  <c r="DR143" i="25" s="1"/>
  <c r="DS143" i="25" s="1"/>
  <c r="CG162" i="25"/>
  <c r="DZ150" i="25"/>
  <c r="DX154" i="25"/>
  <c r="EH163" i="25"/>
  <c r="EH147" i="25"/>
  <c r="CG161" i="25"/>
  <c r="CG154" i="25"/>
  <c r="CG41" i="25"/>
  <c r="CG145" i="25"/>
  <c r="DP156" i="25"/>
  <c r="DQ156" i="25" s="1"/>
  <c r="DR156" i="25" s="1"/>
  <c r="DS156" i="25" s="1"/>
  <c r="DP73" i="25"/>
  <c r="DQ73" i="25" s="1"/>
  <c r="DR73" i="25" s="1"/>
  <c r="DS73" i="25" s="1"/>
  <c r="EH161" i="25"/>
  <c r="EH154" i="25"/>
  <c r="EH41" i="25"/>
  <c r="CG152" i="25"/>
  <c r="DX146" i="25"/>
  <c r="DZ143" i="25"/>
  <c r="DX161" i="25"/>
  <c r="DX73" i="25"/>
  <c r="EH152" i="25"/>
  <c r="CG156" i="25"/>
  <c r="CG147" i="25"/>
  <c r="CG155" i="25"/>
  <c r="CG151" i="25"/>
  <c r="DZ155" i="25"/>
  <c r="DX156" i="25"/>
  <c r="DP151" i="25"/>
  <c r="DQ151" i="25" s="1"/>
  <c r="DR151" i="25" s="1"/>
  <c r="DS151" i="25" s="1"/>
  <c r="DX151" i="25"/>
  <c r="DZ162" i="25"/>
  <c r="DP160" i="25"/>
  <c r="DQ160" i="25" s="1"/>
  <c r="DR160" i="25" s="1"/>
  <c r="DS160" i="25" s="1"/>
  <c r="DP153" i="25"/>
  <c r="DQ153" i="25" s="1"/>
  <c r="DR153" i="25" s="1"/>
  <c r="DS153" i="25" s="1"/>
  <c r="DP145" i="25"/>
  <c r="DQ145" i="25" s="1"/>
  <c r="DR145" i="25" s="1"/>
  <c r="DS145" i="25" s="1"/>
  <c r="DP152" i="25"/>
  <c r="DQ152" i="25" s="1"/>
  <c r="DR152" i="25" s="1"/>
  <c r="DS152" i="25" s="1"/>
  <c r="DP144" i="25"/>
  <c r="DQ144" i="25" s="1"/>
  <c r="DR144" i="25" s="1"/>
  <c r="DS144" i="25" s="1"/>
  <c r="EH158" i="25"/>
  <c r="EH146" i="25"/>
  <c r="EH143" i="25"/>
  <c r="CG158" i="25"/>
  <c r="CG146" i="25"/>
  <c r="CG143" i="25"/>
  <c r="CG157" i="25"/>
  <c r="CG150" i="25"/>
  <c r="CG148" i="25"/>
  <c r="DI162" i="25"/>
  <c r="DJ162" i="25" s="1"/>
  <c r="DI151" i="25"/>
  <c r="DJ151" i="25" s="1"/>
  <c r="DF152" i="25"/>
  <c r="DF144" i="25"/>
  <c r="DX160" i="25"/>
  <c r="DX153" i="25"/>
  <c r="DX145" i="25"/>
  <c r="DI161" i="25"/>
  <c r="DJ161" i="25" s="1"/>
  <c r="DI154" i="25"/>
  <c r="DJ154" i="25" s="1"/>
  <c r="DI41" i="25"/>
  <c r="DJ41" i="25" s="1"/>
  <c r="DF158" i="25"/>
  <c r="DF146" i="25"/>
  <c r="DF143" i="25"/>
  <c r="CU163" i="25"/>
  <c r="CU147" i="25"/>
  <c r="DI160" i="25"/>
  <c r="DJ160" i="25" s="1"/>
  <c r="DI153" i="25"/>
  <c r="DJ153" i="25" s="1"/>
  <c r="DI145" i="25"/>
  <c r="DJ145" i="25" s="1"/>
  <c r="DF157" i="25"/>
  <c r="DF150" i="25"/>
  <c r="DF148" i="25"/>
  <c r="DF156" i="25"/>
  <c r="DF73" i="25"/>
  <c r="DF163" i="25"/>
  <c r="DF147" i="25"/>
  <c r="DF162" i="25"/>
  <c r="DF155" i="25"/>
  <c r="DF151" i="25"/>
  <c r="CG141" i="25"/>
  <c r="EH140" i="25"/>
  <c r="DZ140" i="25"/>
  <c r="DP141" i="25"/>
  <c r="DQ141" i="25" s="1"/>
  <c r="DR141" i="25" s="1"/>
  <c r="DS141" i="25" s="1"/>
  <c r="DZ141" i="25"/>
  <c r="EH141" i="25"/>
  <c r="DP140" i="25"/>
  <c r="DQ140" i="25" s="1"/>
  <c r="DR140" i="25" s="1"/>
  <c r="DS140" i="25" s="1"/>
  <c r="DI141" i="25"/>
  <c r="DJ141" i="25" s="1"/>
  <c r="DI140" i="25"/>
  <c r="DJ140" i="25" s="1"/>
  <c r="CE8" i="25"/>
  <c r="CE9" i="25"/>
  <c r="CE13" i="25"/>
  <c r="CE15" i="25"/>
  <c r="CE16" i="25"/>
  <c r="CE17" i="25"/>
  <c r="CE18" i="25"/>
  <c r="CE20" i="25"/>
  <c r="CE21" i="25"/>
  <c r="CE23" i="25"/>
  <c r="CE25" i="25"/>
  <c r="CE31" i="25"/>
  <c r="CE32" i="25"/>
  <c r="CE34" i="25"/>
  <c r="CE37" i="25"/>
  <c r="CE38" i="25"/>
  <c r="CE219" i="25"/>
  <c r="CE27" i="25"/>
  <c r="CE40" i="25"/>
  <c r="CE88" i="25"/>
  <c r="CE44" i="25"/>
  <c r="CE45" i="25"/>
  <c r="CE46" i="25"/>
  <c r="CE47" i="25"/>
  <c r="CE49" i="25"/>
  <c r="CE50" i="25"/>
  <c r="CE51" i="25"/>
  <c r="CE54" i="25"/>
  <c r="CE55" i="25"/>
  <c r="CE218" i="25"/>
  <c r="CE63" i="25"/>
  <c r="CE64" i="25"/>
  <c r="CE65" i="25"/>
  <c r="CE66" i="25"/>
  <c r="CE68" i="25"/>
  <c r="CE69" i="25"/>
  <c r="CE70" i="25"/>
  <c r="CE142" i="25"/>
  <c r="CE74" i="25"/>
  <c r="CE75" i="25"/>
  <c r="CE77" i="25"/>
  <c r="CE78" i="25"/>
  <c r="CE79" i="25"/>
  <c r="CE82" i="25"/>
  <c r="CE83" i="25"/>
  <c r="CE86" i="25"/>
  <c r="CE87" i="25"/>
  <c r="CE149" i="25"/>
  <c r="CE174" i="25"/>
  <c r="CE201" i="25"/>
  <c r="CE91" i="25"/>
  <c r="CE92" i="25"/>
  <c r="CE93" i="25"/>
  <c r="CE94" i="25"/>
  <c r="CE95" i="25"/>
  <c r="CE96" i="25"/>
  <c r="CE97" i="25"/>
  <c r="CE98" i="25"/>
  <c r="CE99" i="25"/>
  <c r="CE100" i="25"/>
  <c r="CE101" i="25"/>
  <c r="CE102" i="25"/>
  <c r="CE104" i="25"/>
  <c r="CE105" i="25"/>
  <c r="CE106" i="25"/>
  <c r="CE107" i="25"/>
  <c r="CE108" i="25"/>
  <c r="CE109" i="25"/>
  <c r="CE110" i="25"/>
  <c r="CE111" i="25"/>
  <c r="CE112" i="25"/>
  <c r="CE113" i="25"/>
  <c r="CE114" i="25"/>
  <c r="CE115" i="25"/>
  <c r="CE116" i="25"/>
  <c r="CE117" i="25"/>
  <c r="CE118" i="25"/>
  <c r="CE119" i="25"/>
  <c r="CE120" i="25"/>
  <c r="CE121" i="25"/>
  <c r="CE122" i="25"/>
  <c r="CE123" i="25"/>
  <c r="CE124" i="25"/>
  <c r="CE125" i="25"/>
  <c r="CE126" i="25"/>
  <c r="CE127" i="25"/>
  <c r="CE128" i="25"/>
  <c r="CE129" i="25"/>
  <c r="CE130" i="25"/>
  <c r="CE131" i="25"/>
  <c r="CE132" i="25"/>
  <c r="CE133" i="25"/>
  <c r="CE134" i="25"/>
  <c r="CF8" i="25"/>
  <c r="CF9" i="25"/>
  <c r="CF13" i="25"/>
  <c r="CF15" i="25"/>
  <c r="CF16" i="25"/>
  <c r="CF17" i="25"/>
  <c r="CF18" i="25"/>
  <c r="CF20" i="25"/>
  <c r="CF21" i="25"/>
  <c r="CF23" i="25"/>
  <c r="CF25" i="25"/>
  <c r="CF31" i="25"/>
  <c r="CF32" i="25"/>
  <c r="CF34" i="25"/>
  <c r="CF37" i="25"/>
  <c r="CF38" i="25"/>
  <c r="CF219" i="25"/>
  <c r="CF27" i="25"/>
  <c r="CF40" i="25"/>
  <c r="CF88" i="25"/>
  <c r="CF44" i="25"/>
  <c r="CF45" i="25"/>
  <c r="CF46" i="25"/>
  <c r="CF47" i="25"/>
  <c r="CF49" i="25"/>
  <c r="CF50" i="25"/>
  <c r="CF51" i="25"/>
  <c r="CF54" i="25"/>
  <c r="CF55" i="25"/>
  <c r="CF218" i="25"/>
  <c r="CF63" i="25"/>
  <c r="CF64" i="25"/>
  <c r="CF65" i="25"/>
  <c r="CF66" i="25"/>
  <c r="CF68" i="25"/>
  <c r="CF69" i="25"/>
  <c r="CF70" i="25"/>
  <c r="CF142" i="25"/>
  <c r="CF74" i="25"/>
  <c r="CF75" i="25"/>
  <c r="CF77" i="25"/>
  <c r="CF78" i="25"/>
  <c r="CF79" i="25"/>
  <c r="CF82" i="25"/>
  <c r="CF83" i="25"/>
  <c r="CF86" i="25"/>
  <c r="CF87" i="25"/>
  <c r="CF149" i="25"/>
  <c r="CF174" i="25"/>
  <c r="CF201" i="25"/>
  <c r="CF91" i="25"/>
  <c r="CF92" i="25"/>
  <c r="CF93" i="25"/>
  <c r="CF94" i="25"/>
  <c r="CF95" i="25"/>
  <c r="CF96" i="25"/>
  <c r="CF97" i="25"/>
  <c r="CF98" i="25"/>
  <c r="CF99" i="25"/>
  <c r="CF100" i="25"/>
  <c r="CF101" i="25"/>
  <c r="CF102" i="25"/>
  <c r="CF104" i="25"/>
  <c r="CF105" i="25"/>
  <c r="CF106" i="25"/>
  <c r="CF107" i="25"/>
  <c r="CF108" i="25"/>
  <c r="CF109" i="25"/>
  <c r="CF110" i="25"/>
  <c r="CF111" i="25"/>
  <c r="CF112" i="25"/>
  <c r="CF113" i="25"/>
  <c r="CF114" i="25"/>
  <c r="CF115" i="25"/>
  <c r="CF116" i="25"/>
  <c r="CF117" i="25"/>
  <c r="CF118" i="25"/>
  <c r="CF119" i="25"/>
  <c r="CF120" i="25"/>
  <c r="CF121" i="25"/>
  <c r="CF122" i="25"/>
  <c r="CF123" i="25"/>
  <c r="CF124" i="25"/>
  <c r="CF125" i="25"/>
  <c r="CF126" i="25"/>
  <c r="CF127" i="25"/>
  <c r="CF128" i="25"/>
  <c r="CF129" i="25"/>
  <c r="CF130" i="25"/>
  <c r="CF131" i="25"/>
  <c r="CF132" i="25"/>
  <c r="CF133" i="25"/>
  <c r="CF134" i="25"/>
  <c r="CH8" i="25"/>
  <c r="CH9" i="25"/>
  <c r="CH13" i="25"/>
  <c r="CH15" i="25"/>
  <c r="CH16" i="25"/>
  <c r="CH17" i="25"/>
  <c r="CH18" i="25"/>
  <c r="CH20" i="25"/>
  <c r="CH21" i="25"/>
  <c r="CH23" i="25"/>
  <c r="CH25" i="25"/>
  <c r="CH31" i="25"/>
  <c r="CH32" i="25"/>
  <c r="CH34" i="25"/>
  <c r="CH37" i="25"/>
  <c r="CH38" i="25"/>
  <c r="CH219" i="25"/>
  <c r="CH27" i="25"/>
  <c r="CH40" i="25"/>
  <c r="CH88" i="25"/>
  <c r="CH44" i="25"/>
  <c r="CH45" i="25"/>
  <c r="CH46" i="25"/>
  <c r="CH47" i="25"/>
  <c r="CH49" i="25"/>
  <c r="CH50" i="25"/>
  <c r="CH51" i="25"/>
  <c r="CH54" i="25"/>
  <c r="CH55" i="25"/>
  <c r="CH218" i="25"/>
  <c r="CH63" i="25"/>
  <c r="CH64" i="25"/>
  <c r="CH65" i="25"/>
  <c r="CH66" i="25"/>
  <c r="CH68" i="25"/>
  <c r="CH69" i="25"/>
  <c r="CH70" i="25"/>
  <c r="CH142" i="25"/>
  <c r="CH74" i="25"/>
  <c r="CH75" i="25"/>
  <c r="CH77" i="25"/>
  <c r="CH78" i="25"/>
  <c r="CH79" i="25"/>
  <c r="CH82" i="25"/>
  <c r="CH83" i="25"/>
  <c r="CH86" i="25"/>
  <c r="CH87" i="25"/>
  <c r="CH149" i="25"/>
  <c r="CH174" i="25"/>
  <c r="CH201" i="25"/>
  <c r="CH91" i="25"/>
  <c r="CH92" i="25"/>
  <c r="CH93" i="25"/>
  <c r="CH94" i="25"/>
  <c r="CH95" i="25"/>
  <c r="CH96" i="25"/>
  <c r="CH97" i="25"/>
  <c r="CH98" i="25"/>
  <c r="CH99" i="25"/>
  <c r="CH100" i="25"/>
  <c r="CH101" i="25"/>
  <c r="CH102" i="25"/>
  <c r="CH104" i="25"/>
  <c r="CH105" i="25"/>
  <c r="CH106" i="25"/>
  <c r="CH107" i="25"/>
  <c r="CH108" i="25"/>
  <c r="CH109" i="25"/>
  <c r="CH110" i="25"/>
  <c r="CH111" i="25"/>
  <c r="CH112" i="25"/>
  <c r="CH113" i="25"/>
  <c r="CH114" i="25"/>
  <c r="CH115" i="25"/>
  <c r="CH116" i="25"/>
  <c r="CH117" i="25"/>
  <c r="CH118" i="25"/>
  <c r="CH119" i="25"/>
  <c r="CH120" i="25"/>
  <c r="CH121" i="25"/>
  <c r="CH122" i="25"/>
  <c r="CH123" i="25"/>
  <c r="CH124" i="25"/>
  <c r="CH125" i="25"/>
  <c r="CH126" i="25"/>
  <c r="CH127" i="25"/>
  <c r="CH128" i="25"/>
  <c r="CH129" i="25"/>
  <c r="CH130" i="25"/>
  <c r="CH131" i="25"/>
  <c r="CH132" i="25"/>
  <c r="CH133" i="25"/>
  <c r="CH134" i="25"/>
  <c r="CI8" i="25"/>
  <c r="CI9" i="25"/>
  <c r="CI13" i="25"/>
  <c r="CI15" i="25"/>
  <c r="CI16" i="25"/>
  <c r="CI17" i="25"/>
  <c r="CI18" i="25"/>
  <c r="CI20" i="25"/>
  <c r="CI21" i="25"/>
  <c r="CI23" i="25"/>
  <c r="CI25" i="25"/>
  <c r="CI31" i="25"/>
  <c r="CI32" i="25"/>
  <c r="CI34" i="25"/>
  <c r="CI37" i="25"/>
  <c r="CI38" i="25"/>
  <c r="CI219" i="25"/>
  <c r="CI27" i="25"/>
  <c r="CI40" i="25"/>
  <c r="CI88" i="25"/>
  <c r="CI44" i="25"/>
  <c r="CI45" i="25"/>
  <c r="CI46" i="25"/>
  <c r="CI47" i="25"/>
  <c r="CI49" i="25"/>
  <c r="CI50" i="25"/>
  <c r="CI51" i="25"/>
  <c r="CI54" i="25"/>
  <c r="CI55" i="25"/>
  <c r="CI218" i="25"/>
  <c r="CI63" i="25"/>
  <c r="CI64" i="25"/>
  <c r="CI65" i="25"/>
  <c r="CI66" i="25"/>
  <c r="CI68" i="25"/>
  <c r="CI69" i="25"/>
  <c r="CI70" i="25"/>
  <c r="CI142" i="25"/>
  <c r="CI74" i="25"/>
  <c r="CI75" i="25"/>
  <c r="CI77" i="25"/>
  <c r="CI78" i="25"/>
  <c r="CI79" i="25"/>
  <c r="CI82" i="25"/>
  <c r="CI83" i="25"/>
  <c r="CI86" i="25"/>
  <c r="CI87" i="25"/>
  <c r="CI149" i="25"/>
  <c r="CI174" i="25"/>
  <c r="CI201" i="25"/>
  <c r="CI91" i="25"/>
  <c r="CI92" i="25"/>
  <c r="CI93" i="25"/>
  <c r="CI94" i="25"/>
  <c r="CI95" i="25"/>
  <c r="CI96" i="25"/>
  <c r="CI97" i="25"/>
  <c r="CI98" i="25"/>
  <c r="CI99" i="25"/>
  <c r="CI100" i="25"/>
  <c r="CI101" i="25"/>
  <c r="CI102" i="25"/>
  <c r="CI104" i="25"/>
  <c r="CI105" i="25"/>
  <c r="CI106" i="25"/>
  <c r="CI107" i="25"/>
  <c r="CI108" i="25"/>
  <c r="CI109" i="25"/>
  <c r="CI110" i="25"/>
  <c r="CI111" i="25"/>
  <c r="CI112" i="25"/>
  <c r="CI113" i="25"/>
  <c r="CI114" i="25"/>
  <c r="CI115" i="25"/>
  <c r="CI116" i="25"/>
  <c r="CI117" i="25"/>
  <c r="CI118" i="25"/>
  <c r="CI119" i="25"/>
  <c r="CI120" i="25"/>
  <c r="CI121" i="25"/>
  <c r="CI122" i="25"/>
  <c r="CI123" i="25"/>
  <c r="CI124" i="25"/>
  <c r="CI125" i="25"/>
  <c r="CI126" i="25"/>
  <c r="CI127" i="25"/>
  <c r="CI128" i="25"/>
  <c r="CI129" i="25"/>
  <c r="CI130" i="25"/>
  <c r="CI131" i="25"/>
  <c r="CI132" i="25"/>
  <c r="CI133" i="25"/>
  <c r="CI134" i="25"/>
  <c r="CJ8" i="25"/>
  <c r="CJ9" i="25"/>
  <c r="CJ13" i="25"/>
  <c r="CJ15" i="25"/>
  <c r="CJ16" i="25"/>
  <c r="CJ17" i="25"/>
  <c r="CJ18" i="25"/>
  <c r="CJ20" i="25"/>
  <c r="CJ21" i="25"/>
  <c r="CJ23" i="25"/>
  <c r="CJ25" i="25"/>
  <c r="CJ31" i="25"/>
  <c r="CJ32" i="25"/>
  <c r="CJ34" i="25"/>
  <c r="CJ37" i="25"/>
  <c r="CJ38" i="25"/>
  <c r="CJ219" i="25"/>
  <c r="CJ27" i="25"/>
  <c r="CJ40" i="25"/>
  <c r="CJ88" i="25"/>
  <c r="CJ44" i="25"/>
  <c r="CJ45" i="25"/>
  <c r="CJ46" i="25"/>
  <c r="CJ47" i="25"/>
  <c r="CJ49" i="25"/>
  <c r="CJ50" i="25"/>
  <c r="CJ51" i="25"/>
  <c r="CJ54" i="25"/>
  <c r="CJ55" i="25"/>
  <c r="CJ218" i="25"/>
  <c r="CJ63" i="25"/>
  <c r="CJ64" i="25"/>
  <c r="CJ65" i="25"/>
  <c r="CJ66" i="25"/>
  <c r="CJ68" i="25"/>
  <c r="CJ69" i="25"/>
  <c r="CJ70" i="25"/>
  <c r="CJ142" i="25"/>
  <c r="CJ74" i="25"/>
  <c r="CJ75" i="25"/>
  <c r="CJ77" i="25"/>
  <c r="CJ78" i="25"/>
  <c r="CJ79" i="25"/>
  <c r="CJ82" i="25"/>
  <c r="CJ83" i="25"/>
  <c r="CJ86" i="25"/>
  <c r="CJ87" i="25"/>
  <c r="CJ149" i="25"/>
  <c r="CJ174" i="25"/>
  <c r="CJ201" i="25"/>
  <c r="CJ91" i="25"/>
  <c r="CJ92" i="25"/>
  <c r="CJ93" i="25"/>
  <c r="CJ94" i="25"/>
  <c r="CJ95" i="25"/>
  <c r="CJ96" i="25"/>
  <c r="CJ97" i="25"/>
  <c r="CJ98" i="25"/>
  <c r="CJ99" i="25"/>
  <c r="CJ100" i="25"/>
  <c r="CJ101" i="25"/>
  <c r="CJ102" i="25"/>
  <c r="CJ104" i="25"/>
  <c r="CJ105" i="25"/>
  <c r="CJ106" i="25"/>
  <c r="CJ107" i="25"/>
  <c r="CJ108" i="25"/>
  <c r="CJ109" i="25"/>
  <c r="CJ110" i="25"/>
  <c r="CJ111" i="25"/>
  <c r="CJ112" i="25"/>
  <c r="CJ113" i="25"/>
  <c r="CJ114" i="25"/>
  <c r="CJ115" i="25"/>
  <c r="CJ116" i="25"/>
  <c r="CJ117" i="25"/>
  <c r="CJ118" i="25"/>
  <c r="CJ119" i="25"/>
  <c r="CJ120" i="25"/>
  <c r="CJ121" i="25"/>
  <c r="CJ122" i="25"/>
  <c r="CJ123" i="25"/>
  <c r="CJ124" i="25"/>
  <c r="CJ125" i="25"/>
  <c r="CJ126" i="25"/>
  <c r="CJ127" i="25"/>
  <c r="CJ128" i="25"/>
  <c r="CJ129" i="25"/>
  <c r="CJ130" i="25"/>
  <c r="CJ131" i="25"/>
  <c r="CJ132" i="25"/>
  <c r="CJ133" i="25"/>
  <c r="CJ134" i="25"/>
  <c r="CK8" i="25"/>
  <c r="CK9" i="25"/>
  <c r="CK13" i="25"/>
  <c r="CK15" i="25"/>
  <c r="CK16" i="25"/>
  <c r="CK17" i="25"/>
  <c r="CK18" i="25"/>
  <c r="CK20" i="25"/>
  <c r="CK21" i="25"/>
  <c r="CK23" i="25"/>
  <c r="CK25" i="25"/>
  <c r="CK31" i="25"/>
  <c r="CK32" i="25"/>
  <c r="CK34" i="25"/>
  <c r="CK37" i="25"/>
  <c r="CK38" i="25"/>
  <c r="CK219" i="25"/>
  <c r="CK27" i="25"/>
  <c r="CK40" i="25"/>
  <c r="CK88" i="25"/>
  <c r="CK44" i="25"/>
  <c r="CK45" i="25"/>
  <c r="CK46" i="25"/>
  <c r="CK47" i="25"/>
  <c r="CK49" i="25"/>
  <c r="CK50" i="25"/>
  <c r="CK51" i="25"/>
  <c r="CK54" i="25"/>
  <c r="CK55" i="25"/>
  <c r="CK218" i="25"/>
  <c r="CK63" i="25"/>
  <c r="CK64" i="25"/>
  <c r="CK65" i="25"/>
  <c r="CK66" i="25"/>
  <c r="CK68" i="25"/>
  <c r="CK69" i="25"/>
  <c r="CK70" i="25"/>
  <c r="CK142" i="25"/>
  <c r="CK74" i="25"/>
  <c r="CK75" i="25"/>
  <c r="CK77" i="25"/>
  <c r="CK78" i="25"/>
  <c r="CK79" i="25"/>
  <c r="CK82" i="25"/>
  <c r="CK83" i="25"/>
  <c r="CK86" i="25"/>
  <c r="CK87" i="25"/>
  <c r="CK149" i="25"/>
  <c r="CK174" i="25"/>
  <c r="CK201" i="25"/>
  <c r="CK91" i="25"/>
  <c r="CK92" i="25"/>
  <c r="CK93" i="25"/>
  <c r="CK94" i="25"/>
  <c r="CK95" i="25"/>
  <c r="CK96" i="25"/>
  <c r="CK97" i="25"/>
  <c r="CK98" i="25"/>
  <c r="CK99" i="25"/>
  <c r="CK100" i="25"/>
  <c r="CK101" i="25"/>
  <c r="CK102" i="25"/>
  <c r="CK104" i="25"/>
  <c r="CK105" i="25"/>
  <c r="CK106" i="25"/>
  <c r="CK107" i="25"/>
  <c r="CK108" i="25"/>
  <c r="CK109" i="25"/>
  <c r="CK110" i="25"/>
  <c r="CK111" i="25"/>
  <c r="CK112" i="25"/>
  <c r="CK113" i="25"/>
  <c r="CK114" i="25"/>
  <c r="CK115" i="25"/>
  <c r="CK116" i="25"/>
  <c r="CK117" i="25"/>
  <c r="CK118" i="25"/>
  <c r="CK119" i="25"/>
  <c r="CK120" i="25"/>
  <c r="CK121" i="25"/>
  <c r="CK122" i="25"/>
  <c r="CK123" i="25"/>
  <c r="CK124" i="25"/>
  <c r="CK125" i="25"/>
  <c r="CK126" i="25"/>
  <c r="CK127" i="25"/>
  <c r="CK128" i="25"/>
  <c r="CK129" i="25"/>
  <c r="CK130" i="25"/>
  <c r="CK131" i="25"/>
  <c r="CK132" i="25"/>
  <c r="CK133" i="25"/>
  <c r="CK134" i="25"/>
  <c r="CL8" i="25"/>
  <c r="CL9" i="25"/>
  <c r="CL13" i="25"/>
  <c r="CL15" i="25"/>
  <c r="CL16" i="25"/>
  <c r="CL17" i="25"/>
  <c r="CL18" i="25"/>
  <c r="CL20" i="25"/>
  <c r="CL21" i="25"/>
  <c r="CL23" i="25"/>
  <c r="CL25" i="25"/>
  <c r="CL31" i="25"/>
  <c r="CL32" i="25"/>
  <c r="CL34" i="25"/>
  <c r="CL37" i="25"/>
  <c r="CL38" i="25"/>
  <c r="CL219" i="25"/>
  <c r="CL27" i="25"/>
  <c r="CL40" i="25"/>
  <c r="CL88" i="25"/>
  <c r="CL44" i="25"/>
  <c r="CL45" i="25"/>
  <c r="CL46" i="25"/>
  <c r="CL47" i="25"/>
  <c r="CL49" i="25"/>
  <c r="CL50" i="25"/>
  <c r="CL51" i="25"/>
  <c r="CL54" i="25"/>
  <c r="CL55" i="25"/>
  <c r="CL218" i="25"/>
  <c r="CL63" i="25"/>
  <c r="CL64" i="25"/>
  <c r="CL65" i="25"/>
  <c r="CL66" i="25"/>
  <c r="CL68" i="25"/>
  <c r="CL69" i="25"/>
  <c r="CL70" i="25"/>
  <c r="CL142" i="25"/>
  <c r="CL74" i="25"/>
  <c r="CL75" i="25"/>
  <c r="CL77" i="25"/>
  <c r="CL78" i="25"/>
  <c r="CL79" i="25"/>
  <c r="CL82" i="25"/>
  <c r="CL83" i="25"/>
  <c r="CL86" i="25"/>
  <c r="CL87" i="25"/>
  <c r="CL149" i="25"/>
  <c r="CL174" i="25"/>
  <c r="CL201" i="25"/>
  <c r="CL91" i="25"/>
  <c r="CL92" i="25"/>
  <c r="CL93" i="25"/>
  <c r="CL94" i="25"/>
  <c r="CL95" i="25"/>
  <c r="CL96" i="25"/>
  <c r="CL97" i="25"/>
  <c r="CL98" i="25"/>
  <c r="CL99" i="25"/>
  <c r="CL100" i="25"/>
  <c r="CL101" i="25"/>
  <c r="CL102" i="25"/>
  <c r="CL104" i="25"/>
  <c r="CL105" i="25"/>
  <c r="CL106" i="25"/>
  <c r="CL107" i="25"/>
  <c r="CL108" i="25"/>
  <c r="CL109" i="25"/>
  <c r="CL110" i="25"/>
  <c r="CL111" i="25"/>
  <c r="CL112" i="25"/>
  <c r="CL113" i="25"/>
  <c r="CL114" i="25"/>
  <c r="CL115" i="25"/>
  <c r="CL116" i="25"/>
  <c r="CL117" i="25"/>
  <c r="CL118" i="25"/>
  <c r="CL119" i="25"/>
  <c r="CL120" i="25"/>
  <c r="CL121" i="25"/>
  <c r="CL122" i="25"/>
  <c r="CL123" i="25"/>
  <c r="CL124" i="25"/>
  <c r="CL125" i="25"/>
  <c r="CL126" i="25"/>
  <c r="CL127" i="25"/>
  <c r="CL128" i="25"/>
  <c r="CL129" i="25"/>
  <c r="CL130" i="25"/>
  <c r="CL131" i="25"/>
  <c r="CL132" i="25"/>
  <c r="CL133" i="25"/>
  <c r="CL134" i="25"/>
  <c r="CM8" i="25"/>
  <c r="CM9" i="25"/>
  <c r="CM13" i="25"/>
  <c r="CM15" i="25"/>
  <c r="CM16" i="25"/>
  <c r="CM17" i="25"/>
  <c r="CM18" i="25"/>
  <c r="CM20" i="25"/>
  <c r="CM21" i="25"/>
  <c r="CM23" i="25"/>
  <c r="CM25" i="25"/>
  <c r="CM31" i="25"/>
  <c r="CM32" i="25"/>
  <c r="CM34" i="25"/>
  <c r="CM37" i="25"/>
  <c r="CM38" i="25"/>
  <c r="CM219" i="25"/>
  <c r="CM27" i="25"/>
  <c r="CM40" i="25"/>
  <c r="CM88" i="25"/>
  <c r="CM44" i="25"/>
  <c r="CM45" i="25"/>
  <c r="CM46" i="25"/>
  <c r="CM47" i="25"/>
  <c r="CM49" i="25"/>
  <c r="CM50" i="25"/>
  <c r="CM51" i="25"/>
  <c r="CM54" i="25"/>
  <c r="CM55" i="25"/>
  <c r="CM218" i="25"/>
  <c r="CM63" i="25"/>
  <c r="CM64" i="25"/>
  <c r="CM65" i="25"/>
  <c r="CM66" i="25"/>
  <c r="CM68" i="25"/>
  <c r="CM69" i="25"/>
  <c r="CM70" i="25"/>
  <c r="CM142" i="25"/>
  <c r="CM74" i="25"/>
  <c r="CM75" i="25"/>
  <c r="CM77" i="25"/>
  <c r="CM78" i="25"/>
  <c r="CM79" i="25"/>
  <c r="CM82" i="25"/>
  <c r="CM83" i="25"/>
  <c r="CM86" i="25"/>
  <c r="CM87" i="25"/>
  <c r="CM149" i="25"/>
  <c r="CM174" i="25"/>
  <c r="CM201" i="25"/>
  <c r="CM91" i="25"/>
  <c r="CM92" i="25"/>
  <c r="CM93" i="25"/>
  <c r="CM94" i="25"/>
  <c r="CM95" i="25"/>
  <c r="CM96" i="25"/>
  <c r="CM97" i="25"/>
  <c r="CM98" i="25"/>
  <c r="CM99" i="25"/>
  <c r="CM100" i="25"/>
  <c r="CM101" i="25"/>
  <c r="CM102" i="25"/>
  <c r="CM104" i="25"/>
  <c r="CM105" i="25"/>
  <c r="CM106" i="25"/>
  <c r="CM107" i="25"/>
  <c r="CM108" i="25"/>
  <c r="CM109" i="25"/>
  <c r="CM110" i="25"/>
  <c r="CM111" i="25"/>
  <c r="CM112" i="25"/>
  <c r="CM113" i="25"/>
  <c r="CM114" i="25"/>
  <c r="CM115" i="25"/>
  <c r="CM116" i="25"/>
  <c r="CM117" i="25"/>
  <c r="CM118" i="25"/>
  <c r="CM119" i="25"/>
  <c r="CM120" i="25"/>
  <c r="CM121" i="25"/>
  <c r="CM122" i="25"/>
  <c r="CM123" i="25"/>
  <c r="CM124" i="25"/>
  <c r="CM125" i="25"/>
  <c r="CM126" i="25"/>
  <c r="CM127" i="25"/>
  <c r="CM128" i="25"/>
  <c r="CM129" i="25"/>
  <c r="CM130" i="25"/>
  <c r="CM131" i="25"/>
  <c r="CM132" i="25"/>
  <c r="CM133" i="25"/>
  <c r="CM134" i="25"/>
  <c r="CN8" i="25"/>
  <c r="CN9" i="25"/>
  <c r="CN13" i="25"/>
  <c r="CN15" i="25"/>
  <c r="CN16" i="25"/>
  <c r="CN17" i="25"/>
  <c r="CN18" i="25"/>
  <c r="CN20" i="25"/>
  <c r="CN21" i="25"/>
  <c r="CN23" i="25"/>
  <c r="CN25" i="25"/>
  <c r="CN31" i="25"/>
  <c r="CN32" i="25"/>
  <c r="CN34" i="25"/>
  <c r="CN37" i="25"/>
  <c r="CN38" i="25"/>
  <c r="CN219" i="25"/>
  <c r="CN27" i="25"/>
  <c r="CN40" i="25"/>
  <c r="CN88" i="25"/>
  <c r="CN44" i="25"/>
  <c r="CN45" i="25"/>
  <c r="CN46" i="25"/>
  <c r="CN47" i="25"/>
  <c r="CN49" i="25"/>
  <c r="CN50" i="25"/>
  <c r="CN51" i="25"/>
  <c r="CN54" i="25"/>
  <c r="CN55" i="25"/>
  <c r="CN218" i="25"/>
  <c r="CN63" i="25"/>
  <c r="CN64" i="25"/>
  <c r="CN65" i="25"/>
  <c r="CN66" i="25"/>
  <c r="CN68" i="25"/>
  <c r="CN69" i="25"/>
  <c r="CN70" i="25"/>
  <c r="CN142" i="25"/>
  <c r="CN74" i="25"/>
  <c r="CN75" i="25"/>
  <c r="CN77" i="25"/>
  <c r="CN78" i="25"/>
  <c r="CN79" i="25"/>
  <c r="CN82" i="25"/>
  <c r="CN83" i="25"/>
  <c r="CN86" i="25"/>
  <c r="CN87" i="25"/>
  <c r="CN149" i="25"/>
  <c r="CN174" i="25"/>
  <c r="CN201" i="25"/>
  <c r="CN91" i="25"/>
  <c r="CN92" i="25"/>
  <c r="CN93" i="25"/>
  <c r="CN94" i="25"/>
  <c r="CN95" i="25"/>
  <c r="CN96" i="25"/>
  <c r="CN97" i="25"/>
  <c r="CN98" i="25"/>
  <c r="CN99" i="25"/>
  <c r="CN100" i="25"/>
  <c r="CN101" i="25"/>
  <c r="CN102" i="25"/>
  <c r="CN104" i="25"/>
  <c r="CN105" i="25"/>
  <c r="CN106" i="25"/>
  <c r="CN107" i="25"/>
  <c r="CN108" i="25"/>
  <c r="CN109" i="25"/>
  <c r="CN110" i="25"/>
  <c r="CN111" i="25"/>
  <c r="CN112" i="25"/>
  <c r="CN113" i="25"/>
  <c r="CN114" i="25"/>
  <c r="CN115" i="25"/>
  <c r="CN116" i="25"/>
  <c r="CN117" i="25"/>
  <c r="CN118" i="25"/>
  <c r="CN119" i="25"/>
  <c r="CN120" i="25"/>
  <c r="CN121" i="25"/>
  <c r="CN122" i="25"/>
  <c r="CN123" i="25"/>
  <c r="CN124" i="25"/>
  <c r="CN125" i="25"/>
  <c r="CN126" i="25"/>
  <c r="CN127" i="25"/>
  <c r="CN128" i="25"/>
  <c r="CN129" i="25"/>
  <c r="CN130" i="25"/>
  <c r="CN131" i="25"/>
  <c r="CN132" i="25"/>
  <c r="CN133" i="25"/>
  <c r="CN134" i="25"/>
  <c r="CT8" i="25"/>
  <c r="CU8" i="25" s="1"/>
  <c r="CT9" i="25"/>
  <c r="CU9" i="25" s="1"/>
  <c r="CT13" i="25"/>
  <c r="CU13" i="25" s="1"/>
  <c r="CT15" i="25"/>
  <c r="CU15" i="25" s="1"/>
  <c r="CT16" i="25"/>
  <c r="CU16" i="25" s="1"/>
  <c r="CT17" i="25"/>
  <c r="CU17" i="25" s="1"/>
  <c r="CT18" i="25"/>
  <c r="CU18" i="25" s="1"/>
  <c r="CT20" i="25"/>
  <c r="CU20" i="25" s="1"/>
  <c r="CT21" i="25"/>
  <c r="CU21" i="25" s="1"/>
  <c r="CT23" i="25"/>
  <c r="CU23" i="25" s="1"/>
  <c r="CT25" i="25"/>
  <c r="CU25" i="25" s="1"/>
  <c r="CT31" i="25"/>
  <c r="CU31" i="25" s="1"/>
  <c r="CT32" i="25"/>
  <c r="CU32" i="25" s="1"/>
  <c r="CT34" i="25"/>
  <c r="CU34" i="25" s="1"/>
  <c r="CT37" i="25"/>
  <c r="CU37" i="25" s="1"/>
  <c r="CT38" i="25"/>
  <c r="CU38" i="25" s="1"/>
  <c r="CT219" i="25"/>
  <c r="CU219" i="25" s="1"/>
  <c r="CT27" i="25"/>
  <c r="CU27" i="25" s="1"/>
  <c r="CT40" i="25"/>
  <c r="CU40" i="25" s="1"/>
  <c r="CT88" i="25"/>
  <c r="CU88" i="25" s="1"/>
  <c r="CT44" i="25"/>
  <c r="CU44" i="25" s="1"/>
  <c r="CT45" i="25"/>
  <c r="CU45" i="25" s="1"/>
  <c r="CT46" i="25"/>
  <c r="CU46" i="25" s="1"/>
  <c r="CT47" i="25"/>
  <c r="CU47" i="25" s="1"/>
  <c r="CT49" i="25"/>
  <c r="CU49" i="25" s="1"/>
  <c r="CT50" i="25"/>
  <c r="CU50" i="25" s="1"/>
  <c r="CT51" i="25"/>
  <c r="CU51" i="25" s="1"/>
  <c r="CT54" i="25"/>
  <c r="CU54" i="25" s="1"/>
  <c r="CT55" i="25"/>
  <c r="CU55" i="25" s="1"/>
  <c r="CT218" i="25"/>
  <c r="CU218" i="25" s="1"/>
  <c r="CT63" i="25"/>
  <c r="CU63" i="25" s="1"/>
  <c r="CT64" i="25"/>
  <c r="CU64" i="25" s="1"/>
  <c r="CT65" i="25"/>
  <c r="CU65" i="25" s="1"/>
  <c r="CT66" i="25"/>
  <c r="CU66" i="25" s="1"/>
  <c r="CT68" i="25"/>
  <c r="CU68" i="25" s="1"/>
  <c r="CT69" i="25"/>
  <c r="CU69" i="25" s="1"/>
  <c r="CT70" i="25"/>
  <c r="CU70" i="25" s="1"/>
  <c r="CT142" i="25"/>
  <c r="CU142" i="25" s="1"/>
  <c r="CT74" i="25"/>
  <c r="CU74" i="25" s="1"/>
  <c r="CT75" i="25"/>
  <c r="CU75" i="25" s="1"/>
  <c r="CT77" i="25"/>
  <c r="CU77" i="25" s="1"/>
  <c r="CT78" i="25"/>
  <c r="CU78" i="25" s="1"/>
  <c r="CT79" i="25"/>
  <c r="CU79" i="25" s="1"/>
  <c r="CT82" i="25"/>
  <c r="CU82" i="25" s="1"/>
  <c r="CT83" i="25"/>
  <c r="CU83" i="25" s="1"/>
  <c r="CT86" i="25"/>
  <c r="CU86" i="25" s="1"/>
  <c r="CT87" i="25"/>
  <c r="CU87" i="25" s="1"/>
  <c r="CT149" i="25"/>
  <c r="CU149" i="25" s="1"/>
  <c r="CT174" i="25"/>
  <c r="CU174" i="25" s="1"/>
  <c r="CT201" i="25"/>
  <c r="CU201" i="25" s="1"/>
  <c r="CT91" i="25"/>
  <c r="CU91" i="25" s="1"/>
  <c r="CT92" i="25"/>
  <c r="CU92" i="25" s="1"/>
  <c r="CT93" i="25"/>
  <c r="CU93" i="25" s="1"/>
  <c r="CT94" i="25"/>
  <c r="CU94" i="25" s="1"/>
  <c r="CT95" i="25"/>
  <c r="CU95" i="25" s="1"/>
  <c r="CT96" i="25"/>
  <c r="CU96" i="25" s="1"/>
  <c r="CT97" i="25"/>
  <c r="CU97" i="25" s="1"/>
  <c r="CT98" i="25"/>
  <c r="CU98" i="25" s="1"/>
  <c r="CT99" i="25"/>
  <c r="CU99" i="25" s="1"/>
  <c r="CT100" i="25"/>
  <c r="CU100" i="25" s="1"/>
  <c r="CT101" i="25"/>
  <c r="CU101" i="25" s="1"/>
  <c r="CT102" i="25"/>
  <c r="CU102" i="25" s="1"/>
  <c r="CT104" i="25"/>
  <c r="CU104" i="25" s="1"/>
  <c r="CT105" i="25"/>
  <c r="CU105" i="25" s="1"/>
  <c r="CT106" i="25"/>
  <c r="CU106" i="25" s="1"/>
  <c r="CT107" i="25"/>
  <c r="CU107" i="25" s="1"/>
  <c r="CT108" i="25"/>
  <c r="CU108" i="25" s="1"/>
  <c r="CT109" i="25"/>
  <c r="CU109" i="25" s="1"/>
  <c r="CT110" i="25"/>
  <c r="CU110" i="25" s="1"/>
  <c r="CT111" i="25"/>
  <c r="CU111" i="25" s="1"/>
  <c r="CT112" i="25"/>
  <c r="CU112" i="25" s="1"/>
  <c r="CT113" i="25"/>
  <c r="CU113" i="25" s="1"/>
  <c r="CT114" i="25"/>
  <c r="CU114" i="25" s="1"/>
  <c r="CT115" i="25"/>
  <c r="CU115" i="25" s="1"/>
  <c r="CT116" i="25"/>
  <c r="CU116" i="25" s="1"/>
  <c r="CT117" i="25"/>
  <c r="CU117" i="25" s="1"/>
  <c r="CT118" i="25"/>
  <c r="CU118" i="25" s="1"/>
  <c r="CT119" i="25"/>
  <c r="CU119" i="25" s="1"/>
  <c r="CT120" i="25"/>
  <c r="CU120" i="25" s="1"/>
  <c r="CT121" i="25"/>
  <c r="CU121" i="25" s="1"/>
  <c r="CT122" i="25"/>
  <c r="CU122" i="25" s="1"/>
  <c r="CT123" i="25"/>
  <c r="CU123" i="25" s="1"/>
  <c r="CT124" i="25"/>
  <c r="CU124" i="25" s="1"/>
  <c r="CT125" i="25"/>
  <c r="CU125" i="25" s="1"/>
  <c r="CT126" i="25"/>
  <c r="CU126" i="25" s="1"/>
  <c r="CT127" i="25"/>
  <c r="CU127" i="25" s="1"/>
  <c r="CT128" i="25"/>
  <c r="CU128" i="25" s="1"/>
  <c r="CT129" i="25"/>
  <c r="CU129" i="25" s="1"/>
  <c r="CT130" i="25"/>
  <c r="CU130" i="25" s="1"/>
  <c r="CT131" i="25"/>
  <c r="CU131" i="25" s="1"/>
  <c r="CT132" i="25"/>
  <c r="CU132" i="25" s="1"/>
  <c r="CT133" i="25"/>
  <c r="CU133" i="25" s="1"/>
  <c r="CT134" i="25"/>
  <c r="CU134" i="25" s="1"/>
  <c r="DB8" i="25"/>
  <c r="DB9" i="25"/>
  <c r="DB13" i="25"/>
  <c r="DB15" i="25"/>
  <c r="DB16" i="25"/>
  <c r="DB17" i="25"/>
  <c r="DB18" i="25"/>
  <c r="DB20" i="25"/>
  <c r="DB21" i="25"/>
  <c r="DB23" i="25"/>
  <c r="DB25" i="25"/>
  <c r="DB31" i="25"/>
  <c r="DB32" i="25"/>
  <c r="DB34" i="25"/>
  <c r="DB37" i="25"/>
  <c r="DB38" i="25"/>
  <c r="DB219" i="25"/>
  <c r="DB27" i="25"/>
  <c r="DB40" i="25"/>
  <c r="DB88" i="25"/>
  <c r="DB44" i="25"/>
  <c r="DB45" i="25"/>
  <c r="DB46" i="25"/>
  <c r="DB47" i="25"/>
  <c r="DB49" i="25"/>
  <c r="DB50" i="25"/>
  <c r="DB51" i="25"/>
  <c r="DB54" i="25"/>
  <c r="DB55" i="25"/>
  <c r="DB218" i="25"/>
  <c r="DB63" i="25"/>
  <c r="DB64" i="25"/>
  <c r="DB65" i="25"/>
  <c r="DB66" i="25"/>
  <c r="DB68" i="25"/>
  <c r="DB69" i="25"/>
  <c r="DB70" i="25"/>
  <c r="DB142" i="25"/>
  <c r="DB74" i="25"/>
  <c r="DB75" i="25"/>
  <c r="DB77" i="25"/>
  <c r="DB78" i="25"/>
  <c r="DB79" i="25"/>
  <c r="DB82" i="25"/>
  <c r="DB83" i="25"/>
  <c r="DB86" i="25"/>
  <c r="DB87" i="25"/>
  <c r="DB149" i="25"/>
  <c r="DB174" i="25"/>
  <c r="DB201" i="25"/>
  <c r="DB91" i="25"/>
  <c r="DB92" i="25"/>
  <c r="DB93" i="25"/>
  <c r="DB94" i="25"/>
  <c r="DB95" i="25"/>
  <c r="DB96" i="25"/>
  <c r="DB97" i="25"/>
  <c r="DB98" i="25"/>
  <c r="DB99" i="25"/>
  <c r="DB100" i="25"/>
  <c r="DB101" i="25"/>
  <c r="DB102" i="25"/>
  <c r="DB104" i="25"/>
  <c r="DB105" i="25"/>
  <c r="DB106" i="25"/>
  <c r="DB107" i="25"/>
  <c r="DB108" i="25"/>
  <c r="DB109" i="25"/>
  <c r="DB110" i="25"/>
  <c r="DB111" i="25"/>
  <c r="DB112" i="25"/>
  <c r="DB113" i="25"/>
  <c r="DB114" i="25"/>
  <c r="DB115" i="25"/>
  <c r="DB116" i="25"/>
  <c r="DB117" i="25"/>
  <c r="DB118" i="25"/>
  <c r="DB119" i="25"/>
  <c r="DB120" i="25"/>
  <c r="DB121" i="25"/>
  <c r="DB122" i="25"/>
  <c r="DB123" i="25"/>
  <c r="DB124" i="25"/>
  <c r="DB125" i="25"/>
  <c r="DB126" i="25"/>
  <c r="DB127" i="25"/>
  <c r="DB128" i="25"/>
  <c r="DB129" i="25"/>
  <c r="DB130" i="25"/>
  <c r="DB131" i="25"/>
  <c r="DB132" i="25"/>
  <c r="DB133" i="25"/>
  <c r="DB134" i="25"/>
  <c r="DC8" i="25"/>
  <c r="DC9" i="25"/>
  <c r="DC13" i="25"/>
  <c r="DC15" i="25"/>
  <c r="DC16" i="25"/>
  <c r="DC17" i="25"/>
  <c r="DC18" i="25"/>
  <c r="DC20" i="25"/>
  <c r="DC21" i="25"/>
  <c r="DC23" i="25"/>
  <c r="DC25" i="25"/>
  <c r="DC31" i="25"/>
  <c r="DC32" i="25"/>
  <c r="DC34" i="25"/>
  <c r="DC37" i="25"/>
  <c r="DC38" i="25"/>
  <c r="DC219" i="25"/>
  <c r="DC27" i="25"/>
  <c r="DC40" i="25"/>
  <c r="DC88" i="25"/>
  <c r="DC44" i="25"/>
  <c r="DC45" i="25"/>
  <c r="DC46" i="25"/>
  <c r="DC47" i="25"/>
  <c r="DC49" i="25"/>
  <c r="DC50" i="25"/>
  <c r="DC51" i="25"/>
  <c r="DC54" i="25"/>
  <c r="DC55" i="25"/>
  <c r="DC218" i="25"/>
  <c r="DC63" i="25"/>
  <c r="DC64" i="25"/>
  <c r="DC65" i="25"/>
  <c r="DC66" i="25"/>
  <c r="DC68" i="25"/>
  <c r="DC69" i="25"/>
  <c r="DC70" i="25"/>
  <c r="DC142" i="25"/>
  <c r="DC74" i="25"/>
  <c r="DC75" i="25"/>
  <c r="DC77" i="25"/>
  <c r="DC78" i="25"/>
  <c r="DC79" i="25"/>
  <c r="DC82" i="25"/>
  <c r="DC83" i="25"/>
  <c r="DC86" i="25"/>
  <c r="DC87" i="25"/>
  <c r="DC149" i="25"/>
  <c r="DC174" i="25"/>
  <c r="DC201" i="25"/>
  <c r="DC91" i="25"/>
  <c r="DC92" i="25"/>
  <c r="DC93" i="25"/>
  <c r="DC94" i="25"/>
  <c r="DC95" i="25"/>
  <c r="DC96" i="25"/>
  <c r="DC97" i="25"/>
  <c r="DC98" i="25"/>
  <c r="DC99" i="25"/>
  <c r="DC100" i="25"/>
  <c r="DC101" i="25"/>
  <c r="DC102" i="25"/>
  <c r="DC104" i="25"/>
  <c r="DC105" i="25"/>
  <c r="DC106" i="25"/>
  <c r="DC107" i="25"/>
  <c r="DC108" i="25"/>
  <c r="DC109" i="25"/>
  <c r="DC110" i="25"/>
  <c r="DC111" i="25"/>
  <c r="DC112" i="25"/>
  <c r="DC113" i="25"/>
  <c r="DC114" i="25"/>
  <c r="DC115" i="25"/>
  <c r="DC116" i="25"/>
  <c r="DC117" i="25"/>
  <c r="DC118" i="25"/>
  <c r="DC119" i="25"/>
  <c r="DC120" i="25"/>
  <c r="DC121" i="25"/>
  <c r="DC122" i="25"/>
  <c r="DC123" i="25"/>
  <c r="DC124" i="25"/>
  <c r="DC125" i="25"/>
  <c r="DC126" i="25"/>
  <c r="DC127" i="25"/>
  <c r="DC128" i="25"/>
  <c r="DC129" i="25"/>
  <c r="DC130" i="25"/>
  <c r="DC131" i="25"/>
  <c r="DC132" i="25"/>
  <c r="DC133" i="25"/>
  <c r="DC134" i="25"/>
  <c r="DG8" i="25"/>
  <c r="DG9" i="25"/>
  <c r="DG13" i="25"/>
  <c r="DG15" i="25"/>
  <c r="DG16" i="25"/>
  <c r="DG17" i="25"/>
  <c r="DG18" i="25"/>
  <c r="DG20" i="25"/>
  <c r="DG21" i="25"/>
  <c r="DG23" i="25"/>
  <c r="DG25" i="25"/>
  <c r="DG31" i="25"/>
  <c r="DG32" i="25"/>
  <c r="DG34" i="25"/>
  <c r="DG37" i="25"/>
  <c r="DG38" i="25"/>
  <c r="DG219" i="25"/>
  <c r="DG27" i="25"/>
  <c r="DG40" i="25"/>
  <c r="DG88" i="25"/>
  <c r="DG44" i="25"/>
  <c r="DG45" i="25"/>
  <c r="DG46" i="25"/>
  <c r="DG47" i="25"/>
  <c r="DG49" i="25"/>
  <c r="DG50" i="25"/>
  <c r="DG51" i="25"/>
  <c r="DG54" i="25"/>
  <c r="DG55" i="25"/>
  <c r="DG218" i="25"/>
  <c r="DG63" i="25"/>
  <c r="DG64" i="25"/>
  <c r="DG65" i="25"/>
  <c r="DG66" i="25"/>
  <c r="DG68" i="25"/>
  <c r="DG69" i="25"/>
  <c r="DG70" i="25"/>
  <c r="DG142" i="25"/>
  <c r="DG74" i="25"/>
  <c r="DG75" i="25"/>
  <c r="DG77" i="25"/>
  <c r="DG78" i="25"/>
  <c r="DG79" i="25"/>
  <c r="DG82" i="25"/>
  <c r="DG83" i="25"/>
  <c r="DG86" i="25"/>
  <c r="DG87" i="25"/>
  <c r="DG149" i="25"/>
  <c r="DG174" i="25"/>
  <c r="DG201" i="25"/>
  <c r="DG91" i="25"/>
  <c r="DG92" i="25"/>
  <c r="DG93" i="25"/>
  <c r="DG94" i="25"/>
  <c r="DG95" i="25"/>
  <c r="DG96" i="25"/>
  <c r="DG97" i="25"/>
  <c r="DG98" i="25"/>
  <c r="DG99" i="25"/>
  <c r="DG100" i="25"/>
  <c r="DG101" i="25"/>
  <c r="DG102" i="25"/>
  <c r="DG104" i="25"/>
  <c r="DG105" i="25"/>
  <c r="DG106" i="25"/>
  <c r="DG107" i="25"/>
  <c r="DG108" i="25"/>
  <c r="DG109" i="25"/>
  <c r="DG110" i="25"/>
  <c r="DG111" i="25"/>
  <c r="DG112" i="25"/>
  <c r="DG113" i="25"/>
  <c r="DG114" i="25"/>
  <c r="DG115" i="25"/>
  <c r="DG116" i="25"/>
  <c r="DG117" i="25"/>
  <c r="DG118" i="25"/>
  <c r="DG119" i="25"/>
  <c r="DG120" i="25"/>
  <c r="DG121" i="25"/>
  <c r="DG122" i="25"/>
  <c r="DG123" i="25"/>
  <c r="DG124" i="25"/>
  <c r="DG125" i="25"/>
  <c r="DG126" i="25"/>
  <c r="DG127" i="25"/>
  <c r="DG128" i="25"/>
  <c r="DG129" i="25"/>
  <c r="DG130" i="25"/>
  <c r="DG131" i="25"/>
  <c r="DG132" i="25"/>
  <c r="DG133" i="25"/>
  <c r="DG134" i="25"/>
  <c r="DH8" i="25"/>
  <c r="DH9" i="25"/>
  <c r="DH13" i="25"/>
  <c r="DH15" i="25"/>
  <c r="DH16" i="25"/>
  <c r="DH17" i="25"/>
  <c r="DH18" i="25"/>
  <c r="DH20" i="25"/>
  <c r="DH21" i="25"/>
  <c r="DH23" i="25"/>
  <c r="DH25" i="25"/>
  <c r="DH31" i="25"/>
  <c r="DH32" i="25"/>
  <c r="DH34" i="25"/>
  <c r="DH37" i="25"/>
  <c r="DH38" i="25"/>
  <c r="DH219" i="25"/>
  <c r="DH27" i="25"/>
  <c r="DH40" i="25"/>
  <c r="DH88" i="25"/>
  <c r="DH44" i="25"/>
  <c r="DH45" i="25"/>
  <c r="DH46" i="25"/>
  <c r="DH47" i="25"/>
  <c r="DH49" i="25"/>
  <c r="DH50" i="25"/>
  <c r="DH51" i="25"/>
  <c r="DH54" i="25"/>
  <c r="DH55" i="25"/>
  <c r="DH218" i="25"/>
  <c r="DH63" i="25"/>
  <c r="DH64" i="25"/>
  <c r="DH65" i="25"/>
  <c r="DH66" i="25"/>
  <c r="DH68" i="25"/>
  <c r="DH69" i="25"/>
  <c r="DH70" i="25"/>
  <c r="DH142" i="25"/>
  <c r="DH74" i="25"/>
  <c r="DH75" i="25"/>
  <c r="DH77" i="25"/>
  <c r="DH78" i="25"/>
  <c r="DH79" i="25"/>
  <c r="DH82" i="25"/>
  <c r="DH83" i="25"/>
  <c r="DH86" i="25"/>
  <c r="DH87" i="25"/>
  <c r="DH149" i="25"/>
  <c r="DH174" i="25"/>
  <c r="DH201" i="25"/>
  <c r="DH91" i="25"/>
  <c r="DH92" i="25"/>
  <c r="DH93" i="25"/>
  <c r="DH94" i="25"/>
  <c r="DH95" i="25"/>
  <c r="DH96" i="25"/>
  <c r="DH97" i="25"/>
  <c r="DH98" i="25"/>
  <c r="DH99" i="25"/>
  <c r="DH100" i="25"/>
  <c r="DH101" i="25"/>
  <c r="DH102" i="25"/>
  <c r="DH104" i="25"/>
  <c r="DH105" i="25"/>
  <c r="DH106" i="25"/>
  <c r="DH107" i="25"/>
  <c r="DH108" i="25"/>
  <c r="DH109" i="25"/>
  <c r="DH110" i="25"/>
  <c r="DH111" i="25"/>
  <c r="DH112" i="25"/>
  <c r="DH113" i="25"/>
  <c r="DH114" i="25"/>
  <c r="DH115" i="25"/>
  <c r="DH116" i="25"/>
  <c r="DH117" i="25"/>
  <c r="DH118" i="25"/>
  <c r="DH119" i="25"/>
  <c r="DH120" i="25"/>
  <c r="DH121" i="25"/>
  <c r="DH122" i="25"/>
  <c r="DH123" i="25"/>
  <c r="DH124" i="25"/>
  <c r="DH125" i="25"/>
  <c r="DH126" i="25"/>
  <c r="DH127" i="25"/>
  <c r="DH128" i="25"/>
  <c r="DH129" i="25"/>
  <c r="DH130" i="25"/>
  <c r="DH131" i="25"/>
  <c r="DH132" i="25"/>
  <c r="DH133" i="25"/>
  <c r="DH134" i="25"/>
  <c r="DL8" i="25"/>
  <c r="DL9" i="25"/>
  <c r="DL13" i="25"/>
  <c r="DL15" i="25"/>
  <c r="DL16" i="25"/>
  <c r="DL17" i="25"/>
  <c r="DL18" i="25"/>
  <c r="DL20" i="25"/>
  <c r="DL21" i="25"/>
  <c r="DL23" i="25"/>
  <c r="DL25" i="25"/>
  <c r="DL31" i="25"/>
  <c r="DL32" i="25"/>
  <c r="DL34" i="25"/>
  <c r="DL37" i="25"/>
  <c r="DL38" i="25"/>
  <c r="DL219" i="25"/>
  <c r="DL27" i="25"/>
  <c r="DL40" i="25"/>
  <c r="DL88" i="25"/>
  <c r="DL44" i="25"/>
  <c r="DL45" i="25"/>
  <c r="DL46" i="25"/>
  <c r="DL47" i="25"/>
  <c r="DL49" i="25"/>
  <c r="DL50" i="25"/>
  <c r="DL51" i="25"/>
  <c r="DL54" i="25"/>
  <c r="DL55" i="25"/>
  <c r="DL218" i="25"/>
  <c r="DL63" i="25"/>
  <c r="DL64" i="25"/>
  <c r="DL65" i="25"/>
  <c r="DL66" i="25"/>
  <c r="DL68" i="25"/>
  <c r="DL69" i="25"/>
  <c r="DL70" i="25"/>
  <c r="DL142" i="25"/>
  <c r="DL74" i="25"/>
  <c r="DL75" i="25"/>
  <c r="DL77" i="25"/>
  <c r="DL78" i="25"/>
  <c r="DL79" i="25"/>
  <c r="DL82" i="25"/>
  <c r="DL83" i="25"/>
  <c r="DL86" i="25"/>
  <c r="DL87" i="25"/>
  <c r="DL149" i="25"/>
  <c r="DL174" i="25"/>
  <c r="DL201" i="25"/>
  <c r="DL91" i="25"/>
  <c r="DL92" i="25"/>
  <c r="DL93" i="25"/>
  <c r="DL94" i="25"/>
  <c r="DL95" i="25"/>
  <c r="DL96" i="25"/>
  <c r="DL97" i="25"/>
  <c r="DL98" i="25"/>
  <c r="DL99" i="25"/>
  <c r="DL100" i="25"/>
  <c r="DL101" i="25"/>
  <c r="DL102" i="25"/>
  <c r="DL104" i="25"/>
  <c r="DL105" i="25"/>
  <c r="DL106" i="25"/>
  <c r="DL107" i="25"/>
  <c r="DL108" i="25"/>
  <c r="DL109" i="25"/>
  <c r="DL110" i="25"/>
  <c r="DL111" i="25"/>
  <c r="DL112" i="25"/>
  <c r="DL113" i="25"/>
  <c r="DL114" i="25"/>
  <c r="DL115" i="25"/>
  <c r="DL116" i="25"/>
  <c r="DL117" i="25"/>
  <c r="DL118" i="25"/>
  <c r="DL119" i="25"/>
  <c r="DL120" i="25"/>
  <c r="DL121" i="25"/>
  <c r="DL122" i="25"/>
  <c r="DL123" i="25"/>
  <c r="DL124" i="25"/>
  <c r="DL125" i="25"/>
  <c r="DL126" i="25"/>
  <c r="DL127" i="25"/>
  <c r="DL128" i="25"/>
  <c r="DL129" i="25"/>
  <c r="DL130" i="25"/>
  <c r="DL131" i="25"/>
  <c r="DL132" i="25"/>
  <c r="DL133" i="25"/>
  <c r="DL134" i="25"/>
  <c r="DM8" i="25"/>
  <c r="DT8" i="25" s="1"/>
  <c r="DM9" i="25"/>
  <c r="DT9" i="25" s="1"/>
  <c r="DM13" i="25"/>
  <c r="DT13" i="25" s="1"/>
  <c r="DM15" i="25"/>
  <c r="DT15" i="25" s="1"/>
  <c r="DM16" i="25"/>
  <c r="DT16" i="25" s="1"/>
  <c r="DM17" i="25"/>
  <c r="DT17" i="25" s="1"/>
  <c r="DM18" i="25"/>
  <c r="DT18" i="25" s="1"/>
  <c r="DM20" i="25"/>
  <c r="DT20" i="25" s="1"/>
  <c r="DM21" i="25"/>
  <c r="DT21" i="25" s="1"/>
  <c r="DM23" i="25"/>
  <c r="DT23" i="25" s="1"/>
  <c r="DM25" i="25"/>
  <c r="DT25" i="25" s="1"/>
  <c r="DM31" i="25"/>
  <c r="DT31" i="25" s="1"/>
  <c r="DM32" i="25"/>
  <c r="DM34" i="25"/>
  <c r="DT34" i="25" s="1"/>
  <c r="DM37" i="25"/>
  <c r="DT37" i="25" s="1"/>
  <c r="DM38" i="25"/>
  <c r="DT38" i="25" s="1"/>
  <c r="DM219" i="25"/>
  <c r="DT219" i="25" s="1"/>
  <c r="DM27" i="25"/>
  <c r="DM40" i="25"/>
  <c r="DT40" i="25" s="1"/>
  <c r="DM88" i="25"/>
  <c r="DT88" i="25" s="1"/>
  <c r="DM44" i="25"/>
  <c r="DT44" i="25" s="1"/>
  <c r="DM45" i="25"/>
  <c r="DT45" i="25" s="1"/>
  <c r="DM46" i="25"/>
  <c r="DT46" i="25" s="1"/>
  <c r="DM47" i="25"/>
  <c r="DT47" i="25" s="1"/>
  <c r="DM49" i="25"/>
  <c r="DT49" i="25" s="1"/>
  <c r="DM50" i="25"/>
  <c r="DT50" i="25" s="1"/>
  <c r="DM51" i="25"/>
  <c r="DT51" i="25" s="1"/>
  <c r="DM54" i="25"/>
  <c r="DT54" i="25" s="1"/>
  <c r="DM55" i="25"/>
  <c r="DT55" i="25" s="1"/>
  <c r="DM218" i="25"/>
  <c r="DT218" i="25" s="1"/>
  <c r="DM63" i="25"/>
  <c r="DT63" i="25" s="1"/>
  <c r="DM64" i="25"/>
  <c r="DT64" i="25" s="1"/>
  <c r="DM65" i="25"/>
  <c r="DT65" i="25" s="1"/>
  <c r="DM66" i="25"/>
  <c r="DT66" i="25" s="1"/>
  <c r="DM68" i="25"/>
  <c r="DM69" i="25"/>
  <c r="DT69" i="25" s="1"/>
  <c r="DM70" i="25"/>
  <c r="DT70" i="25" s="1"/>
  <c r="DM142" i="25"/>
  <c r="DT142" i="25" s="1"/>
  <c r="DM74" i="25"/>
  <c r="DT74" i="25" s="1"/>
  <c r="DM75" i="25"/>
  <c r="DM77" i="25"/>
  <c r="DT77" i="25" s="1"/>
  <c r="DM78" i="25"/>
  <c r="DM79" i="25"/>
  <c r="DT79" i="25" s="1"/>
  <c r="DM82" i="25"/>
  <c r="DT82" i="25" s="1"/>
  <c r="DM83" i="25"/>
  <c r="DM86" i="25"/>
  <c r="DT86" i="25" s="1"/>
  <c r="DM87" i="25"/>
  <c r="DM149" i="25"/>
  <c r="DT149" i="25" s="1"/>
  <c r="DM174" i="25"/>
  <c r="DM201" i="25"/>
  <c r="DM91" i="25"/>
  <c r="DT91" i="25" s="1"/>
  <c r="DM92" i="25"/>
  <c r="DT92" i="25" s="1"/>
  <c r="DM93" i="25"/>
  <c r="DT93" i="25" s="1"/>
  <c r="DM94" i="25"/>
  <c r="DM95" i="25"/>
  <c r="DT95" i="25" s="1"/>
  <c r="DM96" i="25"/>
  <c r="DM97" i="25"/>
  <c r="DT97" i="25" s="1"/>
  <c r="DM98" i="25"/>
  <c r="DT98" i="25" s="1"/>
  <c r="DM99" i="25"/>
  <c r="DM100" i="25"/>
  <c r="DT100" i="25" s="1"/>
  <c r="DM101" i="25"/>
  <c r="DM102" i="25"/>
  <c r="DT102" i="25" s="1"/>
  <c r="DM104" i="25"/>
  <c r="DM105" i="25"/>
  <c r="DM106" i="25"/>
  <c r="DT106" i="25" s="1"/>
  <c r="DM107" i="25"/>
  <c r="DT107" i="25" s="1"/>
  <c r="DM108" i="25"/>
  <c r="DM109" i="25"/>
  <c r="DT109" i="25" s="1"/>
  <c r="DM110" i="25"/>
  <c r="DM111" i="25"/>
  <c r="DM112" i="25"/>
  <c r="DM113" i="25"/>
  <c r="DT113" i="25" s="1"/>
  <c r="DM114" i="25"/>
  <c r="DM115" i="25"/>
  <c r="DT115" i="25" s="1"/>
  <c r="DM116" i="25"/>
  <c r="DM117" i="25"/>
  <c r="DT117" i="25" s="1"/>
  <c r="DM118" i="25"/>
  <c r="DT118" i="25" s="1"/>
  <c r="DM119" i="25"/>
  <c r="DM120" i="25"/>
  <c r="DT120" i="25" s="1"/>
  <c r="DM121" i="25"/>
  <c r="DT121" i="25" s="1"/>
  <c r="DM122" i="25"/>
  <c r="DT122" i="25" s="1"/>
  <c r="DM123" i="25"/>
  <c r="DM124" i="25"/>
  <c r="DT124" i="25" s="1"/>
  <c r="DM125" i="25"/>
  <c r="DT125" i="25" s="1"/>
  <c r="DM126" i="25"/>
  <c r="DM127" i="25"/>
  <c r="DT127" i="25" s="1"/>
  <c r="DM128" i="25"/>
  <c r="DT128" i="25" s="1"/>
  <c r="DM129" i="25"/>
  <c r="DM130" i="25"/>
  <c r="DT130" i="25" s="1"/>
  <c r="DM131" i="25"/>
  <c r="DM132" i="25"/>
  <c r="DT132" i="25" s="1"/>
  <c r="DM133" i="25"/>
  <c r="DT133" i="25" s="1"/>
  <c r="DM134" i="25"/>
  <c r="DT134" i="25" s="1"/>
  <c r="DN8" i="25"/>
  <c r="DN9" i="25"/>
  <c r="DN13" i="25"/>
  <c r="DN15" i="25"/>
  <c r="DN16" i="25"/>
  <c r="DN17" i="25"/>
  <c r="DN18" i="25"/>
  <c r="DN20" i="25"/>
  <c r="DN21" i="25"/>
  <c r="DN23" i="25"/>
  <c r="DN25" i="25"/>
  <c r="DN31" i="25"/>
  <c r="DN32" i="25"/>
  <c r="DN34" i="25"/>
  <c r="DN37" i="25"/>
  <c r="DN38" i="25"/>
  <c r="DN219" i="25"/>
  <c r="DN27" i="25"/>
  <c r="DN40" i="25"/>
  <c r="DN88" i="25"/>
  <c r="DN44" i="25"/>
  <c r="DN45" i="25"/>
  <c r="DN46" i="25"/>
  <c r="DN47" i="25"/>
  <c r="DN49" i="25"/>
  <c r="DN50" i="25"/>
  <c r="DN51" i="25"/>
  <c r="DN54" i="25"/>
  <c r="DN55" i="25"/>
  <c r="DN218" i="25"/>
  <c r="DN63" i="25"/>
  <c r="DN64" i="25"/>
  <c r="DN65" i="25"/>
  <c r="DN66" i="25"/>
  <c r="DN68" i="25"/>
  <c r="DN69" i="25"/>
  <c r="DN70" i="25"/>
  <c r="DN142" i="25"/>
  <c r="DN74" i="25"/>
  <c r="DN75" i="25"/>
  <c r="DN77" i="25"/>
  <c r="DN78" i="25"/>
  <c r="DN79" i="25"/>
  <c r="DN82" i="25"/>
  <c r="DN83" i="25"/>
  <c r="DN86" i="25"/>
  <c r="DN87" i="25"/>
  <c r="DN149" i="25"/>
  <c r="DN174" i="25"/>
  <c r="DN201" i="25"/>
  <c r="DN91" i="25"/>
  <c r="DN92" i="25"/>
  <c r="DN93" i="25"/>
  <c r="DN94" i="25"/>
  <c r="DN95" i="25"/>
  <c r="DN96" i="25"/>
  <c r="DN97" i="25"/>
  <c r="DN98" i="25"/>
  <c r="DN99" i="25"/>
  <c r="DN100" i="25"/>
  <c r="DN101" i="25"/>
  <c r="DN102" i="25"/>
  <c r="DN104" i="25"/>
  <c r="DN105" i="25"/>
  <c r="DN106" i="25"/>
  <c r="DN107" i="25"/>
  <c r="DN108" i="25"/>
  <c r="DN109" i="25"/>
  <c r="DN110" i="25"/>
  <c r="DN111" i="25"/>
  <c r="DN112" i="25"/>
  <c r="DN113" i="25"/>
  <c r="DN114" i="25"/>
  <c r="DN115" i="25"/>
  <c r="DN116" i="25"/>
  <c r="DN117" i="25"/>
  <c r="DN118" i="25"/>
  <c r="DN119" i="25"/>
  <c r="DN120" i="25"/>
  <c r="DN121" i="25"/>
  <c r="DN122" i="25"/>
  <c r="DN123" i="25"/>
  <c r="DN124" i="25"/>
  <c r="DN125" i="25"/>
  <c r="DN126" i="25"/>
  <c r="DN127" i="25"/>
  <c r="DN128" i="25"/>
  <c r="DN129" i="25"/>
  <c r="DN130" i="25"/>
  <c r="DN131" i="25"/>
  <c r="DN132" i="25"/>
  <c r="DN133" i="25"/>
  <c r="DN134" i="25"/>
  <c r="DO8" i="25"/>
  <c r="DO9" i="25"/>
  <c r="DO13" i="25"/>
  <c r="DO15" i="25"/>
  <c r="DO16" i="25"/>
  <c r="DO17" i="25"/>
  <c r="DO18" i="25"/>
  <c r="DO20" i="25"/>
  <c r="DO21" i="25"/>
  <c r="DO23" i="25"/>
  <c r="DO25" i="25"/>
  <c r="DO31" i="25"/>
  <c r="DO32" i="25"/>
  <c r="DO34" i="25"/>
  <c r="DO37" i="25"/>
  <c r="DO38" i="25"/>
  <c r="DO219" i="25"/>
  <c r="DO27" i="25"/>
  <c r="DO40" i="25"/>
  <c r="DO88" i="25"/>
  <c r="DO44" i="25"/>
  <c r="DO45" i="25"/>
  <c r="DO46" i="25"/>
  <c r="DO47" i="25"/>
  <c r="DO49" i="25"/>
  <c r="DO50" i="25"/>
  <c r="DO51" i="25"/>
  <c r="DO54" i="25"/>
  <c r="DO55" i="25"/>
  <c r="DO218" i="25"/>
  <c r="DO63" i="25"/>
  <c r="DO64" i="25"/>
  <c r="DO65" i="25"/>
  <c r="DO66" i="25"/>
  <c r="DO68" i="25"/>
  <c r="DO69" i="25"/>
  <c r="DO70" i="25"/>
  <c r="DO142" i="25"/>
  <c r="DO74" i="25"/>
  <c r="DO75" i="25"/>
  <c r="DO77" i="25"/>
  <c r="DO78" i="25"/>
  <c r="DO79" i="25"/>
  <c r="DO82" i="25"/>
  <c r="DO83" i="25"/>
  <c r="DO86" i="25"/>
  <c r="DO87" i="25"/>
  <c r="DO149" i="25"/>
  <c r="DO174" i="25"/>
  <c r="DO201" i="25"/>
  <c r="DO91" i="25"/>
  <c r="DO92" i="25"/>
  <c r="DO93" i="25"/>
  <c r="DO94" i="25"/>
  <c r="DO95" i="25"/>
  <c r="DO96" i="25"/>
  <c r="DO97" i="25"/>
  <c r="DO98" i="25"/>
  <c r="DO99" i="25"/>
  <c r="DO100" i="25"/>
  <c r="DO101" i="25"/>
  <c r="DO102" i="25"/>
  <c r="DO104" i="25"/>
  <c r="DO105" i="25"/>
  <c r="DO106" i="25"/>
  <c r="DO107" i="25"/>
  <c r="DO108" i="25"/>
  <c r="DO109" i="25"/>
  <c r="DO110" i="25"/>
  <c r="DO111" i="25"/>
  <c r="DO112" i="25"/>
  <c r="DO113" i="25"/>
  <c r="DO114" i="25"/>
  <c r="DO115" i="25"/>
  <c r="DO116" i="25"/>
  <c r="DO117" i="25"/>
  <c r="DO118" i="25"/>
  <c r="DO119" i="25"/>
  <c r="DO120" i="25"/>
  <c r="DO121" i="25"/>
  <c r="DO122" i="25"/>
  <c r="DO123" i="25"/>
  <c r="DO124" i="25"/>
  <c r="DO125" i="25"/>
  <c r="DO126" i="25"/>
  <c r="DO127" i="25"/>
  <c r="DO128" i="25"/>
  <c r="DO129" i="25"/>
  <c r="DO130" i="25"/>
  <c r="DO131" i="25"/>
  <c r="DO132" i="25"/>
  <c r="DO133" i="25"/>
  <c r="DO134" i="25"/>
  <c r="DV8" i="25"/>
  <c r="DV9" i="25"/>
  <c r="DV13" i="25"/>
  <c r="DV15" i="25"/>
  <c r="DV16" i="25"/>
  <c r="DV17" i="25"/>
  <c r="DV18" i="25"/>
  <c r="DV20" i="25"/>
  <c r="DV21" i="25"/>
  <c r="DV23" i="25"/>
  <c r="DV25" i="25"/>
  <c r="DV31" i="25"/>
  <c r="DV32" i="25"/>
  <c r="DV34" i="25"/>
  <c r="DV37" i="25"/>
  <c r="DV38" i="25"/>
  <c r="DV219" i="25"/>
  <c r="DV27" i="25"/>
  <c r="DV40" i="25"/>
  <c r="DV88" i="25"/>
  <c r="DV44" i="25"/>
  <c r="DV45" i="25"/>
  <c r="DV46" i="25"/>
  <c r="DV47" i="25"/>
  <c r="DV49" i="25"/>
  <c r="DV50" i="25"/>
  <c r="DV51" i="25"/>
  <c r="DV54" i="25"/>
  <c r="DV55" i="25"/>
  <c r="DV218" i="25"/>
  <c r="DV63" i="25"/>
  <c r="DV64" i="25"/>
  <c r="DV65" i="25"/>
  <c r="DV66" i="25"/>
  <c r="DV68" i="25"/>
  <c r="DV69" i="25"/>
  <c r="DV70" i="25"/>
  <c r="DV142" i="25"/>
  <c r="DV74" i="25"/>
  <c r="DV75" i="25"/>
  <c r="DV77" i="25"/>
  <c r="DV78" i="25"/>
  <c r="DV79" i="25"/>
  <c r="DV82" i="25"/>
  <c r="DV83" i="25"/>
  <c r="DV86" i="25"/>
  <c r="DV87" i="25"/>
  <c r="DV149" i="25"/>
  <c r="DV174" i="25"/>
  <c r="DV201" i="25"/>
  <c r="DV91" i="25"/>
  <c r="DV92" i="25"/>
  <c r="DV93" i="25"/>
  <c r="DV94" i="25"/>
  <c r="DV95" i="25"/>
  <c r="DV96" i="25"/>
  <c r="DV97" i="25"/>
  <c r="DV98" i="25"/>
  <c r="DV99" i="25"/>
  <c r="DV100" i="25"/>
  <c r="DV101" i="25"/>
  <c r="DV102" i="25"/>
  <c r="DV104" i="25"/>
  <c r="DV105" i="25"/>
  <c r="DV106" i="25"/>
  <c r="DV107" i="25"/>
  <c r="DV108" i="25"/>
  <c r="DV109" i="25"/>
  <c r="DV110" i="25"/>
  <c r="DV111" i="25"/>
  <c r="DV112" i="25"/>
  <c r="DV113" i="25"/>
  <c r="DV114" i="25"/>
  <c r="DV115" i="25"/>
  <c r="DV116" i="25"/>
  <c r="DV117" i="25"/>
  <c r="DV118" i="25"/>
  <c r="DV119" i="25"/>
  <c r="DV120" i="25"/>
  <c r="DV121" i="25"/>
  <c r="DV122" i="25"/>
  <c r="DV123" i="25"/>
  <c r="DV124" i="25"/>
  <c r="DV125" i="25"/>
  <c r="DV126" i="25"/>
  <c r="DV127" i="25"/>
  <c r="DV128" i="25"/>
  <c r="DV129" i="25"/>
  <c r="DV130" i="25"/>
  <c r="DV131" i="25"/>
  <c r="DV132" i="25"/>
  <c r="DV133" i="25"/>
  <c r="DV134" i="25"/>
  <c r="DW8" i="25"/>
  <c r="DZ8" i="25" s="1"/>
  <c r="DW9" i="25"/>
  <c r="DZ9" i="25" s="1"/>
  <c r="DW13" i="25"/>
  <c r="DZ13" i="25" s="1"/>
  <c r="DW15" i="25"/>
  <c r="DZ15" i="25" s="1"/>
  <c r="DW16" i="25"/>
  <c r="DX16" i="25" s="1"/>
  <c r="DW17" i="25"/>
  <c r="DZ17" i="25" s="1"/>
  <c r="DW18" i="25"/>
  <c r="DX18" i="25" s="1"/>
  <c r="DW20" i="25"/>
  <c r="DZ20" i="25" s="1"/>
  <c r="DW21" i="25"/>
  <c r="DX21" i="25" s="1"/>
  <c r="DW23" i="25"/>
  <c r="DZ23" i="25" s="1"/>
  <c r="DW25" i="25"/>
  <c r="DX25" i="25" s="1"/>
  <c r="DW31" i="25"/>
  <c r="DZ31" i="25" s="1"/>
  <c r="DW32" i="25"/>
  <c r="DZ32" i="25" s="1"/>
  <c r="DW34" i="25"/>
  <c r="DX34" i="25" s="1"/>
  <c r="DW37" i="25"/>
  <c r="DZ37" i="25" s="1"/>
  <c r="DW38" i="25"/>
  <c r="DX38" i="25" s="1"/>
  <c r="DW219" i="25"/>
  <c r="DX219" i="25" s="1"/>
  <c r="DW27" i="25"/>
  <c r="DX27" i="25" s="1"/>
  <c r="DW40" i="25"/>
  <c r="DX40" i="25" s="1"/>
  <c r="DW88" i="25"/>
  <c r="DZ88" i="25" s="1"/>
  <c r="DW44" i="25"/>
  <c r="DZ44" i="25" s="1"/>
  <c r="DW45" i="25"/>
  <c r="DZ45" i="25" s="1"/>
  <c r="DW46" i="25"/>
  <c r="DZ46" i="25" s="1"/>
  <c r="DW47" i="25"/>
  <c r="DW49" i="25"/>
  <c r="DX49" i="25" s="1"/>
  <c r="DW50" i="25"/>
  <c r="DZ50" i="25" s="1"/>
  <c r="DW51" i="25"/>
  <c r="DX51" i="25" s="1"/>
  <c r="DW54" i="25"/>
  <c r="DZ54" i="25" s="1"/>
  <c r="DW55" i="25"/>
  <c r="DX55" i="25" s="1"/>
  <c r="DW218" i="25"/>
  <c r="DX218" i="25" s="1"/>
  <c r="DW63" i="25"/>
  <c r="DX63" i="25" s="1"/>
  <c r="DW64" i="25"/>
  <c r="DX64" i="25" s="1"/>
  <c r="DW65" i="25"/>
  <c r="DX65" i="25" s="1"/>
  <c r="DW66" i="25"/>
  <c r="DX66" i="25" s="1"/>
  <c r="DW68" i="25"/>
  <c r="DX68" i="25" s="1"/>
  <c r="DW69" i="25"/>
  <c r="DX69" i="25" s="1"/>
  <c r="DW70" i="25"/>
  <c r="DX70" i="25" s="1"/>
  <c r="DW142" i="25"/>
  <c r="DX142" i="25" s="1"/>
  <c r="DW74" i="25"/>
  <c r="DZ74" i="25" s="1"/>
  <c r="DW75" i="25"/>
  <c r="DX75" i="25" s="1"/>
  <c r="DW77" i="25"/>
  <c r="DX77" i="25" s="1"/>
  <c r="DW78" i="25"/>
  <c r="DZ78" i="25" s="1"/>
  <c r="DW79" i="25"/>
  <c r="DZ79" i="25" s="1"/>
  <c r="DW82" i="25"/>
  <c r="DX82" i="25" s="1"/>
  <c r="DW83" i="25"/>
  <c r="DX83" i="25" s="1"/>
  <c r="DW86" i="25"/>
  <c r="DX86" i="25" s="1"/>
  <c r="DW87" i="25"/>
  <c r="DX87" i="25" s="1"/>
  <c r="DW149" i="25"/>
  <c r="DX149" i="25" s="1"/>
  <c r="DW174" i="25"/>
  <c r="DX174" i="25" s="1"/>
  <c r="DW201" i="25"/>
  <c r="DX201" i="25" s="1"/>
  <c r="DW91" i="25"/>
  <c r="DX91" i="25" s="1"/>
  <c r="DW92" i="25"/>
  <c r="DX92" i="25" s="1"/>
  <c r="DW93" i="25"/>
  <c r="DZ93" i="25" s="1"/>
  <c r="DW94" i="25"/>
  <c r="DX94" i="25" s="1"/>
  <c r="DW95" i="25"/>
  <c r="DX95" i="25" s="1"/>
  <c r="DW96" i="25"/>
  <c r="DX96" i="25" s="1"/>
  <c r="DW97" i="25"/>
  <c r="DX97" i="25" s="1"/>
  <c r="DW98" i="25"/>
  <c r="DZ98" i="25" s="1"/>
  <c r="DW99" i="25"/>
  <c r="DX99" i="25" s="1"/>
  <c r="DW100" i="25"/>
  <c r="DZ100" i="25" s="1"/>
  <c r="DW101" i="25"/>
  <c r="DX101" i="25" s="1"/>
  <c r="DW102" i="25"/>
  <c r="DX102" i="25" s="1"/>
  <c r="DW104" i="25"/>
  <c r="DZ104" i="25" s="1"/>
  <c r="DW105" i="25"/>
  <c r="DX105" i="25" s="1"/>
  <c r="DW106" i="25"/>
  <c r="DZ106" i="25" s="1"/>
  <c r="DW107" i="25"/>
  <c r="DX107" i="25" s="1"/>
  <c r="DW108" i="25"/>
  <c r="DX108" i="25" s="1"/>
  <c r="DW109" i="25"/>
  <c r="DX109" i="25" s="1"/>
  <c r="DW110" i="25"/>
  <c r="DX110" i="25" s="1"/>
  <c r="DW111" i="25"/>
  <c r="DX111" i="25" s="1"/>
  <c r="DW112" i="25"/>
  <c r="DX112" i="25" s="1"/>
  <c r="DW113" i="25"/>
  <c r="DX113" i="25" s="1"/>
  <c r="DW114" i="25"/>
  <c r="DX114" i="25" s="1"/>
  <c r="DW115" i="25"/>
  <c r="DZ115" i="25" s="1"/>
  <c r="DW116" i="25"/>
  <c r="DZ116" i="25" s="1"/>
  <c r="DW117" i="25"/>
  <c r="DZ117" i="25" s="1"/>
  <c r="DW118" i="25"/>
  <c r="DX118" i="25" s="1"/>
  <c r="DW119" i="25"/>
  <c r="DX119" i="25" s="1"/>
  <c r="DW120" i="25"/>
  <c r="DX120" i="25" s="1"/>
  <c r="DW121" i="25"/>
  <c r="DZ121" i="25" s="1"/>
  <c r="DW122" i="25"/>
  <c r="DZ122" i="25" s="1"/>
  <c r="DW123" i="25"/>
  <c r="DX123" i="25" s="1"/>
  <c r="DW124" i="25"/>
  <c r="DX124" i="25" s="1"/>
  <c r="DW125" i="25"/>
  <c r="DX125" i="25" s="1"/>
  <c r="DW126" i="25"/>
  <c r="DX126" i="25" s="1"/>
  <c r="DW127" i="25"/>
  <c r="DX127" i="25" s="1"/>
  <c r="DW128" i="25"/>
  <c r="DZ128" i="25" s="1"/>
  <c r="DW129" i="25"/>
  <c r="DX129" i="25" s="1"/>
  <c r="DW130" i="25"/>
  <c r="DZ130" i="25" s="1"/>
  <c r="DW131" i="25"/>
  <c r="DZ131" i="25" s="1"/>
  <c r="DW132" i="25"/>
  <c r="DX132" i="25" s="1"/>
  <c r="DW133" i="25"/>
  <c r="DX133" i="25" s="1"/>
  <c r="DW134" i="25"/>
  <c r="DZ134" i="25" s="1"/>
  <c r="DY8" i="25"/>
  <c r="DY9" i="25"/>
  <c r="DY13" i="25"/>
  <c r="DY15" i="25"/>
  <c r="DY16" i="25"/>
  <c r="DY17" i="25"/>
  <c r="DY18" i="25"/>
  <c r="DY20" i="25"/>
  <c r="DY21" i="25"/>
  <c r="DY23" i="25"/>
  <c r="DY25" i="25"/>
  <c r="DY31" i="25"/>
  <c r="DY32" i="25"/>
  <c r="DY34" i="25"/>
  <c r="DY37" i="25"/>
  <c r="DY38" i="25"/>
  <c r="DY219" i="25"/>
  <c r="DY27" i="25"/>
  <c r="DY40" i="25"/>
  <c r="DY88" i="25"/>
  <c r="DY44" i="25"/>
  <c r="DY45" i="25"/>
  <c r="DY46" i="25"/>
  <c r="DY47" i="25"/>
  <c r="DY49" i="25"/>
  <c r="DY50" i="25"/>
  <c r="DY51" i="25"/>
  <c r="DY54" i="25"/>
  <c r="DY55" i="25"/>
  <c r="DY218" i="25"/>
  <c r="DY63" i="25"/>
  <c r="DY64" i="25"/>
  <c r="DY65" i="25"/>
  <c r="DY66" i="25"/>
  <c r="DY68" i="25"/>
  <c r="DY69" i="25"/>
  <c r="DY70" i="25"/>
  <c r="DY142" i="25"/>
  <c r="DY74" i="25"/>
  <c r="DY75" i="25"/>
  <c r="DY77" i="25"/>
  <c r="DY78" i="25"/>
  <c r="DY79" i="25"/>
  <c r="DY82" i="25"/>
  <c r="DY83" i="25"/>
  <c r="DY86" i="25"/>
  <c r="DY87" i="25"/>
  <c r="DY149" i="25"/>
  <c r="DY174" i="25"/>
  <c r="DY201" i="25"/>
  <c r="DY91" i="25"/>
  <c r="DY92" i="25"/>
  <c r="DY93" i="25"/>
  <c r="DY94" i="25"/>
  <c r="DY95" i="25"/>
  <c r="DY96" i="25"/>
  <c r="DY97" i="25"/>
  <c r="DY98" i="25"/>
  <c r="DY99" i="25"/>
  <c r="DY100" i="25"/>
  <c r="DY101" i="25"/>
  <c r="DY102" i="25"/>
  <c r="DY104" i="25"/>
  <c r="DY105" i="25"/>
  <c r="DY106" i="25"/>
  <c r="DY107" i="25"/>
  <c r="DY108" i="25"/>
  <c r="DY109" i="25"/>
  <c r="DY110" i="25"/>
  <c r="DY111" i="25"/>
  <c r="DY112" i="25"/>
  <c r="DY113" i="25"/>
  <c r="DY114" i="25"/>
  <c r="DY115" i="25"/>
  <c r="DY116" i="25"/>
  <c r="DY117" i="25"/>
  <c r="DY118" i="25"/>
  <c r="DY119" i="25"/>
  <c r="DY120" i="25"/>
  <c r="DY121" i="25"/>
  <c r="DY122" i="25"/>
  <c r="DY123" i="25"/>
  <c r="DY124" i="25"/>
  <c r="DY125" i="25"/>
  <c r="DY126" i="25"/>
  <c r="DY127" i="25"/>
  <c r="DY128" i="25"/>
  <c r="DY129" i="25"/>
  <c r="DY130" i="25"/>
  <c r="DY131" i="25"/>
  <c r="DY132" i="25"/>
  <c r="DY133" i="25"/>
  <c r="DY134" i="25"/>
  <c r="EA8" i="25"/>
  <c r="EA9" i="25"/>
  <c r="EA13" i="25"/>
  <c r="EA15" i="25"/>
  <c r="EA16" i="25"/>
  <c r="EA17" i="25"/>
  <c r="EA18" i="25"/>
  <c r="EA20" i="25"/>
  <c r="EA21" i="25"/>
  <c r="EA23" i="25"/>
  <c r="EA25" i="25"/>
  <c r="EA31" i="25"/>
  <c r="EA32" i="25"/>
  <c r="EA34" i="25"/>
  <c r="EA37" i="25"/>
  <c r="EA38" i="25"/>
  <c r="EA219" i="25"/>
  <c r="EA27" i="25"/>
  <c r="EA40" i="25"/>
  <c r="EA88" i="25"/>
  <c r="EA44" i="25"/>
  <c r="EA45" i="25"/>
  <c r="EA46" i="25"/>
  <c r="EA47" i="25"/>
  <c r="EA49" i="25"/>
  <c r="EA50" i="25"/>
  <c r="EA51" i="25"/>
  <c r="EA54" i="25"/>
  <c r="EA55" i="25"/>
  <c r="EA218" i="25"/>
  <c r="EA63" i="25"/>
  <c r="EA64" i="25"/>
  <c r="EA65" i="25"/>
  <c r="EA66" i="25"/>
  <c r="EA68" i="25"/>
  <c r="EA69" i="25"/>
  <c r="EA70" i="25"/>
  <c r="EA142" i="25"/>
  <c r="EA74" i="25"/>
  <c r="EA75" i="25"/>
  <c r="EA77" i="25"/>
  <c r="EA78" i="25"/>
  <c r="EA79" i="25"/>
  <c r="EA82" i="25"/>
  <c r="EA83" i="25"/>
  <c r="EA86" i="25"/>
  <c r="EA87" i="25"/>
  <c r="EA149" i="25"/>
  <c r="EA174" i="25"/>
  <c r="EA201" i="25"/>
  <c r="EA91" i="25"/>
  <c r="EA92" i="25"/>
  <c r="EA93" i="25"/>
  <c r="EA94" i="25"/>
  <c r="EA95" i="25"/>
  <c r="EA96" i="25"/>
  <c r="EA97" i="25"/>
  <c r="EA98" i="25"/>
  <c r="EA99" i="25"/>
  <c r="EA100" i="25"/>
  <c r="EA101" i="25"/>
  <c r="EA102" i="25"/>
  <c r="EA104" i="25"/>
  <c r="EA105" i="25"/>
  <c r="EA106" i="25"/>
  <c r="EA107" i="25"/>
  <c r="EA108" i="25"/>
  <c r="EA109" i="25"/>
  <c r="EA110" i="25"/>
  <c r="EA111" i="25"/>
  <c r="EA112" i="25"/>
  <c r="EA113" i="25"/>
  <c r="EA114" i="25"/>
  <c r="EA115" i="25"/>
  <c r="EA116" i="25"/>
  <c r="EA117" i="25"/>
  <c r="EA118" i="25"/>
  <c r="EA119" i="25"/>
  <c r="EA120" i="25"/>
  <c r="EA121" i="25"/>
  <c r="EA122" i="25"/>
  <c r="EA123" i="25"/>
  <c r="EA124" i="25"/>
  <c r="EA125" i="25"/>
  <c r="EA126" i="25"/>
  <c r="EA127" i="25"/>
  <c r="EA128" i="25"/>
  <c r="EA129" i="25"/>
  <c r="EA130" i="25"/>
  <c r="EA131" i="25"/>
  <c r="EA132" i="25"/>
  <c r="EA133" i="25"/>
  <c r="EA134" i="25"/>
  <c r="EB8" i="25"/>
  <c r="EB9" i="25"/>
  <c r="EB13" i="25"/>
  <c r="EB15" i="25"/>
  <c r="EB16" i="25"/>
  <c r="EB17" i="25"/>
  <c r="EB18" i="25"/>
  <c r="EB20" i="25"/>
  <c r="EB21" i="25"/>
  <c r="EB23" i="25"/>
  <c r="EB25" i="25"/>
  <c r="EB31" i="25"/>
  <c r="EB32" i="25"/>
  <c r="EB34" i="25"/>
  <c r="EB37" i="25"/>
  <c r="EB38" i="25"/>
  <c r="EB219" i="25"/>
  <c r="EB27" i="25"/>
  <c r="EB40" i="25"/>
  <c r="EB88" i="25"/>
  <c r="EB44" i="25"/>
  <c r="EB45" i="25"/>
  <c r="EB46" i="25"/>
  <c r="EB47" i="25"/>
  <c r="EB49" i="25"/>
  <c r="EB50" i="25"/>
  <c r="EB51" i="25"/>
  <c r="EB54" i="25"/>
  <c r="EB55" i="25"/>
  <c r="EB218" i="25"/>
  <c r="EB63" i="25"/>
  <c r="EB64" i="25"/>
  <c r="EB65" i="25"/>
  <c r="EB66" i="25"/>
  <c r="EB68" i="25"/>
  <c r="EB69" i="25"/>
  <c r="EB70" i="25"/>
  <c r="EB142" i="25"/>
  <c r="EB74" i="25"/>
  <c r="EB75" i="25"/>
  <c r="EB77" i="25"/>
  <c r="EB78" i="25"/>
  <c r="EB79" i="25"/>
  <c r="EB82" i="25"/>
  <c r="EB83" i="25"/>
  <c r="EB86" i="25"/>
  <c r="EB87" i="25"/>
  <c r="EB149" i="25"/>
  <c r="EB174" i="25"/>
  <c r="EB201" i="25"/>
  <c r="EB91" i="25"/>
  <c r="EB92" i="25"/>
  <c r="EB93" i="25"/>
  <c r="EB94" i="25"/>
  <c r="EB95" i="25"/>
  <c r="EB96" i="25"/>
  <c r="EB97" i="25"/>
  <c r="EB98" i="25"/>
  <c r="EB99" i="25"/>
  <c r="EB100" i="25"/>
  <c r="EB101" i="25"/>
  <c r="EB102" i="25"/>
  <c r="EB104" i="25"/>
  <c r="EB105" i="25"/>
  <c r="EB106" i="25"/>
  <c r="EB107" i="25"/>
  <c r="EB108" i="25"/>
  <c r="EB109" i="25"/>
  <c r="EB110" i="25"/>
  <c r="EB111" i="25"/>
  <c r="EB112" i="25"/>
  <c r="EB113" i="25"/>
  <c r="EB114" i="25"/>
  <c r="EB115" i="25"/>
  <c r="EB116" i="25"/>
  <c r="EB117" i="25"/>
  <c r="EB118" i="25"/>
  <c r="EB119" i="25"/>
  <c r="EB120" i="25"/>
  <c r="EB121" i="25"/>
  <c r="EB122" i="25"/>
  <c r="EB123" i="25"/>
  <c r="EB124" i="25"/>
  <c r="EB125" i="25"/>
  <c r="EB126" i="25"/>
  <c r="EB127" i="25"/>
  <c r="EB128" i="25"/>
  <c r="EB129" i="25"/>
  <c r="EB130" i="25"/>
  <c r="EB131" i="25"/>
  <c r="EB132" i="25"/>
  <c r="EB133" i="25"/>
  <c r="EB134" i="25"/>
  <c r="EI8" i="25"/>
  <c r="EI9" i="25"/>
  <c r="EI13" i="25"/>
  <c r="EI15" i="25"/>
  <c r="EI16" i="25"/>
  <c r="EI17" i="25"/>
  <c r="EI18" i="25"/>
  <c r="EI20" i="25"/>
  <c r="EI21" i="25"/>
  <c r="EI23" i="25"/>
  <c r="EI25" i="25"/>
  <c r="EI31" i="25"/>
  <c r="EI32" i="25"/>
  <c r="EI34" i="25"/>
  <c r="EI37" i="25"/>
  <c r="EI38" i="25"/>
  <c r="EI219" i="25"/>
  <c r="EI27" i="25"/>
  <c r="EI40" i="25"/>
  <c r="EI88" i="25"/>
  <c r="EI44" i="25"/>
  <c r="EI45" i="25"/>
  <c r="EI46" i="25"/>
  <c r="EI47" i="25"/>
  <c r="EI49" i="25"/>
  <c r="EI50" i="25"/>
  <c r="EI51" i="25"/>
  <c r="EI54" i="25"/>
  <c r="EI55" i="25"/>
  <c r="EI218" i="25"/>
  <c r="EI63" i="25"/>
  <c r="EI64" i="25"/>
  <c r="EI65" i="25"/>
  <c r="EI66" i="25"/>
  <c r="EI68" i="25"/>
  <c r="EI69" i="25"/>
  <c r="EI70" i="25"/>
  <c r="EI142" i="25"/>
  <c r="EI74" i="25"/>
  <c r="EI75" i="25"/>
  <c r="EI77" i="25"/>
  <c r="EI78" i="25"/>
  <c r="EI79" i="25"/>
  <c r="EI82" i="25"/>
  <c r="EI83" i="25"/>
  <c r="EI86" i="25"/>
  <c r="EI87" i="25"/>
  <c r="EI149" i="25"/>
  <c r="EI174" i="25"/>
  <c r="EI201" i="25"/>
  <c r="EI91" i="25"/>
  <c r="EI92" i="25"/>
  <c r="EI93" i="25"/>
  <c r="EI94" i="25"/>
  <c r="EI95" i="25"/>
  <c r="EI96" i="25"/>
  <c r="EI97" i="25"/>
  <c r="EI98" i="25"/>
  <c r="EI99" i="25"/>
  <c r="EI100" i="25"/>
  <c r="EI101" i="25"/>
  <c r="EI102" i="25"/>
  <c r="EI104" i="25"/>
  <c r="EI105" i="25"/>
  <c r="EI106" i="25"/>
  <c r="EI107" i="25"/>
  <c r="EI108" i="25"/>
  <c r="EI109" i="25"/>
  <c r="EI110" i="25"/>
  <c r="EI111" i="25"/>
  <c r="EI112" i="25"/>
  <c r="EI113" i="25"/>
  <c r="EI114" i="25"/>
  <c r="EI115" i="25"/>
  <c r="EI116" i="25"/>
  <c r="EI117" i="25"/>
  <c r="EI118" i="25"/>
  <c r="EI119" i="25"/>
  <c r="EI120" i="25"/>
  <c r="EI121" i="25"/>
  <c r="EI122" i="25"/>
  <c r="EI123" i="25"/>
  <c r="EI124" i="25"/>
  <c r="EI125" i="25"/>
  <c r="EI126" i="25"/>
  <c r="EI127" i="25"/>
  <c r="EI128" i="25"/>
  <c r="EI129" i="25"/>
  <c r="EI130" i="25"/>
  <c r="EI131" i="25"/>
  <c r="EI132" i="25"/>
  <c r="EI133" i="25"/>
  <c r="EI134" i="25"/>
  <c r="EJ8" i="25"/>
  <c r="EJ9" i="25"/>
  <c r="EJ13" i="25"/>
  <c r="EJ15" i="25"/>
  <c r="EJ16" i="25"/>
  <c r="EJ17" i="25"/>
  <c r="EJ18" i="25"/>
  <c r="EJ20" i="25"/>
  <c r="EJ21" i="25"/>
  <c r="EJ23" i="25"/>
  <c r="EJ25" i="25"/>
  <c r="EJ31" i="25"/>
  <c r="EJ32" i="25"/>
  <c r="EJ34" i="25"/>
  <c r="EJ37" i="25"/>
  <c r="EJ38" i="25"/>
  <c r="EJ219" i="25"/>
  <c r="EJ27" i="25"/>
  <c r="EJ40" i="25"/>
  <c r="EJ88" i="25"/>
  <c r="EJ44" i="25"/>
  <c r="EJ45" i="25"/>
  <c r="EJ46" i="25"/>
  <c r="EJ47" i="25"/>
  <c r="EJ49" i="25"/>
  <c r="EJ50" i="25"/>
  <c r="EJ51" i="25"/>
  <c r="EJ54" i="25"/>
  <c r="EJ55" i="25"/>
  <c r="EJ218" i="25"/>
  <c r="EJ63" i="25"/>
  <c r="EJ64" i="25"/>
  <c r="EJ65" i="25"/>
  <c r="EJ66" i="25"/>
  <c r="EJ68" i="25"/>
  <c r="EJ69" i="25"/>
  <c r="EJ70" i="25"/>
  <c r="EJ142" i="25"/>
  <c r="EJ74" i="25"/>
  <c r="EJ75" i="25"/>
  <c r="EJ77" i="25"/>
  <c r="EJ78" i="25"/>
  <c r="EJ79" i="25"/>
  <c r="EJ82" i="25"/>
  <c r="EJ83" i="25"/>
  <c r="EJ86" i="25"/>
  <c r="EJ87" i="25"/>
  <c r="EJ149" i="25"/>
  <c r="EJ174" i="25"/>
  <c r="EJ201" i="25"/>
  <c r="EJ91" i="25"/>
  <c r="EJ92" i="25"/>
  <c r="EJ93" i="25"/>
  <c r="EJ94" i="25"/>
  <c r="EJ95" i="25"/>
  <c r="EJ96" i="25"/>
  <c r="EJ97" i="25"/>
  <c r="EJ98" i="25"/>
  <c r="EJ99" i="25"/>
  <c r="EJ100" i="25"/>
  <c r="EJ101" i="25"/>
  <c r="EJ102" i="25"/>
  <c r="EJ104" i="25"/>
  <c r="EJ105" i="25"/>
  <c r="EJ106" i="25"/>
  <c r="EJ107" i="25"/>
  <c r="EJ108" i="25"/>
  <c r="EJ109" i="25"/>
  <c r="EJ110" i="25"/>
  <c r="EJ111" i="25"/>
  <c r="EJ112" i="25"/>
  <c r="EJ113" i="25"/>
  <c r="EJ114" i="25"/>
  <c r="EJ115" i="25"/>
  <c r="EJ116" i="25"/>
  <c r="EJ117" i="25"/>
  <c r="EJ118" i="25"/>
  <c r="EJ119" i="25"/>
  <c r="EJ120" i="25"/>
  <c r="EJ121" i="25"/>
  <c r="EJ122" i="25"/>
  <c r="EJ123" i="25"/>
  <c r="EJ124" i="25"/>
  <c r="EJ125" i="25"/>
  <c r="EJ126" i="25"/>
  <c r="EJ127" i="25"/>
  <c r="EJ128" i="25"/>
  <c r="EJ129" i="25"/>
  <c r="EJ130" i="25"/>
  <c r="EJ131" i="25"/>
  <c r="EJ132" i="25"/>
  <c r="EJ133" i="25"/>
  <c r="EJ134" i="25"/>
  <c r="EK8" i="25"/>
  <c r="EK9" i="25"/>
  <c r="EK13" i="25"/>
  <c r="EK15" i="25"/>
  <c r="EK16" i="25"/>
  <c r="EK17" i="25"/>
  <c r="EK18" i="25"/>
  <c r="EK20" i="25"/>
  <c r="EK21" i="25"/>
  <c r="EK23" i="25"/>
  <c r="EK25" i="25"/>
  <c r="EK31" i="25"/>
  <c r="EK32" i="25"/>
  <c r="EK34" i="25"/>
  <c r="EK37" i="25"/>
  <c r="EK38" i="25"/>
  <c r="EK219" i="25"/>
  <c r="EK27" i="25"/>
  <c r="EK40" i="25"/>
  <c r="EK88" i="25"/>
  <c r="EK44" i="25"/>
  <c r="EK45" i="25"/>
  <c r="EK46" i="25"/>
  <c r="EK47" i="25"/>
  <c r="EK49" i="25"/>
  <c r="EK50" i="25"/>
  <c r="EK51" i="25"/>
  <c r="EK54" i="25"/>
  <c r="EK55" i="25"/>
  <c r="EK218" i="25"/>
  <c r="EK63" i="25"/>
  <c r="EK64" i="25"/>
  <c r="EK65" i="25"/>
  <c r="EK66" i="25"/>
  <c r="EK68" i="25"/>
  <c r="EK69" i="25"/>
  <c r="EK70" i="25"/>
  <c r="EK142" i="25"/>
  <c r="EK74" i="25"/>
  <c r="EK75" i="25"/>
  <c r="EK77" i="25"/>
  <c r="EK78" i="25"/>
  <c r="EK79" i="25"/>
  <c r="EK82" i="25"/>
  <c r="EK83" i="25"/>
  <c r="EK86" i="25"/>
  <c r="EK87" i="25"/>
  <c r="EK149" i="25"/>
  <c r="EK174" i="25"/>
  <c r="EK201" i="25"/>
  <c r="EK91" i="25"/>
  <c r="EK92" i="25"/>
  <c r="EK93" i="25"/>
  <c r="EK94" i="25"/>
  <c r="EK95" i="25"/>
  <c r="EK96" i="25"/>
  <c r="EK97" i="25"/>
  <c r="EK98" i="25"/>
  <c r="EK99" i="25"/>
  <c r="EK100" i="25"/>
  <c r="EK101" i="25"/>
  <c r="EK102" i="25"/>
  <c r="EK104" i="25"/>
  <c r="EK105" i="25"/>
  <c r="EK106" i="25"/>
  <c r="EK107" i="25"/>
  <c r="EK108" i="25"/>
  <c r="EK109" i="25"/>
  <c r="EK110" i="25"/>
  <c r="EK111" i="25"/>
  <c r="EK112" i="25"/>
  <c r="EK113" i="25"/>
  <c r="EK114" i="25"/>
  <c r="EK115" i="25"/>
  <c r="EK116" i="25"/>
  <c r="EK117" i="25"/>
  <c r="EK118" i="25"/>
  <c r="EK119" i="25"/>
  <c r="EK120" i="25"/>
  <c r="EK121" i="25"/>
  <c r="EK122" i="25"/>
  <c r="EK123" i="25"/>
  <c r="EK124" i="25"/>
  <c r="EK125" i="25"/>
  <c r="EK126" i="25"/>
  <c r="EK127" i="25"/>
  <c r="EK128" i="25"/>
  <c r="EK129" i="25"/>
  <c r="EK130" i="25"/>
  <c r="EK131" i="25"/>
  <c r="EK132" i="25"/>
  <c r="EK133" i="25"/>
  <c r="EK134" i="25"/>
  <c r="EL8" i="25"/>
  <c r="EL9" i="25"/>
  <c r="EL13" i="25"/>
  <c r="EL15" i="25"/>
  <c r="EL16" i="25"/>
  <c r="EL17" i="25"/>
  <c r="EL18" i="25"/>
  <c r="EL20" i="25"/>
  <c r="EL21" i="25"/>
  <c r="EL23" i="25"/>
  <c r="EL25" i="25"/>
  <c r="EL31" i="25"/>
  <c r="EL32" i="25"/>
  <c r="EL34" i="25"/>
  <c r="EL37" i="25"/>
  <c r="EL38" i="25"/>
  <c r="EL219" i="25"/>
  <c r="EL27" i="25"/>
  <c r="EL40" i="25"/>
  <c r="EL88" i="25"/>
  <c r="EL44" i="25"/>
  <c r="EL45" i="25"/>
  <c r="EL46" i="25"/>
  <c r="EL47" i="25"/>
  <c r="EL49" i="25"/>
  <c r="EL50" i="25"/>
  <c r="EL51" i="25"/>
  <c r="EL54" i="25"/>
  <c r="EL55" i="25"/>
  <c r="EL218" i="25"/>
  <c r="EL63" i="25"/>
  <c r="EL64" i="25"/>
  <c r="EL65" i="25"/>
  <c r="EL66" i="25"/>
  <c r="EL68" i="25"/>
  <c r="EL69" i="25"/>
  <c r="EL70" i="25"/>
  <c r="EL142" i="25"/>
  <c r="EL74" i="25"/>
  <c r="EL75" i="25"/>
  <c r="EL77" i="25"/>
  <c r="EL78" i="25"/>
  <c r="EL79" i="25"/>
  <c r="EL82" i="25"/>
  <c r="EL83" i="25"/>
  <c r="EL86" i="25"/>
  <c r="EL87" i="25"/>
  <c r="EL149" i="25"/>
  <c r="EL174" i="25"/>
  <c r="EL201" i="25"/>
  <c r="EL91" i="25"/>
  <c r="EL92" i="25"/>
  <c r="EL93" i="25"/>
  <c r="EL94" i="25"/>
  <c r="EL95" i="25"/>
  <c r="EL96" i="25"/>
  <c r="EL97" i="25"/>
  <c r="EL98" i="25"/>
  <c r="EL99" i="25"/>
  <c r="EL100" i="25"/>
  <c r="EL101" i="25"/>
  <c r="EL102" i="25"/>
  <c r="EL104" i="25"/>
  <c r="EL105" i="25"/>
  <c r="EL106" i="25"/>
  <c r="EL107" i="25"/>
  <c r="EL108" i="25"/>
  <c r="EL109" i="25"/>
  <c r="EL110" i="25"/>
  <c r="EL111" i="25"/>
  <c r="EL112" i="25"/>
  <c r="EL113" i="25"/>
  <c r="EL114" i="25"/>
  <c r="EL115" i="25"/>
  <c r="EL116" i="25"/>
  <c r="EL117" i="25"/>
  <c r="EL118" i="25"/>
  <c r="EL119" i="25"/>
  <c r="EL120" i="25"/>
  <c r="EL121" i="25"/>
  <c r="EL122" i="25"/>
  <c r="EL123" i="25"/>
  <c r="EL124" i="25"/>
  <c r="EL125" i="25"/>
  <c r="EL126" i="25"/>
  <c r="EL127" i="25"/>
  <c r="EL128" i="25"/>
  <c r="EL129" i="25"/>
  <c r="EL130" i="25"/>
  <c r="EL131" i="25"/>
  <c r="EL132" i="25"/>
  <c r="EL133" i="25"/>
  <c r="EL134" i="25"/>
  <c r="EM8" i="25"/>
  <c r="DU8" i="25" s="1"/>
  <c r="EM9" i="25"/>
  <c r="DU9" i="25" s="1"/>
  <c r="EM13" i="25"/>
  <c r="DU13" i="25" s="1"/>
  <c r="EM15" i="25"/>
  <c r="DU15" i="25" s="1"/>
  <c r="EM16" i="25"/>
  <c r="DU16" i="25" s="1"/>
  <c r="EM17" i="25"/>
  <c r="DU17" i="25" s="1"/>
  <c r="EM18" i="25"/>
  <c r="DU18" i="25" s="1"/>
  <c r="EM20" i="25"/>
  <c r="DU20" i="25" s="1"/>
  <c r="EM21" i="25"/>
  <c r="DU21" i="25" s="1"/>
  <c r="EM23" i="25"/>
  <c r="DU23" i="25" s="1"/>
  <c r="EM25" i="25"/>
  <c r="DU25" i="25" s="1"/>
  <c r="EM31" i="25"/>
  <c r="DU31" i="25" s="1"/>
  <c r="EM32" i="25"/>
  <c r="DU32" i="25" s="1"/>
  <c r="EM34" i="25"/>
  <c r="DU34" i="25" s="1"/>
  <c r="EM37" i="25"/>
  <c r="DU37" i="25" s="1"/>
  <c r="EM38" i="25"/>
  <c r="DU38" i="25" s="1"/>
  <c r="EM219" i="25"/>
  <c r="DU219" i="25" s="1"/>
  <c r="EM27" i="25"/>
  <c r="DU27" i="25" s="1"/>
  <c r="EM40" i="25"/>
  <c r="DU40" i="25" s="1"/>
  <c r="EM88" i="25"/>
  <c r="DU88" i="25" s="1"/>
  <c r="EM44" i="25"/>
  <c r="DU44" i="25" s="1"/>
  <c r="EM45" i="25"/>
  <c r="DU45" i="25" s="1"/>
  <c r="EM46" i="25"/>
  <c r="DU46" i="25" s="1"/>
  <c r="EM47" i="25"/>
  <c r="DU47" i="25" s="1"/>
  <c r="EM49" i="25"/>
  <c r="DU49" i="25" s="1"/>
  <c r="EM50" i="25"/>
  <c r="DU50" i="25" s="1"/>
  <c r="EM51" i="25"/>
  <c r="DU51" i="25" s="1"/>
  <c r="EM54" i="25"/>
  <c r="DU54" i="25" s="1"/>
  <c r="EM55" i="25"/>
  <c r="DU55" i="25" s="1"/>
  <c r="EM218" i="25"/>
  <c r="DU218" i="25" s="1"/>
  <c r="EM63" i="25"/>
  <c r="DU63" i="25" s="1"/>
  <c r="EM64" i="25"/>
  <c r="DU64" i="25" s="1"/>
  <c r="EM65" i="25"/>
  <c r="DU65" i="25" s="1"/>
  <c r="EM66" i="25"/>
  <c r="DU66" i="25" s="1"/>
  <c r="EM68" i="25"/>
  <c r="DU68" i="25" s="1"/>
  <c r="EM69" i="25"/>
  <c r="DU69" i="25" s="1"/>
  <c r="EM70" i="25"/>
  <c r="DU70" i="25" s="1"/>
  <c r="EM142" i="25"/>
  <c r="DU142" i="25" s="1"/>
  <c r="EM74" i="25"/>
  <c r="DU74" i="25" s="1"/>
  <c r="EM75" i="25"/>
  <c r="DU75" i="25" s="1"/>
  <c r="EM77" i="25"/>
  <c r="DU77" i="25" s="1"/>
  <c r="EM78" i="25"/>
  <c r="DU78" i="25" s="1"/>
  <c r="EM79" i="25"/>
  <c r="DU79" i="25" s="1"/>
  <c r="EM82" i="25"/>
  <c r="DU82" i="25" s="1"/>
  <c r="EM83" i="25"/>
  <c r="DU83" i="25" s="1"/>
  <c r="EM86" i="25"/>
  <c r="DU86" i="25" s="1"/>
  <c r="EM87" i="25"/>
  <c r="DU87" i="25" s="1"/>
  <c r="EM149" i="25"/>
  <c r="DU149" i="25" s="1"/>
  <c r="EM174" i="25"/>
  <c r="DU174" i="25" s="1"/>
  <c r="EM201" i="25"/>
  <c r="DU201" i="25" s="1"/>
  <c r="EM91" i="25"/>
  <c r="DU91" i="25" s="1"/>
  <c r="EM92" i="25"/>
  <c r="DU92" i="25" s="1"/>
  <c r="EM93" i="25"/>
  <c r="DU93" i="25" s="1"/>
  <c r="EM94" i="25"/>
  <c r="DU94" i="25" s="1"/>
  <c r="EM95" i="25"/>
  <c r="DU95" i="25" s="1"/>
  <c r="EM96" i="25"/>
  <c r="DU96" i="25" s="1"/>
  <c r="EM97" i="25"/>
  <c r="DU97" i="25" s="1"/>
  <c r="EM98" i="25"/>
  <c r="DU98" i="25" s="1"/>
  <c r="EM99" i="25"/>
  <c r="DU99" i="25" s="1"/>
  <c r="EM100" i="25"/>
  <c r="DU100" i="25" s="1"/>
  <c r="EM101" i="25"/>
  <c r="DU101" i="25" s="1"/>
  <c r="EM102" i="25"/>
  <c r="DU102" i="25" s="1"/>
  <c r="EM104" i="25"/>
  <c r="DU104" i="25" s="1"/>
  <c r="EM105" i="25"/>
  <c r="DU105" i="25" s="1"/>
  <c r="EM106" i="25"/>
  <c r="DU106" i="25" s="1"/>
  <c r="EM107" i="25"/>
  <c r="DU107" i="25" s="1"/>
  <c r="EM108" i="25"/>
  <c r="DU108" i="25" s="1"/>
  <c r="EM109" i="25"/>
  <c r="DU109" i="25" s="1"/>
  <c r="EM110" i="25"/>
  <c r="DU110" i="25" s="1"/>
  <c r="EM111" i="25"/>
  <c r="DU111" i="25" s="1"/>
  <c r="EM112" i="25"/>
  <c r="DU112" i="25" s="1"/>
  <c r="EM113" i="25"/>
  <c r="DU113" i="25" s="1"/>
  <c r="EM114" i="25"/>
  <c r="DU114" i="25" s="1"/>
  <c r="EM115" i="25"/>
  <c r="DU115" i="25" s="1"/>
  <c r="EM116" i="25"/>
  <c r="DU116" i="25" s="1"/>
  <c r="EM117" i="25"/>
  <c r="DU117" i="25" s="1"/>
  <c r="EM118" i="25"/>
  <c r="DU118" i="25" s="1"/>
  <c r="EM119" i="25"/>
  <c r="DU119" i="25" s="1"/>
  <c r="EM120" i="25"/>
  <c r="DU120" i="25" s="1"/>
  <c r="EM121" i="25"/>
  <c r="DU121" i="25" s="1"/>
  <c r="EM122" i="25"/>
  <c r="DU122" i="25" s="1"/>
  <c r="EM123" i="25"/>
  <c r="DU123" i="25" s="1"/>
  <c r="EM124" i="25"/>
  <c r="DU124" i="25" s="1"/>
  <c r="EM125" i="25"/>
  <c r="DU125" i="25" s="1"/>
  <c r="EM126" i="25"/>
  <c r="DU126" i="25" s="1"/>
  <c r="EM127" i="25"/>
  <c r="DU127" i="25" s="1"/>
  <c r="EM128" i="25"/>
  <c r="DU128" i="25" s="1"/>
  <c r="EM129" i="25"/>
  <c r="DU129" i="25" s="1"/>
  <c r="EM130" i="25"/>
  <c r="DU130" i="25" s="1"/>
  <c r="EM131" i="25"/>
  <c r="DU131" i="25" s="1"/>
  <c r="EM132" i="25"/>
  <c r="DU132" i="25" s="1"/>
  <c r="EM133" i="25"/>
  <c r="DU133" i="25" s="1"/>
  <c r="EM134" i="25"/>
  <c r="DU134" i="25" s="1"/>
  <c r="EN8" i="25"/>
  <c r="EN9" i="25"/>
  <c r="EN13" i="25"/>
  <c r="EN15" i="25"/>
  <c r="EN16" i="25"/>
  <c r="EN17" i="25"/>
  <c r="EN18" i="25"/>
  <c r="EN20" i="25"/>
  <c r="EN21" i="25"/>
  <c r="EN23" i="25"/>
  <c r="EN25" i="25"/>
  <c r="EN31" i="25"/>
  <c r="EN32" i="25"/>
  <c r="EN34" i="25"/>
  <c r="EN37" i="25"/>
  <c r="EN38" i="25"/>
  <c r="EN219" i="25"/>
  <c r="EN27" i="25"/>
  <c r="EN40" i="25"/>
  <c r="EN88" i="25"/>
  <c r="EN44" i="25"/>
  <c r="EN45" i="25"/>
  <c r="EN46" i="25"/>
  <c r="EN47" i="25"/>
  <c r="EN49" i="25"/>
  <c r="EN50" i="25"/>
  <c r="EN51" i="25"/>
  <c r="EN54" i="25"/>
  <c r="EN55" i="25"/>
  <c r="EN218" i="25"/>
  <c r="EN63" i="25"/>
  <c r="EN64" i="25"/>
  <c r="EN65" i="25"/>
  <c r="EN66" i="25"/>
  <c r="EN68" i="25"/>
  <c r="EN69" i="25"/>
  <c r="EN70" i="25"/>
  <c r="EN142" i="25"/>
  <c r="EN74" i="25"/>
  <c r="EN75" i="25"/>
  <c r="EN77" i="25"/>
  <c r="EN78" i="25"/>
  <c r="EN79" i="25"/>
  <c r="EN82" i="25"/>
  <c r="EN83" i="25"/>
  <c r="EN86" i="25"/>
  <c r="EN87" i="25"/>
  <c r="EN149" i="25"/>
  <c r="EN174" i="25"/>
  <c r="EN201" i="25"/>
  <c r="EN91" i="25"/>
  <c r="EN92" i="25"/>
  <c r="EN93" i="25"/>
  <c r="EN94" i="25"/>
  <c r="EN95" i="25"/>
  <c r="EN96" i="25"/>
  <c r="EN97" i="25"/>
  <c r="EN98" i="25"/>
  <c r="EN99" i="25"/>
  <c r="EN100" i="25"/>
  <c r="EN101" i="25"/>
  <c r="EN102" i="25"/>
  <c r="EN104" i="25"/>
  <c r="EN105" i="25"/>
  <c r="EN106" i="25"/>
  <c r="EN107" i="25"/>
  <c r="EN108" i="25"/>
  <c r="EN109" i="25"/>
  <c r="EN110" i="25"/>
  <c r="EN111" i="25"/>
  <c r="EN112" i="25"/>
  <c r="EN113" i="25"/>
  <c r="EN114" i="25"/>
  <c r="EN115" i="25"/>
  <c r="EN116" i="25"/>
  <c r="EN117" i="25"/>
  <c r="EN118" i="25"/>
  <c r="EN119" i="25"/>
  <c r="EN120" i="25"/>
  <c r="EN121" i="25"/>
  <c r="EN122" i="25"/>
  <c r="EN123" i="25"/>
  <c r="EN124" i="25"/>
  <c r="EN125" i="25"/>
  <c r="EN126" i="25"/>
  <c r="EN127" i="25"/>
  <c r="EN128" i="25"/>
  <c r="EN129" i="25"/>
  <c r="EN130" i="25"/>
  <c r="EN131" i="25"/>
  <c r="EN132" i="25"/>
  <c r="EN133" i="25"/>
  <c r="EN134" i="25"/>
  <c r="EO8" i="25"/>
  <c r="EO9" i="25"/>
  <c r="EO13" i="25"/>
  <c r="EO15" i="25"/>
  <c r="EO16" i="25"/>
  <c r="EO17" i="25"/>
  <c r="EO18" i="25"/>
  <c r="EO20" i="25"/>
  <c r="EO21" i="25"/>
  <c r="EO23" i="25"/>
  <c r="EO25" i="25"/>
  <c r="EO31" i="25"/>
  <c r="EO32" i="25"/>
  <c r="EO34" i="25"/>
  <c r="EO37" i="25"/>
  <c r="EO38" i="25"/>
  <c r="EO219" i="25"/>
  <c r="EO27" i="25"/>
  <c r="EO40" i="25"/>
  <c r="EO88" i="25"/>
  <c r="EO44" i="25"/>
  <c r="EO45" i="25"/>
  <c r="EO46" i="25"/>
  <c r="EO47" i="25"/>
  <c r="EO49" i="25"/>
  <c r="EO50" i="25"/>
  <c r="EO51" i="25"/>
  <c r="EO54" i="25"/>
  <c r="EO55" i="25"/>
  <c r="EO218" i="25"/>
  <c r="EO63" i="25"/>
  <c r="EO64" i="25"/>
  <c r="EO65" i="25"/>
  <c r="EO66" i="25"/>
  <c r="EO68" i="25"/>
  <c r="EO69" i="25"/>
  <c r="EO70" i="25"/>
  <c r="EO142" i="25"/>
  <c r="EO74" i="25"/>
  <c r="EO75" i="25"/>
  <c r="EO77" i="25"/>
  <c r="EO78" i="25"/>
  <c r="EO79" i="25"/>
  <c r="EO82" i="25"/>
  <c r="EO83" i="25"/>
  <c r="EO86" i="25"/>
  <c r="EO87" i="25"/>
  <c r="EO149" i="25"/>
  <c r="EO174" i="25"/>
  <c r="EO201" i="25"/>
  <c r="EO91" i="25"/>
  <c r="EO92" i="25"/>
  <c r="EO93" i="25"/>
  <c r="EO94" i="25"/>
  <c r="EO95" i="25"/>
  <c r="EO96" i="25"/>
  <c r="EO97" i="25"/>
  <c r="EO98" i="25"/>
  <c r="EO99" i="25"/>
  <c r="EO100" i="25"/>
  <c r="EO101" i="25"/>
  <c r="EO102" i="25"/>
  <c r="EO104" i="25"/>
  <c r="EO105" i="25"/>
  <c r="EO106" i="25"/>
  <c r="EO107" i="25"/>
  <c r="EO108" i="25"/>
  <c r="EO109" i="25"/>
  <c r="EO110" i="25"/>
  <c r="EO111" i="25"/>
  <c r="EO112" i="25"/>
  <c r="EO113" i="25"/>
  <c r="EO114" i="25"/>
  <c r="EO115" i="25"/>
  <c r="EO116" i="25"/>
  <c r="EO117" i="25"/>
  <c r="EO118" i="25"/>
  <c r="EO119" i="25"/>
  <c r="EO120" i="25"/>
  <c r="EO121" i="25"/>
  <c r="EO122" i="25"/>
  <c r="EO123" i="25"/>
  <c r="EO124" i="25"/>
  <c r="EO125" i="25"/>
  <c r="EO126" i="25"/>
  <c r="EO127" i="25"/>
  <c r="EO128" i="25"/>
  <c r="EO129" i="25"/>
  <c r="EO130" i="25"/>
  <c r="EO131" i="25"/>
  <c r="EO132" i="25"/>
  <c r="EO133" i="25"/>
  <c r="EO134" i="25"/>
  <c r="EP8" i="25"/>
  <c r="EP9" i="25"/>
  <c r="EP13" i="25"/>
  <c r="EP15" i="25"/>
  <c r="EP16" i="25"/>
  <c r="EP17" i="25"/>
  <c r="EP18" i="25"/>
  <c r="EP21" i="25"/>
  <c r="EP23" i="25"/>
  <c r="EP25" i="25"/>
  <c r="EP31" i="25"/>
  <c r="EP32" i="25"/>
  <c r="EP34" i="25"/>
  <c r="EP37" i="25"/>
  <c r="EP38" i="25"/>
  <c r="EP219" i="25"/>
  <c r="EP27" i="25"/>
  <c r="EP40" i="25"/>
  <c r="EP88" i="25"/>
  <c r="EP44" i="25"/>
  <c r="EP45" i="25"/>
  <c r="EP46" i="25"/>
  <c r="EP47" i="25"/>
  <c r="EP49" i="25"/>
  <c r="EP50" i="25"/>
  <c r="EP51" i="25"/>
  <c r="EP54" i="25"/>
  <c r="EP55" i="25"/>
  <c r="EP218" i="25"/>
  <c r="EP63" i="25"/>
  <c r="EP64" i="25"/>
  <c r="EP65" i="25"/>
  <c r="EP66" i="25"/>
  <c r="EP68" i="25"/>
  <c r="EP69" i="25"/>
  <c r="EP70" i="25"/>
  <c r="EP142" i="25"/>
  <c r="EP74" i="25"/>
  <c r="EP75" i="25"/>
  <c r="EP77" i="25"/>
  <c r="EP78" i="25"/>
  <c r="EP79" i="25"/>
  <c r="EP82" i="25"/>
  <c r="EP83" i="25"/>
  <c r="EP86" i="25"/>
  <c r="EP87" i="25"/>
  <c r="EP149" i="25"/>
  <c r="EP174" i="25"/>
  <c r="EP201" i="25"/>
  <c r="EP91" i="25"/>
  <c r="EP92" i="25"/>
  <c r="EP93" i="25"/>
  <c r="EP94" i="25"/>
  <c r="EP95" i="25"/>
  <c r="EP96" i="25"/>
  <c r="EP97" i="25"/>
  <c r="EP98" i="25"/>
  <c r="EP99" i="25"/>
  <c r="EP100" i="25"/>
  <c r="EP101" i="25"/>
  <c r="EP102" i="25"/>
  <c r="EP104" i="25"/>
  <c r="EP105" i="25"/>
  <c r="EP106" i="25"/>
  <c r="EP107" i="25"/>
  <c r="EP108" i="25"/>
  <c r="EP109" i="25"/>
  <c r="EP110" i="25"/>
  <c r="EP111" i="25"/>
  <c r="EP112" i="25"/>
  <c r="EP113" i="25"/>
  <c r="EP114" i="25"/>
  <c r="EP115" i="25"/>
  <c r="EP116" i="25"/>
  <c r="EP117" i="25"/>
  <c r="EP118" i="25"/>
  <c r="EP119" i="25"/>
  <c r="EP120" i="25"/>
  <c r="EP121" i="25"/>
  <c r="EP122" i="25"/>
  <c r="EP123" i="25"/>
  <c r="EP124" i="25"/>
  <c r="EP125" i="25"/>
  <c r="EP126" i="25"/>
  <c r="EP127" i="25"/>
  <c r="EP128" i="25"/>
  <c r="EP129" i="25"/>
  <c r="EP130" i="25"/>
  <c r="EP131" i="25"/>
  <c r="EP132" i="25"/>
  <c r="EP133" i="25"/>
  <c r="EP134" i="25"/>
  <c r="EQ16" i="25"/>
  <c r="ES8" i="25"/>
  <c r="ES9" i="25"/>
  <c r="ES13" i="25"/>
  <c r="ES15" i="25"/>
  <c r="ES16" i="25"/>
  <c r="ES17" i="25"/>
  <c r="ES18" i="25"/>
  <c r="ES20" i="25"/>
  <c r="ES21" i="25"/>
  <c r="ES23" i="25"/>
  <c r="ES25" i="25"/>
  <c r="ES31" i="25"/>
  <c r="ES32" i="25"/>
  <c r="ES34" i="25"/>
  <c r="ES37" i="25"/>
  <c r="ES38" i="25"/>
  <c r="ES219" i="25"/>
  <c r="ES27" i="25"/>
  <c r="ES40" i="25"/>
  <c r="ES88" i="25"/>
  <c r="ES44" i="25"/>
  <c r="ES45" i="25"/>
  <c r="ES46" i="25"/>
  <c r="ES47" i="25"/>
  <c r="ES49" i="25"/>
  <c r="ES50" i="25"/>
  <c r="ES51" i="25"/>
  <c r="ES54" i="25"/>
  <c r="ES55" i="25"/>
  <c r="ES218" i="25"/>
  <c r="ES63" i="25"/>
  <c r="ES64" i="25"/>
  <c r="ES65" i="25"/>
  <c r="ES66" i="25"/>
  <c r="ES68" i="25"/>
  <c r="ES69" i="25"/>
  <c r="ES70" i="25"/>
  <c r="ES142" i="25"/>
  <c r="ES74" i="25"/>
  <c r="ES75" i="25"/>
  <c r="ES77" i="25"/>
  <c r="ES78" i="25"/>
  <c r="ES79" i="25"/>
  <c r="ES82" i="25"/>
  <c r="ES83" i="25"/>
  <c r="ES86" i="25"/>
  <c r="ES87" i="25"/>
  <c r="ES149" i="25"/>
  <c r="ES174" i="25"/>
  <c r="ES201" i="25"/>
  <c r="ES91" i="25"/>
  <c r="ES92" i="25"/>
  <c r="ES93" i="25"/>
  <c r="ES94" i="25"/>
  <c r="ES95" i="25"/>
  <c r="ES96" i="25"/>
  <c r="ES97" i="25"/>
  <c r="ES98" i="25"/>
  <c r="ES99" i="25"/>
  <c r="ES100" i="25"/>
  <c r="ES101" i="25"/>
  <c r="ES102" i="25"/>
  <c r="ES104" i="25"/>
  <c r="ES105" i="25"/>
  <c r="ES106" i="25"/>
  <c r="ES107" i="25"/>
  <c r="ES108" i="25"/>
  <c r="ES109" i="25"/>
  <c r="ES110" i="25"/>
  <c r="ES111" i="25"/>
  <c r="ES112" i="25"/>
  <c r="ES113" i="25"/>
  <c r="ES114" i="25"/>
  <c r="ES115" i="25"/>
  <c r="ES116" i="25"/>
  <c r="ES117" i="25"/>
  <c r="ES118" i="25"/>
  <c r="ES119" i="25"/>
  <c r="ES120" i="25"/>
  <c r="ES121" i="25"/>
  <c r="ES122" i="25"/>
  <c r="ES123" i="25"/>
  <c r="ES124" i="25"/>
  <c r="ES125" i="25"/>
  <c r="ES126" i="25"/>
  <c r="ES127" i="25"/>
  <c r="ES128" i="25"/>
  <c r="ES129" i="25"/>
  <c r="ES130" i="25"/>
  <c r="ES131" i="25"/>
  <c r="ES132" i="25"/>
  <c r="ES133" i="25"/>
  <c r="ES134" i="25"/>
  <c r="ET8" i="25"/>
  <c r="ET9" i="25"/>
  <c r="ET13" i="25"/>
  <c r="ET15" i="25"/>
  <c r="ET16" i="25"/>
  <c r="ET17" i="25"/>
  <c r="ET18" i="25"/>
  <c r="ET20" i="25"/>
  <c r="ET21" i="25"/>
  <c r="ET23" i="25"/>
  <c r="ET25" i="25"/>
  <c r="ET31" i="25"/>
  <c r="ET32" i="25"/>
  <c r="ET34" i="25"/>
  <c r="ET37" i="25"/>
  <c r="ET38" i="25"/>
  <c r="ET219" i="25"/>
  <c r="ET27" i="25"/>
  <c r="ET40" i="25"/>
  <c r="ET88" i="25"/>
  <c r="ET44" i="25"/>
  <c r="ET45" i="25"/>
  <c r="ET46" i="25"/>
  <c r="ET47" i="25"/>
  <c r="ET49" i="25"/>
  <c r="ET50" i="25"/>
  <c r="ET51" i="25"/>
  <c r="ET54" i="25"/>
  <c r="ET55" i="25"/>
  <c r="ET218" i="25"/>
  <c r="ET63" i="25"/>
  <c r="ET64" i="25"/>
  <c r="ET65" i="25"/>
  <c r="ET66" i="25"/>
  <c r="ET68" i="25"/>
  <c r="ET69" i="25"/>
  <c r="ET70" i="25"/>
  <c r="ET142" i="25"/>
  <c r="ET74" i="25"/>
  <c r="ET75" i="25"/>
  <c r="ET77" i="25"/>
  <c r="ET78" i="25"/>
  <c r="ET79" i="25"/>
  <c r="ET82" i="25"/>
  <c r="ET83" i="25"/>
  <c r="ET86" i="25"/>
  <c r="ET87" i="25"/>
  <c r="ET149" i="25"/>
  <c r="ET174" i="25"/>
  <c r="ET201" i="25"/>
  <c r="ET91" i="25"/>
  <c r="ET92" i="25"/>
  <c r="ET93" i="25"/>
  <c r="ET94" i="25"/>
  <c r="ET95" i="25"/>
  <c r="ET96" i="25"/>
  <c r="ET97" i="25"/>
  <c r="ET98" i="25"/>
  <c r="ET99" i="25"/>
  <c r="ET100" i="25"/>
  <c r="ET101" i="25"/>
  <c r="ET102" i="25"/>
  <c r="ET104" i="25"/>
  <c r="ET105" i="25"/>
  <c r="ET106" i="25"/>
  <c r="ET107" i="25"/>
  <c r="ET108" i="25"/>
  <c r="ET109" i="25"/>
  <c r="ET110" i="25"/>
  <c r="ET111" i="25"/>
  <c r="ET112" i="25"/>
  <c r="ET113" i="25"/>
  <c r="ET114" i="25"/>
  <c r="ET115" i="25"/>
  <c r="ET116" i="25"/>
  <c r="ET117" i="25"/>
  <c r="ET118" i="25"/>
  <c r="ET119" i="25"/>
  <c r="ET120" i="25"/>
  <c r="ET121" i="25"/>
  <c r="ET122" i="25"/>
  <c r="ET123" i="25"/>
  <c r="ET124" i="25"/>
  <c r="ET125" i="25"/>
  <c r="ET126" i="25"/>
  <c r="ET127" i="25"/>
  <c r="ET128" i="25"/>
  <c r="ET129" i="25"/>
  <c r="ET130" i="25"/>
  <c r="ET131" i="25"/>
  <c r="ET132" i="25"/>
  <c r="ET133" i="25"/>
  <c r="ET134" i="25"/>
  <c r="EG133" i="25" l="1"/>
  <c r="EG125" i="25"/>
  <c r="EG117" i="25"/>
  <c r="EG109" i="25"/>
  <c r="EG100" i="25"/>
  <c r="EG92" i="25"/>
  <c r="EG83" i="25"/>
  <c r="EG74" i="25"/>
  <c r="EG65" i="25"/>
  <c r="EG50" i="25"/>
  <c r="EG88" i="25"/>
  <c r="EG32" i="25"/>
  <c r="EG21" i="25"/>
  <c r="EG13" i="25"/>
  <c r="EG132" i="25"/>
  <c r="EG124" i="25"/>
  <c r="EG116" i="25"/>
  <c r="EG108" i="25"/>
  <c r="EG99" i="25"/>
  <c r="EG91" i="25"/>
  <c r="EG82" i="25"/>
  <c r="EG64" i="25"/>
  <c r="EG49" i="25"/>
  <c r="EG40" i="25"/>
  <c r="EG31" i="25"/>
  <c r="EG20" i="25"/>
  <c r="EG131" i="25"/>
  <c r="EG123" i="25"/>
  <c r="EG115" i="25"/>
  <c r="EG107" i="25"/>
  <c r="EG98" i="25"/>
  <c r="EG201" i="25"/>
  <c r="EG142" i="25"/>
  <c r="EG63" i="25"/>
  <c r="EG47" i="25"/>
  <c r="EG27" i="25"/>
  <c r="EG130" i="25"/>
  <c r="EG122" i="25"/>
  <c r="EG114" i="25"/>
  <c r="EG106" i="25"/>
  <c r="EG97" i="25"/>
  <c r="EG174" i="25"/>
  <c r="EG70" i="25"/>
  <c r="EG46" i="25"/>
  <c r="EG219" i="25"/>
  <c r="EG9" i="25"/>
  <c r="EG129" i="25"/>
  <c r="EG121" i="25"/>
  <c r="EG113" i="25"/>
  <c r="EG105" i="25"/>
  <c r="EG96" i="25"/>
  <c r="EG149" i="25"/>
  <c r="EG79" i="25"/>
  <c r="EG69" i="25"/>
  <c r="EG55" i="25"/>
  <c r="EG45" i="25"/>
  <c r="EG38" i="25"/>
  <c r="EG25" i="25"/>
  <c r="EG18" i="25"/>
  <c r="EG8" i="25"/>
  <c r="EG128" i="25"/>
  <c r="EG120" i="25"/>
  <c r="EG112" i="25"/>
  <c r="EG104" i="25"/>
  <c r="EG95" i="25"/>
  <c r="EG78" i="25"/>
  <c r="EG68" i="25"/>
  <c r="EG44" i="25"/>
  <c r="EG37" i="25"/>
  <c r="EG17" i="25"/>
  <c r="EG127" i="25"/>
  <c r="EG119" i="25"/>
  <c r="EG111" i="25"/>
  <c r="EG102" i="25"/>
  <c r="EG94" i="25"/>
  <c r="EG87" i="25"/>
  <c r="EG77" i="25"/>
  <c r="EG218" i="25"/>
  <c r="EG54" i="25"/>
  <c r="EG23" i="25"/>
  <c r="EG16" i="25"/>
  <c r="EG134" i="25"/>
  <c r="EG126" i="25"/>
  <c r="EG118" i="25"/>
  <c r="EG110" i="25"/>
  <c r="EG101" i="25"/>
  <c r="EG93" i="25"/>
  <c r="EG86" i="25"/>
  <c r="EG75" i="25"/>
  <c r="EG66" i="25"/>
  <c r="EG51" i="25"/>
  <c r="EG34" i="25"/>
  <c r="EG15" i="25"/>
  <c r="DE98" i="25"/>
  <c r="DD98" i="25" s="1"/>
  <c r="DK98" i="25" s="1"/>
  <c r="DE91" i="25"/>
  <c r="DD91" i="25" s="1"/>
  <c r="DK91" i="25" s="1"/>
  <c r="DE114" i="25"/>
  <c r="DD114" i="25" s="1"/>
  <c r="DK114" i="25" s="1"/>
  <c r="DE106" i="25"/>
  <c r="DD106" i="25" s="1"/>
  <c r="DK106" i="25" s="1"/>
  <c r="DE64" i="25"/>
  <c r="DD64" i="25" s="1"/>
  <c r="DK64" i="25" s="1"/>
  <c r="DE79" i="25"/>
  <c r="DD79" i="25" s="1"/>
  <c r="DK79" i="25" s="1"/>
  <c r="DE131" i="25"/>
  <c r="DD131" i="25" s="1"/>
  <c r="DK131" i="25" s="1"/>
  <c r="DE123" i="25"/>
  <c r="DD123" i="25" s="1"/>
  <c r="DK123" i="25" s="1"/>
  <c r="DE74" i="25"/>
  <c r="DD74" i="25" s="1"/>
  <c r="DK74" i="25" s="1"/>
  <c r="DE116" i="25"/>
  <c r="DD116" i="25" s="1"/>
  <c r="DK116" i="25" s="1"/>
  <c r="DE108" i="25"/>
  <c r="DD108" i="25" s="1"/>
  <c r="DK108" i="25" s="1"/>
  <c r="DE100" i="25"/>
  <c r="DD100" i="25" s="1"/>
  <c r="DK100" i="25" s="1"/>
  <c r="DE93" i="25"/>
  <c r="DD93" i="25" s="1"/>
  <c r="DK93" i="25" s="1"/>
  <c r="DE86" i="25"/>
  <c r="DD86" i="25" s="1"/>
  <c r="DK86" i="25" s="1"/>
  <c r="DE75" i="25"/>
  <c r="DD75" i="25" s="1"/>
  <c r="DK75" i="25" s="1"/>
  <c r="DE65" i="25"/>
  <c r="DD65" i="25" s="1"/>
  <c r="DK65" i="25" s="1"/>
  <c r="DE218" i="25"/>
  <c r="DD218" i="25" s="1"/>
  <c r="DK218" i="25" s="1"/>
  <c r="DE50" i="25"/>
  <c r="DD50" i="25" s="1"/>
  <c r="DK50" i="25" s="1"/>
  <c r="DE32" i="25"/>
  <c r="DD32" i="25" s="1"/>
  <c r="DK32" i="25" s="1"/>
  <c r="DE129" i="25"/>
  <c r="DD129" i="25" s="1"/>
  <c r="DK129" i="25" s="1"/>
  <c r="DE130" i="25"/>
  <c r="DD130" i="25" s="1"/>
  <c r="DK130" i="25" s="1"/>
  <c r="DE122" i="25"/>
  <c r="DD122" i="25" s="1"/>
  <c r="DK122" i="25" s="1"/>
  <c r="DE107" i="25"/>
  <c r="DD107" i="25" s="1"/>
  <c r="DK107" i="25" s="1"/>
  <c r="DE99" i="25"/>
  <c r="DD99" i="25" s="1"/>
  <c r="DK99" i="25" s="1"/>
  <c r="DE92" i="25"/>
  <c r="DD92" i="25" s="1"/>
  <c r="DK92" i="25" s="1"/>
  <c r="DE54" i="25"/>
  <c r="DD54" i="25" s="1"/>
  <c r="DK54" i="25" s="1"/>
  <c r="DE49" i="25"/>
  <c r="DD49" i="25" s="1"/>
  <c r="DK49" i="25" s="1"/>
  <c r="DE37" i="25"/>
  <c r="DD37" i="25" s="1"/>
  <c r="DK37" i="25" s="1"/>
  <c r="DE8" i="25"/>
  <c r="DD8" i="25" s="1"/>
  <c r="DK8" i="25" s="1"/>
  <c r="DE127" i="25"/>
  <c r="DD127" i="25" s="1"/>
  <c r="DK127" i="25" s="1"/>
  <c r="DE120" i="25"/>
  <c r="DD120" i="25" s="1"/>
  <c r="DK120" i="25" s="1"/>
  <c r="DE112" i="25"/>
  <c r="DD112" i="25" s="1"/>
  <c r="DK112" i="25" s="1"/>
  <c r="DE104" i="25"/>
  <c r="DD104" i="25" s="1"/>
  <c r="DK104" i="25" s="1"/>
  <c r="DE96" i="25"/>
  <c r="DD96" i="25" s="1"/>
  <c r="DK96" i="25" s="1"/>
  <c r="DE174" i="25"/>
  <c r="DD174" i="25" s="1"/>
  <c r="DK174" i="25" s="1"/>
  <c r="DE83" i="25"/>
  <c r="DD83" i="25" s="1"/>
  <c r="DK83" i="25" s="1"/>
  <c r="DE78" i="25"/>
  <c r="DD78" i="25" s="1"/>
  <c r="DK78" i="25" s="1"/>
  <c r="DE69" i="25"/>
  <c r="DD69" i="25" s="1"/>
  <c r="DK69" i="25" s="1"/>
  <c r="DE46" i="25"/>
  <c r="DD46" i="25" s="1"/>
  <c r="DK46" i="25" s="1"/>
  <c r="DE88" i="25"/>
  <c r="DD88" i="25" s="1"/>
  <c r="DK88" i="25" s="1"/>
  <c r="DE31" i="25"/>
  <c r="DD31" i="25" s="1"/>
  <c r="DK31" i="25" s="1"/>
  <c r="DE17" i="25"/>
  <c r="DD17" i="25" s="1"/>
  <c r="DK17" i="25" s="1"/>
  <c r="DE125" i="25"/>
  <c r="DD125" i="25" s="1"/>
  <c r="DK125" i="25" s="1"/>
  <c r="DE118" i="25"/>
  <c r="DD118" i="25" s="1"/>
  <c r="DK118" i="25" s="1"/>
  <c r="DE110" i="25"/>
  <c r="DD110" i="25" s="1"/>
  <c r="DK110" i="25" s="1"/>
  <c r="DE102" i="25"/>
  <c r="DD102" i="25" s="1"/>
  <c r="DK102" i="25" s="1"/>
  <c r="DE95" i="25"/>
  <c r="DD95" i="25" s="1"/>
  <c r="DK95" i="25" s="1"/>
  <c r="DE82" i="25"/>
  <c r="DD82" i="25" s="1"/>
  <c r="DK82" i="25" s="1"/>
  <c r="DE44" i="25"/>
  <c r="DD44" i="25" s="1"/>
  <c r="DK44" i="25" s="1"/>
  <c r="DE27" i="25"/>
  <c r="DD27" i="25" s="1"/>
  <c r="DK27" i="25" s="1"/>
  <c r="DE25" i="25"/>
  <c r="DD25" i="25" s="1"/>
  <c r="DK25" i="25" s="1"/>
  <c r="DE21" i="25"/>
  <c r="DD21" i="25" s="1"/>
  <c r="DK21" i="25" s="1"/>
  <c r="DE15" i="25"/>
  <c r="DD15" i="25" s="1"/>
  <c r="DK15" i="25" s="1"/>
  <c r="DE128" i="25"/>
  <c r="DD128" i="25" s="1"/>
  <c r="DK128" i="25" s="1"/>
  <c r="DE121" i="25"/>
  <c r="DD121" i="25" s="1"/>
  <c r="DK121" i="25" s="1"/>
  <c r="DE113" i="25"/>
  <c r="DD113" i="25" s="1"/>
  <c r="DK113" i="25" s="1"/>
  <c r="DE105" i="25"/>
  <c r="DD105" i="25" s="1"/>
  <c r="DK105" i="25" s="1"/>
  <c r="DE97" i="25"/>
  <c r="DD97" i="25" s="1"/>
  <c r="DK97" i="25" s="1"/>
  <c r="DE201" i="25"/>
  <c r="DD201" i="25" s="1"/>
  <c r="DK201" i="25" s="1"/>
  <c r="DE70" i="25"/>
  <c r="DD70" i="25" s="1"/>
  <c r="DK70" i="25" s="1"/>
  <c r="DE63" i="25"/>
  <c r="DD63" i="25" s="1"/>
  <c r="DK63" i="25" s="1"/>
  <c r="DE47" i="25"/>
  <c r="DD47" i="25" s="1"/>
  <c r="DK47" i="25" s="1"/>
  <c r="DE23" i="25"/>
  <c r="DD23" i="25" s="1"/>
  <c r="DK23" i="25" s="1"/>
  <c r="DE18" i="25"/>
  <c r="DD18" i="25" s="1"/>
  <c r="DK18" i="25" s="1"/>
  <c r="DE134" i="25"/>
  <c r="DD134" i="25" s="1"/>
  <c r="DK134" i="25" s="1"/>
  <c r="DE126" i="25"/>
  <c r="DD126" i="25" s="1"/>
  <c r="DK126" i="25" s="1"/>
  <c r="DE119" i="25"/>
  <c r="DD119" i="25" s="1"/>
  <c r="DK119" i="25" s="1"/>
  <c r="DE111" i="25"/>
  <c r="DD111" i="25" s="1"/>
  <c r="DK111" i="25" s="1"/>
  <c r="DE149" i="25"/>
  <c r="DD149" i="25" s="1"/>
  <c r="DK149" i="25" s="1"/>
  <c r="DE77" i="25"/>
  <c r="DD77" i="25" s="1"/>
  <c r="DK77" i="25" s="1"/>
  <c r="DE142" i="25"/>
  <c r="DD142" i="25" s="1"/>
  <c r="DK142" i="25" s="1"/>
  <c r="DE68" i="25"/>
  <c r="DD68" i="25" s="1"/>
  <c r="DK68" i="25" s="1"/>
  <c r="DE45" i="25"/>
  <c r="DD45" i="25" s="1"/>
  <c r="DK45" i="25" s="1"/>
  <c r="DE40" i="25"/>
  <c r="DD40" i="25" s="1"/>
  <c r="DK40" i="25" s="1"/>
  <c r="DE16" i="25"/>
  <c r="DD16" i="25" s="1"/>
  <c r="DK16" i="25" s="1"/>
  <c r="DE132" i="25"/>
  <c r="DD132" i="25" s="1"/>
  <c r="DK132" i="25" s="1"/>
  <c r="DE124" i="25"/>
  <c r="DD124" i="25" s="1"/>
  <c r="DK124" i="25" s="1"/>
  <c r="DE117" i="25"/>
  <c r="DD117" i="25" s="1"/>
  <c r="DK117" i="25" s="1"/>
  <c r="DE109" i="25"/>
  <c r="DD109" i="25" s="1"/>
  <c r="DK109" i="25" s="1"/>
  <c r="DE94" i="25"/>
  <c r="DD94" i="25" s="1"/>
  <c r="DK94" i="25" s="1"/>
  <c r="DE87" i="25"/>
  <c r="DD87" i="25" s="1"/>
  <c r="DK87" i="25" s="1"/>
  <c r="DE66" i="25"/>
  <c r="DD66" i="25" s="1"/>
  <c r="DK66" i="25" s="1"/>
  <c r="DE55" i="25"/>
  <c r="DD55" i="25" s="1"/>
  <c r="DK55" i="25" s="1"/>
  <c r="DE51" i="25"/>
  <c r="DD51" i="25" s="1"/>
  <c r="DK51" i="25" s="1"/>
  <c r="DE219" i="25"/>
  <c r="DD219" i="25" s="1"/>
  <c r="DK219" i="25" s="1"/>
  <c r="DE34" i="25"/>
  <c r="DD34" i="25" s="1"/>
  <c r="DK34" i="25" s="1"/>
  <c r="DE20" i="25"/>
  <c r="DD20" i="25" s="1"/>
  <c r="DK20" i="25" s="1"/>
  <c r="DE9" i="25"/>
  <c r="DD9" i="25" s="1"/>
  <c r="DK9" i="25" s="1"/>
  <c r="DI115" i="25"/>
  <c r="DJ115" i="25" s="1"/>
  <c r="DE115" i="25"/>
  <c r="DD115" i="25" s="1"/>
  <c r="DK115" i="25" s="1"/>
  <c r="DI38" i="25"/>
  <c r="DJ38" i="25" s="1"/>
  <c r="DE38" i="25"/>
  <c r="DD38" i="25" s="1"/>
  <c r="DK38" i="25" s="1"/>
  <c r="DF13" i="25"/>
  <c r="DE13" i="25"/>
  <c r="DD13" i="25" s="1"/>
  <c r="DK13" i="25" s="1"/>
  <c r="DF133" i="25"/>
  <c r="DE133" i="25"/>
  <c r="DD133" i="25" s="1"/>
  <c r="DK133" i="25" s="1"/>
  <c r="DF101" i="25"/>
  <c r="DE101" i="25"/>
  <c r="DD101" i="25" s="1"/>
  <c r="DK101" i="25" s="1"/>
  <c r="CV164" i="25"/>
  <c r="CY164" i="25" s="1"/>
  <c r="CZ164" i="25" s="1"/>
  <c r="EH132" i="25"/>
  <c r="EH124" i="25"/>
  <c r="EH117" i="25"/>
  <c r="EH109" i="25"/>
  <c r="EH44" i="25"/>
  <c r="EH27" i="25"/>
  <c r="EH18" i="25"/>
  <c r="EH118" i="25"/>
  <c r="CS151" i="25"/>
  <c r="CW151" i="25" s="1"/>
  <c r="CX151" i="25" s="1"/>
  <c r="DA151" i="25" s="1"/>
  <c r="DZ111" i="25"/>
  <c r="CV162" i="25"/>
  <c r="CY162" i="25" s="1"/>
  <c r="CZ162" i="25" s="1"/>
  <c r="DP96" i="25"/>
  <c r="DQ96" i="25" s="1"/>
  <c r="DR96" i="25" s="1"/>
  <c r="DS96" i="25" s="1"/>
  <c r="DP47" i="25"/>
  <c r="DQ47" i="25" s="1"/>
  <c r="DR47" i="25" s="1"/>
  <c r="DS47" i="25" s="1"/>
  <c r="CG87" i="25"/>
  <c r="CS154" i="25"/>
  <c r="CW154" i="25" s="1"/>
  <c r="CX154" i="25" s="1"/>
  <c r="DA154" i="25" s="1"/>
  <c r="CV155" i="25"/>
  <c r="CY155" i="25" s="1"/>
  <c r="CZ155" i="25" s="1"/>
  <c r="CS161" i="25"/>
  <c r="CW161" i="25" s="1"/>
  <c r="CX161" i="25" s="1"/>
  <c r="DA161" i="25" s="1"/>
  <c r="EH83" i="25"/>
  <c r="DP149" i="25"/>
  <c r="DQ149" i="25" s="1"/>
  <c r="DR149" i="25" s="1"/>
  <c r="DS149" i="25" s="1"/>
  <c r="CW147" i="25"/>
  <c r="CX147" i="25" s="1"/>
  <c r="DA147" i="25" s="1"/>
  <c r="EH93" i="25"/>
  <c r="EH86" i="25"/>
  <c r="CS41" i="25"/>
  <c r="CW41" i="25" s="1"/>
  <c r="CX41" i="25" s="1"/>
  <c r="DA41" i="25" s="1"/>
  <c r="DX46" i="25"/>
  <c r="CV147" i="25"/>
  <c r="CY147" i="25" s="1"/>
  <c r="CZ147" i="25" s="1"/>
  <c r="CS156" i="25"/>
  <c r="CW156" i="25" s="1"/>
  <c r="CX156" i="25" s="1"/>
  <c r="DA156" i="25" s="1"/>
  <c r="CV156" i="25"/>
  <c r="CY156" i="25" s="1"/>
  <c r="CZ156" i="25" s="1"/>
  <c r="DX8" i="25"/>
  <c r="CV144" i="25"/>
  <c r="CY144" i="25" s="1"/>
  <c r="CZ144" i="25" s="1"/>
  <c r="CS144" i="25"/>
  <c r="CW144" i="25" s="1"/>
  <c r="CX144" i="25" s="1"/>
  <c r="DA144" i="25" s="1"/>
  <c r="CV152" i="25"/>
  <c r="CY152" i="25" s="1"/>
  <c r="CZ152" i="25" s="1"/>
  <c r="CS152" i="25"/>
  <c r="CW152" i="25" s="1"/>
  <c r="CX152" i="25" s="1"/>
  <c r="DA152" i="25" s="1"/>
  <c r="CV145" i="25"/>
  <c r="CY145" i="25" s="1"/>
  <c r="CZ145" i="25" s="1"/>
  <c r="CS145" i="25"/>
  <c r="CW145" i="25" s="1"/>
  <c r="CX145" i="25" s="1"/>
  <c r="DA145" i="25" s="1"/>
  <c r="CG46" i="25"/>
  <c r="CS148" i="25"/>
  <c r="CW148" i="25" s="1"/>
  <c r="CX148" i="25" s="1"/>
  <c r="DA148" i="25" s="1"/>
  <c r="CV148" i="25"/>
  <c r="CY148" i="25" s="1"/>
  <c r="CZ148" i="25" s="1"/>
  <c r="CV153" i="25"/>
  <c r="CY153" i="25" s="1"/>
  <c r="CZ153" i="25" s="1"/>
  <c r="CS153" i="25"/>
  <c r="CW153" i="25" s="1"/>
  <c r="CX153" i="25" s="1"/>
  <c r="DA153" i="25" s="1"/>
  <c r="CV163" i="25"/>
  <c r="CY163" i="25" s="1"/>
  <c r="CZ163" i="25" s="1"/>
  <c r="CG23" i="25"/>
  <c r="CS150" i="25"/>
  <c r="CW150" i="25" s="1"/>
  <c r="CX150" i="25" s="1"/>
  <c r="DA150" i="25" s="1"/>
  <c r="CV150" i="25"/>
  <c r="CY150" i="25" s="1"/>
  <c r="CZ150" i="25" s="1"/>
  <c r="CV143" i="25"/>
  <c r="CY143" i="25" s="1"/>
  <c r="CZ143" i="25" s="1"/>
  <c r="CS143" i="25"/>
  <c r="CW143" i="25" s="1"/>
  <c r="CX143" i="25" s="1"/>
  <c r="DA143" i="25" s="1"/>
  <c r="CV160" i="25"/>
  <c r="CY160" i="25" s="1"/>
  <c r="CZ160" i="25" s="1"/>
  <c r="CS160" i="25"/>
  <c r="CW160" i="25" s="1"/>
  <c r="CX160" i="25" s="1"/>
  <c r="DA160" i="25" s="1"/>
  <c r="CW163" i="25"/>
  <c r="CX163" i="25" s="1"/>
  <c r="DA163" i="25" s="1"/>
  <c r="CS157" i="25"/>
  <c r="CW157" i="25" s="1"/>
  <c r="CX157" i="25" s="1"/>
  <c r="DA157" i="25" s="1"/>
  <c r="CV157" i="25"/>
  <c r="CY157" i="25" s="1"/>
  <c r="CZ157" i="25" s="1"/>
  <c r="CV146" i="25"/>
  <c r="CY146" i="25" s="1"/>
  <c r="CZ146" i="25" s="1"/>
  <c r="CS146" i="25"/>
  <c r="CW146" i="25" s="1"/>
  <c r="CX146" i="25" s="1"/>
  <c r="DA146" i="25" s="1"/>
  <c r="EH100" i="25"/>
  <c r="EH75" i="25"/>
  <c r="EH65" i="25"/>
  <c r="EH122" i="25"/>
  <c r="CS73" i="25"/>
  <c r="CW73" i="25" s="1"/>
  <c r="CX73" i="25" s="1"/>
  <c r="DA73" i="25" s="1"/>
  <c r="CV73" i="25"/>
  <c r="CY73" i="25" s="1"/>
  <c r="CZ73" i="25" s="1"/>
  <c r="CV158" i="25"/>
  <c r="CY158" i="25" s="1"/>
  <c r="CZ158" i="25" s="1"/>
  <c r="CS158" i="25"/>
  <c r="CW158" i="25" s="1"/>
  <c r="CX158" i="25" s="1"/>
  <c r="DA158" i="25" s="1"/>
  <c r="CG124" i="25"/>
  <c r="CG118" i="25"/>
  <c r="CG82" i="25"/>
  <c r="CG110" i="25"/>
  <c r="CG45" i="25"/>
  <c r="CG40" i="25"/>
  <c r="CG31" i="25"/>
  <c r="DX122" i="25"/>
  <c r="CG132" i="25"/>
  <c r="CG117" i="25"/>
  <c r="CG109" i="25"/>
  <c r="CG101" i="25"/>
  <c r="CG94" i="25"/>
  <c r="CG66" i="25"/>
  <c r="DZ16" i="25"/>
  <c r="DX93" i="25"/>
  <c r="DP65" i="25"/>
  <c r="DQ65" i="25" s="1"/>
  <c r="DR65" i="25" s="1"/>
  <c r="DS65" i="25" s="1"/>
  <c r="CG111" i="25"/>
  <c r="CG13" i="25"/>
  <c r="DX50" i="25"/>
  <c r="DP55" i="25"/>
  <c r="DQ55" i="25" s="1"/>
  <c r="DR55" i="25" s="1"/>
  <c r="DS55" i="25" s="1"/>
  <c r="DP219" i="25"/>
  <c r="DQ219" i="25" s="1"/>
  <c r="DR219" i="25" s="1"/>
  <c r="DS219" i="25" s="1"/>
  <c r="DP25" i="25"/>
  <c r="DQ25" i="25" s="1"/>
  <c r="DR25" i="25" s="1"/>
  <c r="DS25" i="25" s="1"/>
  <c r="CG133" i="25"/>
  <c r="CG125" i="25"/>
  <c r="CG102" i="25"/>
  <c r="CG95" i="25"/>
  <c r="CG88" i="25"/>
  <c r="CG8" i="25"/>
  <c r="EH133" i="25"/>
  <c r="EH125" i="25"/>
  <c r="EH110" i="25"/>
  <c r="EH102" i="25"/>
  <c r="EH95" i="25"/>
  <c r="EH82" i="25"/>
  <c r="EH46" i="25"/>
  <c r="EH88" i="25"/>
  <c r="EH8" i="25"/>
  <c r="CG131" i="25"/>
  <c r="CG123" i="25"/>
  <c r="CG116" i="25"/>
  <c r="CG108" i="25"/>
  <c r="CG100" i="25"/>
  <c r="CG93" i="25"/>
  <c r="CG86" i="25"/>
  <c r="CG75" i="25"/>
  <c r="CG65" i="25"/>
  <c r="CG44" i="25"/>
  <c r="CG27" i="25"/>
  <c r="CG18" i="25"/>
  <c r="DP77" i="25"/>
  <c r="DQ77" i="25" s="1"/>
  <c r="DR77" i="25" s="1"/>
  <c r="DS77" i="25" s="1"/>
  <c r="DZ21" i="25"/>
  <c r="DP133" i="25"/>
  <c r="DQ133" i="25" s="1"/>
  <c r="DR133" i="25" s="1"/>
  <c r="DS133" i="25" s="1"/>
  <c r="DP125" i="25"/>
  <c r="DQ125" i="25" s="1"/>
  <c r="DR125" i="25" s="1"/>
  <c r="DS125" i="25" s="1"/>
  <c r="DP82" i="25"/>
  <c r="DQ82" i="25" s="1"/>
  <c r="DR82" i="25" s="1"/>
  <c r="DS82" i="25" s="1"/>
  <c r="DP88" i="25"/>
  <c r="DQ88" i="25" s="1"/>
  <c r="DR88" i="25" s="1"/>
  <c r="DS88" i="25" s="1"/>
  <c r="DZ142" i="25"/>
  <c r="DX13" i="25"/>
  <c r="CQ126" i="25"/>
  <c r="CQ142" i="25"/>
  <c r="CP110" i="25"/>
  <c r="CR110" i="25" s="1"/>
  <c r="CP82" i="25"/>
  <c r="CR82" i="25" s="1"/>
  <c r="DZ119" i="25"/>
  <c r="DZ118" i="25"/>
  <c r="DX130" i="25"/>
  <c r="DP131" i="25"/>
  <c r="DQ131" i="25" s="1"/>
  <c r="DR131" i="25" s="1"/>
  <c r="DS131" i="25" s="1"/>
  <c r="DP123" i="25"/>
  <c r="DQ123" i="25" s="1"/>
  <c r="DR123" i="25" s="1"/>
  <c r="DS123" i="25" s="1"/>
  <c r="DP116" i="25"/>
  <c r="DQ116" i="25" s="1"/>
  <c r="DR116" i="25" s="1"/>
  <c r="DS116" i="25" s="1"/>
  <c r="DP108" i="25"/>
  <c r="DQ108" i="25" s="1"/>
  <c r="DR108" i="25" s="1"/>
  <c r="DS108" i="25" s="1"/>
  <c r="DP93" i="25"/>
  <c r="DQ93" i="25" s="1"/>
  <c r="DR93" i="25" s="1"/>
  <c r="DS93" i="25" s="1"/>
  <c r="DP75" i="25"/>
  <c r="DQ75" i="25" s="1"/>
  <c r="DR75" i="25" s="1"/>
  <c r="DS75" i="25" s="1"/>
  <c r="DP44" i="25"/>
  <c r="DQ44" i="25" s="1"/>
  <c r="DR44" i="25" s="1"/>
  <c r="DS44" i="25" s="1"/>
  <c r="DP27" i="25"/>
  <c r="DQ27" i="25" s="1"/>
  <c r="DR27" i="25" s="1"/>
  <c r="DS27" i="25" s="1"/>
  <c r="DP115" i="25"/>
  <c r="DQ115" i="25" s="1"/>
  <c r="DR115" i="25" s="1"/>
  <c r="DS115" i="25" s="1"/>
  <c r="EH130" i="25"/>
  <c r="EH115" i="25"/>
  <c r="CQ134" i="25"/>
  <c r="CQ119" i="25"/>
  <c r="CQ111" i="25"/>
  <c r="CQ149" i="25"/>
  <c r="CQ77" i="25"/>
  <c r="CQ68" i="25"/>
  <c r="CQ47" i="25"/>
  <c r="CQ13" i="25"/>
  <c r="CQ65" i="25"/>
  <c r="CG105" i="25"/>
  <c r="CG97" i="25"/>
  <c r="CG201" i="25"/>
  <c r="CG70" i="25"/>
  <c r="CG64" i="25"/>
  <c r="CG54" i="25"/>
  <c r="CG49" i="25"/>
  <c r="CG37" i="25"/>
  <c r="CG20" i="25"/>
  <c r="CG15" i="25"/>
  <c r="EH104" i="25"/>
  <c r="EH96" i="25"/>
  <c r="EH174" i="25"/>
  <c r="EH78" i="25"/>
  <c r="EH69" i="25"/>
  <c r="EH63" i="25"/>
  <c r="EH32" i="25"/>
  <c r="EH9" i="25"/>
  <c r="EH134" i="25"/>
  <c r="EH126" i="25"/>
  <c r="EH119" i="25"/>
  <c r="EH111" i="25"/>
  <c r="CP130" i="25"/>
  <c r="CR130" i="25" s="1"/>
  <c r="CP122" i="25"/>
  <c r="CR122" i="25" s="1"/>
  <c r="CP115" i="25"/>
  <c r="CR115" i="25" s="1"/>
  <c r="CP107" i="25"/>
  <c r="CR107" i="25" s="1"/>
  <c r="CS107" i="25" s="1"/>
  <c r="CW107" i="25" s="1"/>
  <c r="CX107" i="25" s="1"/>
  <c r="DA107" i="25" s="1"/>
  <c r="CQ99" i="25"/>
  <c r="CP92" i="25"/>
  <c r="CR92" i="25" s="1"/>
  <c r="CS92" i="25" s="1"/>
  <c r="CW92" i="25" s="1"/>
  <c r="CX92" i="25" s="1"/>
  <c r="DA92" i="25" s="1"/>
  <c r="CP218" i="25"/>
  <c r="CR218" i="25" s="1"/>
  <c r="CS218" i="25" s="1"/>
  <c r="CW218" i="25" s="1"/>
  <c r="CX218" i="25" s="1"/>
  <c r="DA218" i="25" s="1"/>
  <c r="CP55" i="25"/>
  <c r="CR55" i="25" s="1"/>
  <c r="CP34" i="25"/>
  <c r="CR34" i="25" s="1"/>
  <c r="CP25" i="25"/>
  <c r="CR25" i="25" s="1"/>
  <c r="CP17" i="25"/>
  <c r="CR17" i="25" s="1"/>
  <c r="CP129" i="25"/>
  <c r="CR129" i="25" s="1"/>
  <c r="CP114" i="25"/>
  <c r="CR114" i="25" s="1"/>
  <c r="CP98" i="25"/>
  <c r="CR98" i="25" s="1"/>
  <c r="CS98" i="25" s="1"/>
  <c r="CW98" i="25" s="1"/>
  <c r="CX98" i="25" s="1"/>
  <c r="DA98" i="25" s="1"/>
  <c r="CP74" i="25"/>
  <c r="CR74" i="25" s="1"/>
  <c r="CS74" i="25" s="1"/>
  <c r="CW74" i="25" s="1"/>
  <c r="CX74" i="25" s="1"/>
  <c r="DA74" i="25" s="1"/>
  <c r="CP50" i="25"/>
  <c r="CR50" i="25" s="1"/>
  <c r="CS50" i="25" s="1"/>
  <c r="CW50" i="25" s="1"/>
  <c r="CX50" i="25" s="1"/>
  <c r="DA50" i="25" s="1"/>
  <c r="CP21" i="25"/>
  <c r="CR21" i="25" s="1"/>
  <c r="CS21" i="25" s="1"/>
  <c r="CW21" i="25" s="1"/>
  <c r="CX21" i="25" s="1"/>
  <c r="DA21" i="25" s="1"/>
  <c r="CG129" i="25"/>
  <c r="CG114" i="25"/>
  <c r="CG106" i="25"/>
  <c r="CG98" i="25"/>
  <c r="CG91" i="25"/>
  <c r="CG79" i="25"/>
  <c r="CG74" i="25"/>
  <c r="CG50" i="25"/>
  <c r="CG38" i="25"/>
  <c r="CG21" i="25"/>
  <c r="CG16" i="25"/>
  <c r="DP128" i="25"/>
  <c r="DQ128" i="25" s="1"/>
  <c r="DR128" i="25" s="1"/>
  <c r="DS128" i="25" s="1"/>
  <c r="DP121" i="25"/>
  <c r="DQ121" i="25" s="1"/>
  <c r="DR121" i="25" s="1"/>
  <c r="DS121" i="25" s="1"/>
  <c r="DP113" i="25"/>
  <c r="DQ113" i="25" s="1"/>
  <c r="DR113" i="25" s="1"/>
  <c r="DS113" i="25" s="1"/>
  <c r="DP105" i="25"/>
  <c r="DQ105" i="25" s="1"/>
  <c r="DR105" i="25" s="1"/>
  <c r="DS105" i="25" s="1"/>
  <c r="DP97" i="25"/>
  <c r="DQ97" i="25" s="1"/>
  <c r="DR97" i="25" s="1"/>
  <c r="DS97" i="25" s="1"/>
  <c r="DP201" i="25"/>
  <c r="DQ201" i="25" s="1"/>
  <c r="DR201" i="25" s="1"/>
  <c r="DS201" i="25" s="1"/>
  <c r="DP70" i="25"/>
  <c r="DQ70" i="25" s="1"/>
  <c r="DR70" i="25" s="1"/>
  <c r="DS70" i="25" s="1"/>
  <c r="DP64" i="25"/>
  <c r="DQ64" i="25" s="1"/>
  <c r="DR64" i="25" s="1"/>
  <c r="DS64" i="25" s="1"/>
  <c r="DP54" i="25"/>
  <c r="DQ54" i="25" s="1"/>
  <c r="DR54" i="25" s="1"/>
  <c r="DS54" i="25" s="1"/>
  <c r="DP49" i="25"/>
  <c r="DQ49" i="25" s="1"/>
  <c r="DR49" i="25" s="1"/>
  <c r="DS49" i="25" s="1"/>
  <c r="DP37" i="25"/>
  <c r="DQ37" i="25" s="1"/>
  <c r="DR37" i="25" s="1"/>
  <c r="DS37" i="25" s="1"/>
  <c r="DP20" i="25"/>
  <c r="DQ20" i="25" s="1"/>
  <c r="DR20" i="25" s="1"/>
  <c r="DS20" i="25" s="1"/>
  <c r="DP15" i="25"/>
  <c r="DQ15" i="25" s="1"/>
  <c r="DR15" i="25" s="1"/>
  <c r="DS15" i="25" s="1"/>
  <c r="DZ18" i="25"/>
  <c r="CP124" i="25"/>
  <c r="CR124" i="25" s="1"/>
  <c r="CP109" i="25"/>
  <c r="CR109" i="25" s="1"/>
  <c r="CP94" i="25"/>
  <c r="CR94" i="25" s="1"/>
  <c r="CP45" i="25"/>
  <c r="CR45" i="25" s="1"/>
  <c r="CP40" i="25"/>
  <c r="CR40" i="25" s="1"/>
  <c r="CP31" i="25"/>
  <c r="CR31" i="25" s="1"/>
  <c r="CP23" i="25"/>
  <c r="CR23" i="25" s="1"/>
  <c r="CQ131" i="25"/>
  <c r="CQ123" i="25"/>
  <c r="CQ116" i="25"/>
  <c r="CQ108" i="25"/>
  <c r="CQ100" i="25"/>
  <c r="CQ93" i="25"/>
  <c r="CQ86" i="25"/>
  <c r="CQ75" i="25"/>
  <c r="CQ44" i="25"/>
  <c r="CQ27" i="25"/>
  <c r="CQ18" i="25"/>
  <c r="DX44" i="25"/>
  <c r="DP127" i="25"/>
  <c r="DQ127" i="25" s="1"/>
  <c r="DR127" i="25" s="1"/>
  <c r="DS127" i="25" s="1"/>
  <c r="DP120" i="25"/>
  <c r="DQ120" i="25" s="1"/>
  <c r="DR120" i="25" s="1"/>
  <c r="DS120" i="25" s="1"/>
  <c r="DP112" i="25"/>
  <c r="DQ112" i="25" s="1"/>
  <c r="DR112" i="25" s="1"/>
  <c r="DS112" i="25" s="1"/>
  <c r="DP104" i="25"/>
  <c r="DQ104" i="25" s="1"/>
  <c r="DR104" i="25" s="1"/>
  <c r="DS104" i="25" s="1"/>
  <c r="DP174" i="25"/>
  <c r="DQ174" i="25" s="1"/>
  <c r="DR174" i="25" s="1"/>
  <c r="DS174" i="25" s="1"/>
  <c r="DP83" i="25"/>
  <c r="DQ83" i="25" s="1"/>
  <c r="DR83" i="25" s="1"/>
  <c r="DS83" i="25" s="1"/>
  <c r="DP78" i="25"/>
  <c r="DQ78" i="25" s="1"/>
  <c r="DR78" i="25" s="1"/>
  <c r="DS78" i="25" s="1"/>
  <c r="DP69" i="25"/>
  <c r="DQ69" i="25" s="1"/>
  <c r="DR69" i="25" s="1"/>
  <c r="DS69" i="25" s="1"/>
  <c r="DP63" i="25"/>
  <c r="DQ63" i="25" s="1"/>
  <c r="DR63" i="25" s="1"/>
  <c r="DS63" i="25" s="1"/>
  <c r="DP32" i="25"/>
  <c r="DQ32" i="25" s="1"/>
  <c r="DR32" i="25" s="1"/>
  <c r="DS32" i="25" s="1"/>
  <c r="DP9" i="25"/>
  <c r="DQ9" i="25" s="1"/>
  <c r="DR9" i="25" s="1"/>
  <c r="DS9" i="25" s="1"/>
  <c r="CG134" i="25"/>
  <c r="CG126" i="25"/>
  <c r="CG119" i="25"/>
  <c r="CG149" i="25"/>
  <c r="CG77" i="25"/>
  <c r="CG142" i="25"/>
  <c r="CG68" i="25"/>
  <c r="CG47" i="25"/>
  <c r="DX15" i="25"/>
  <c r="DZ86" i="25"/>
  <c r="EH106" i="25"/>
  <c r="EH98" i="25"/>
  <c r="EH91" i="25"/>
  <c r="EH79" i="25"/>
  <c r="EH74" i="25"/>
  <c r="EH50" i="25"/>
  <c r="EH38" i="25"/>
  <c r="EH21" i="25"/>
  <c r="EH16" i="25"/>
  <c r="DZ75" i="25"/>
  <c r="DZ27" i="25"/>
  <c r="DX100" i="25"/>
  <c r="CG130" i="25"/>
  <c r="CG122" i="25"/>
  <c r="CG115" i="25"/>
  <c r="CG107" i="25"/>
  <c r="CG99" i="25"/>
  <c r="DP134" i="25"/>
  <c r="DQ134" i="25" s="1"/>
  <c r="DR134" i="25" s="1"/>
  <c r="DS134" i="25" s="1"/>
  <c r="CV141" i="25"/>
  <c r="CY141" i="25" s="1"/>
  <c r="CZ141" i="25" s="1"/>
  <c r="DP132" i="25"/>
  <c r="DQ132" i="25" s="1"/>
  <c r="DR132" i="25" s="1"/>
  <c r="DS132" i="25" s="1"/>
  <c r="DP124" i="25"/>
  <c r="DQ124" i="25" s="1"/>
  <c r="DR124" i="25" s="1"/>
  <c r="DS124" i="25" s="1"/>
  <c r="DP117" i="25"/>
  <c r="DQ117" i="25" s="1"/>
  <c r="DR117" i="25" s="1"/>
  <c r="DS117" i="25" s="1"/>
  <c r="DP109" i="25"/>
  <c r="DQ109" i="25" s="1"/>
  <c r="DR109" i="25" s="1"/>
  <c r="DS109" i="25" s="1"/>
  <c r="DP101" i="25"/>
  <c r="DQ101" i="25" s="1"/>
  <c r="DR101" i="25" s="1"/>
  <c r="DS101" i="25" s="1"/>
  <c r="DP94" i="25"/>
  <c r="DQ94" i="25" s="1"/>
  <c r="DR94" i="25" s="1"/>
  <c r="DS94" i="25" s="1"/>
  <c r="DP87" i="25"/>
  <c r="DQ87" i="25" s="1"/>
  <c r="DR87" i="25" s="1"/>
  <c r="DS87" i="25" s="1"/>
  <c r="DP66" i="25"/>
  <c r="DQ66" i="25" s="1"/>
  <c r="DR66" i="25" s="1"/>
  <c r="DS66" i="25" s="1"/>
  <c r="DP45" i="25"/>
  <c r="DQ45" i="25" s="1"/>
  <c r="DR45" i="25" s="1"/>
  <c r="DS45" i="25" s="1"/>
  <c r="DP40" i="25"/>
  <c r="DQ40" i="25" s="1"/>
  <c r="DR40" i="25" s="1"/>
  <c r="DS40" i="25" s="1"/>
  <c r="DP31" i="25"/>
  <c r="DQ31" i="25" s="1"/>
  <c r="DR31" i="25" s="1"/>
  <c r="DS31" i="25" s="1"/>
  <c r="DP23" i="25"/>
  <c r="DQ23" i="25" s="1"/>
  <c r="DR23" i="25" s="1"/>
  <c r="DS23" i="25" s="1"/>
  <c r="CP99" i="25"/>
  <c r="CR99" i="25" s="1"/>
  <c r="CS99" i="25" s="1"/>
  <c r="CW99" i="25" s="1"/>
  <c r="CX99" i="25" s="1"/>
  <c r="DA99" i="25" s="1"/>
  <c r="CQ125" i="25"/>
  <c r="DP130" i="25"/>
  <c r="DQ130" i="25" s="1"/>
  <c r="DR130" i="25" s="1"/>
  <c r="DS130" i="25" s="1"/>
  <c r="DP122" i="25"/>
  <c r="DQ122" i="25" s="1"/>
  <c r="DR122" i="25" s="1"/>
  <c r="DS122" i="25" s="1"/>
  <c r="DP107" i="25"/>
  <c r="DQ107" i="25" s="1"/>
  <c r="DR107" i="25" s="1"/>
  <c r="DS107" i="25" s="1"/>
  <c r="DP99" i="25"/>
  <c r="DQ99" i="25" s="1"/>
  <c r="DR99" i="25" s="1"/>
  <c r="DS99" i="25" s="1"/>
  <c r="DP92" i="25"/>
  <c r="DQ92" i="25" s="1"/>
  <c r="DR92" i="25" s="1"/>
  <c r="DS92" i="25" s="1"/>
  <c r="DP218" i="25"/>
  <c r="DQ218" i="25" s="1"/>
  <c r="DR218" i="25" s="1"/>
  <c r="DS218" i="25" s="1"/>
  <c r="DP51" i="25"/>
  <c r="DQ51" i="25" s="1"/>
  <c r="DR51" i="25" s="1"/>
  <c r="DS51" i="25" s="1"/>
  <c r="DP34" i="25"/>
  <c r="DQ34" i="25" s="1"/>
  <c r="DR34" i="25" s="1"/>
  <c r="DS34" i="25" s="1"/>
  <c r="DP17" i="25"/>
  <c r="DQ17" i="25" s="1"/>
  <c r="DR17" i="25" s="1"/>
  <c r="DS17" i="25" s="1"/>
  <c r="CQ17" i="25"/>
  <c r="EH149" i="25"/>
  <c r="EH77" i="25"/>
  <c r="EH142" i="25"/>
  <c r="EH68" i="25"/>
  <c r="EH47" i="25"/>
  <c r="EH13" i="25"/>
  <c r="DX128" i="25"/>
  <c r="DX23" i="25"/>
  <c r="DZ113" i="25"/>
  <c r="DX121" i="25"/>
  <c r="DX20" i="25"/>
  <c r="DX115" i="25"/>
  <c r="DT27" i="25"/>
  <c r="DZ51" i="25"/>
  <c r="DX17" i="25"/>
  <c r="DP100" i="25"/>
  <c r="DQ100" i="25" s="1"/>
  <c r="DR100" i="25" s="1"/>
  <c r="DS100" i="25" s="1"/>
  <c r="DP86" i="25"/>
  <c r="DQ86" i="25" s="1"/>
  <c r="DR86" i="25" s="1"/>
  <c r="DS86" i="25" s="1"/>
  <c r="DP18" i="25"/>
  <c r="DQ18" i="25" s="1"/>
  <c r="DR18" i="25" s="1"/>
  <c r="DS18" i="25" s="1"/>
  <c r="CQ115" i="25"/>
  <c r="CQ34" i="25"/>
  <c r="DP126" i="25"/>
  <c r="DQ126" i="25" s="1"/>
  <c r="DR126" i="25" s="1"/>
  <c r="DS126" i="25" s="1"/>
  <c r="DP119" i="25"/>
  <c r="DQ119" i="25" s="1"/>
  <c r="DR119" i="25" s="1"/>
  <c r="DS119" i="25" s="1"/>
  <c r="DP111" i="25"/>
  <c r="DQ111" i="25" s="1"/>
  <c r="DR111" i="25" s="1"/>
  <c r="DS111" i="25" s="1"/>
  <c r="DP142" i="25"/>
  <c r="DQ142" i="25" s="1"/>
  <c r="DR142" i="25" s="1"/>
  <c r="DS142" i="25" s="1"/>
  <c r="DP68" i="25"/>
  <c r="DQ68" i="25" s="1"/>
  <c r="DR68" i="25" s="1"/>
  <c r="DS68" i="25" s="1"/>
  <c r="DP13" i="25"/>
  <c r="DQ13" i="25" s="1"/>
  <c r="DR13" i="25" s="1"/>
  <c r="DS13" i="25" s="1"/>
  <c r="CQ55" i="25"/>
  <c r="DP118" i="25"/>
  <c r="DQ118" i="25" s="1"/>
  <c r="DR118" i="25" s="1"/>
  <c r="DS118" i="25" s="1"/>
  <c r="DP110" i="25"/>
  <c r="DQ110" i="25" s="1"/>
  <c r="DR110" i="25" s="1"/>
  <c r="DS110" i="25" s="1"/>
  <c r="DP102" i="25"/>
  <c r="DQ102" i="25" s="1"/>
  <c r="DR102" i="25" s="1"/>
  <c r="DS102" i="25" s="1"/>
  <c r="DP95" i="25"/>
  <c r="DQ95" i="25" s="1"/>
  <c r="DR95" i="25" s="1"/>
  <c r="DS95" i="25" s="1"/>
  <c r="DP46" i="25"/>
  <c r="DQ46" i="25" s="1"/>
  <c r="DR46" i="25" s="1"/>
  <c r="DS46" i="25" s="1"/>
  <c r="DP8" i="25"/>
  <c r="DQ8" i="25" s="1"/>
  <c r="DR8" i="25" s="1"/>
  <c r="DS8" i="25" s="1"/>
  <c r="CQ129" i="25"/>
  <c r="CQ114" i="25"/>
  <c r="CQ106" i="25"/>
  <c r="CQ98" i="25"/>
  <c r="CQ91" i="25"/>
  <c r="CQ79" i="25"/>
  <c r="CQ74" i="25"/>
  <c r="CQ50" i="25"/>
  <c r="CQ38" i="25"/>
  <c r="CQ21" i="25"/>
  <c r="CQ16" i="25"/>
  <c r="CG92" i="25"/>
  <c r="CG218" i="25"/>
  <c r="CG55" i="25"/>
  <c r="CG51" i="25"/>
  <c r="CG219" i="25"/>
  <c r="CG34" i="25"/>
  <c r="CG25" i="25"/>
  <c r="CG17" i="25"/>
  <c r="CV140" i="25"/>
  <c r="CY140" i="25" s="1"/>
  <c r="CZ140" i="25" s="1"/>
  <c r="EH128" i="25"/>
  <c r="EH121" i="25"/>
  <c r="EH113" i="25"/>
  <c r="CQ130" i="25"/>
  <c r="CQ25" i="25"/>
  <c r="CQ110" i="25"/>
  <c r="CQ95" i="25"/>
  <c r="CQ82" i="25"/>
  <c r="CQ46" i="25"/>
  <c r="CQ88" i="25"/>
  <c r="CQ132" i="25"/>
  <c r="CQ124" i="25"/>
  <c r="CQ117" i="25"/>
  <c r="CQ109" i="25"/>
  <c r="CQ101" i="25"/>
  <c r="CQ94" i="25"/>
  <c r="CQ87" i="25"/>
  <c r="CQ66" i="25"/>
  <c r="CQ45" i="25"/>
  <c r="CQ40" i="25"/>
  <c r="CQ31" i="25"/>
  <c r="CQ23" i="25"/>
  <c r="CP131" i="25"/>
  <c r="CR131" i="25" s="1"/>
  <c r="CP123" i="25"/>
  <c r="CR123" i="25" s="1"/>
  <c r="CP116" i="25"/>
  <c r="CR116" i="25" s="1"/>
  <c r="CP108" i="25"/>
  <c r="CR108" i="25" s="1"/>
  <c r="CP100" i="25"/>
  <c r="CR100" i="25" s="1"/>
  <c r="CP93" i="25"/>
  <c r="CR93" i="25" s="1"/>
  <c r="CP86" i="25"/>
  <c r="CR86" i="25" s="1"/>
  <c r="CP75" i="25"/>
  <c r="CR75" i="25" s="1"/>
  <c r="CP65" i="25"/>
  <c r="CR65" i="25" s="1"/>
  <c r="CQ8" i="25"/>
  <c r="CP132" i="25"/>
  <c r="CR132" i="25" s="1"/>
  <c r="CP117" i="25"/>
  <c r="CR117" i="25" s="1"/>
  <c r="CP101" i="25"/>
  <c r="CR101" i="25" s="1"/>
  <c r="CP87" i="25"/>
  <c r="CR87" i="25" s="1"/>
  <c r="CP66" i="25"/>
  <c r="CR66" i="25" s="1"/>
  <c r="CP44" i="25"/>
  <c r="CR44" i="25" s="1"/>
  <c r="CP27" i="25"/>
  <c r="CR27" i="25" s="1"/>
  <c r="CP18" i="25"/>
  <c r="CR18" i="25" s="1"/>
  <c r="CQ122" i="25"/>
  <c r="CQ107" i="25"/>
  <c r="CQ92" i="25"/>
  <c r="CQ218" i="25"/>
  <c r="CP51" i="25"/>
  <c r="CR51" i="25" s="1"/>
  <c r="CS51" i="25" s="1"/>
  <c r="CW51" i="25" s="1"/>
  <c r="CX51" i="25" s="1"/>
  <c r="DA51" i="25" s="1"/>
  <c r="CP219" i="25"/>
  <c r="CR219" i="25" s="1"/>
  <c r="CS219" i="25" s="1"/>
  <c r="CW219" i="25" s="1"/>
  <c r="CX219" i="25" s="1"/>
  <c r="DA219" i="25" s="1"/>
  <c r="CG127" i="25"/>
  <c r="CG120" i="25"/>
  <c r="CG112" i="25"/>
  <c r="CG104" i="25"/>
  <c r="CG96" i="25"/>
  <c r="CG174" i="25"/>
  <c r="CG83" i="25"/>
  <c r="CG78" i="25"/>
  <c r="CG69" i="25"/>
  <c r="CG63" i="25"/>
  <c r="CG32" i="25"/>
  <c r="CG9" i="25"/>
  <c r="DT75" i="25"/>
  <c r="DZ91" i="25"/>
  <c r="DZ38" i="25"/>
  <c r="DX98" i="25"/>
  <c r="CQ133" i="25"/>
  <c r="CP133" i="25"/>
  <c r="CR133" i="25" s="1"/>
  <c r="CQ118" i="25"/>
  <c r="CP118" i="25"/>
  <c r="CR118" i="25" s="1"/>
  <c r="CQ102" i="25"/>
  <c r="CP102" i="25"/>
  <c r="CR102" i="25" s="1"/>
  <c r="DZ69" i="25"/>
  <c r="DX117" i="25"/>
  <c r="DX9" i="25"/>
  <c r="CP125" i="25"/>
  <c r="CR125" i="25" s="1"/>
  <c r="DX79" i="25"/>
  <c r="DZ63" i="25"/>
  <c r="DX74" i="25"/>
  <c r="DT32" i="25"/>
  <c r="DP129" i="25"/>
  <c r="DQ129" i="25" s="1"/>
  <c r="DR129" i="25" s="1"/>
  <c r="DS129" i="25" s="1"/>
  <c r="DP114" i="25"/>
  <c r="DQ114" i="25" s="1"/>
  <c r="DR114" i="25" s="1"/>
  <c r="DS114" i="25" s="1"/>
  <c r="DP106" i="25"/>
  <c r="DQ106" i="25" s="1"/>
  <c r="DR106" i="25" s="1"/>
  <c r="DS106" i="25" s="1"/>
  <c r="DP98" i="25"/>
  <c r="DQ98" i="25" s="1"/>
  <c r="DR98" i="25" s="1"/>
  <c r="DS98" i="25" s="1"/>
  <c r="DP91" i="25"/>
  <c r="DQ91" i="25" s="1"/>
  <c r="DR91" i="25" s="1"/>
  <c r="DS91" i="25" s="1"/>
  <c r="DP79" i="25"/>
  <c r="DQ79" i="25" s="1"/>
  <c r="DR79" i="25" s="1"/>
  <c r="DS79" i="25" s="1"/>
  <c r="DP74" i="25"/>
  <c r="DQ74" i="25" s="1"/>
  <c r="DR74" i="25" s="1"/>
  <c r="DS74" i="25" s="1"/>
  <c r="DP50" i="25"/>
  <c r="DQ50" i="25" s="1"/>
  <c r="DR50" i="25" s="1"/>
  <c r="DS50" i="25" s="1"/>
  <c r="DP38" i="25"/>
  <c r="DQ38" i="25" s="1"/>
  <c r="DR38" i="25" s="1"/>
  <c r="DS38" i="25" s="1"/>
  <c r="DP21" i="25"/>
  <c r="DQ21" i="25" s="1"/>
  <c r="DR21" i="25" s="1"/>
  <c r="DS21" i="25" s="1"/>
  <c r="DP16" i="25"/>
  <c r="DQ16" i="25" s="1"/>
  <c r="DR16" i="25" s="1"/>
  <c r="DS16" i="25" s="1"/>
  <c r="CP95" i="25"/>
  <c r="CR95" i="25" s="1"/>
  <c r="DZ96" i="25"/>
  <c r="DX106" i="25"/>
  <c r="DX54" i="25"/>
  <c r="DZ94" i="25"/>
  <c r="DX104" i="25"/>
  <c r="CG128" i="25"/>
  <c r="CG121" i="25"/>
  <c r="CG113" i="25"/>
  <c r="CQ51" i="25"/>
  <c r="CQ219" i="25"/>
  <c r="CP106" i="25"/>
  <c r="CR106" i="25" s="1"/>
  <c r="CS106" i="25" s="1"/>
  <c r="CW106" i="25" s="1"/>
  <c r="CX106" i="25" s="1"/>
  <c r="DA106" i="25" s="1"/>
  <c r="CP91" i="25"/>
  <c r="CR91" i="25" s="1"/>
  <c r="CP79" i="25"/>
  <c r="CR79" i="25" s="1"/>
  <c r="CP16" i="25"/>
  <c r="CR16" i="25" s="1"/>
  <c r="CS16" i="25" s="1"/>
  <c r="CW16" i="25" s="1"/>
  <c r="CX16" i="25" s="1"/>
  <c r="DA16" i="25" s="1"/>
  <c r="CP38" i="25"/>
  <c r="CR38" i="25" s="1"/>
  <c r="CS38" i="25" s="1"/>
  <c r="CW38" i="25" s="1"/>
  <c r="CX38" i="25" s="1"/>
  <c r="DA38" i="25" s="1"/>
  <c r="CQ128" i="25"/>
  <c r="CP128" i="25"/>
  <c r="CR128" i="25" s="1"/>
  <c r="CS128" i="25" s="1"/>
  <c r="CW128" i="25" s="1"/>
  <c r="CX128" i="25" s="1"/>
  <c r="DA128" i="25" s="1"/>
  <c r="CQ121" i="25"/>
  <c r="CP121" i="25"/>
  <c r="CR121" i="25" s="1"/>
  <c r="CS121" i="25" s="1"/>
  <c r="CW121" i="25" s="1"/>
  <c r="CX121" i="25" s="1"/>
  <c r="DA121" i="25" s="1"/>
  <c r="CQ113" i="25"/>
  <c r="CP113" i="25"/>
  <c r="CR113" i="25" s="1"/>
  <c r="CS113" i="25" s="1"/>
  <c r="CW113" i="25" s="1"/>
  <c r="CX113" i="25" s="1"/>
  <c r="DA113" i="25" s="1"/>
  <c r="CQ105" i="25"/>
  <c r="CP105" i="25"/>
  <c r="CR105" i="25" s="1"/>
  <c r="CS105" i="25" s="1"/>
  <c r="CW105" i="25" s="1"/>
  <c r="CX105" i="25" s="1"/>
  <c r="DA105" i="25" s="1"/>
  <c r="CQ97" i="25"/>
  <c r="CP97" i="25"/>
  <c r="CR97" i="25" s="1"/>
  <c r="CQ201" i="25"/>
  <c r="CP201" i="25"/>
  <c r="CR201" i="25" s="1"/>
  <c r="CS201" i="25" s="1"/>
  <c r="CW201" i="25" s="1"/>
  <c r="CX201" i="25" s="1"/>
  <c r="DA201" i="25" s="1"/>
  <c r="CQ70" i="25"/>
  <c r="CP70" i="25"/>
  <c r="CR70" i="25" s="1"/>
  <c r="CS70" i="25" s="1"/>
  <c r="CW70" i="25" s="1"/>
  <c r="CX70" i="25" s="1"/>
  <c r="DA70" i="25" s="1"/>
  <c r="CQ64" i="25"/>
  <c r="CP64" i="25"/>
  <c r="CR64" i="25" s="1"/>
  <c r="CQ54" i="25"/>
  <c r="CP54" i="25"/>
  <c r="CR54" i="25" s="1"/>
  <c r="CS54" i="25" s="1"/>
  <c r="CW54" i="25" s="1"/>
  <c r="CX54" i="25" s="1"/>
  <c r="DA54" i="25" s="1"/>
  <c r="CQ49" i="25"/>
  <c r="CP49" i="25"/>
  <c r="CR49" i="25" s="1"/>
  <c r="CS49" i="25" s="1"/>
  <c r="CW49" i="25" s="1"/>
  <c r="CX49" i="25" s="1"/>
  <c r="DA49" i="25" s="1"/>
  <c r="CQ37" i="25"/>
  <c r="CP37" i="25"/>
  <c r="CR37" i="25" s="1"/>
  <c r="CS37" i="25" s="1"/>
  <c r="CW37" i="25" s="1"/>
  <c r="CX37" i="25" s="1"/>
  <c r="DA37" i="25" s="1"/>
  <c r="CQ20" i="25"/>
  <c r="CP20" i="25"/>
  <c r="CR20" i="25" s="1"/>
  <c r="CQ15" i="25"/>
  <c r="CP15" i="25"/>
  <c r="CR15" i="25" s="1"/>
  <c r="CS15" i="25" s="1"/>
  <c r="CW15" i="25" s="1"/>
  <c r="CX15" i="25" s="1"/>
  <c r="DA15" i="25" s="1"/>
  <c r="CQ127" i="25"/>
  <c r="CP127" i="25"/>
  <c r="CR127" i="25" s="1"/>
  <c r="CQ120" i="25"/>
  <c r="CP120" i="25"/>
  <c r="CR120" i="25" s="1"/>
  <c r="CS120" i="25" s="1"/>
  <c r="CW120" i="25" s="1"/>
  <c r="CX120" i="25" s="1"/>
  <c r="DA120" i="25" s="1"/>
  <c r="CQ112" i="25"/>
  <c r="CP112" i="25"/>
  <c r="CR112" i="25" s="1"/>
  <c r="CS112" i="25" s="1"/>
  <c r="CW112" i="25" s="1"/>
  <c r="CX112" i="25" s="1"/>
  <c r="DA112" i="25" s="1"/>
  <c r="CQ104" i="25"/>
  <c r="CP104" i="25"/>
  <c r="CR104" i="25" s="1"/>
  <c r="CQ96" i="25"/>
  <c r="CP96" i="25"/>
  <c r="CR96" i="25" s="1"/>
  <c r="CQ174" i="25"/>
  <c r="CP174" i="25"/>
  <c r="CR174" i="25" s="1"/>
  <c r="CQ83" i="25"/>
  <c r="CP83" i="25"/>
  <c r="CR83" i="25" s="1"/>
  <c r="CQ78" i="25"/>
  <c r="CP78" i="25"/>
  <c r="CR78" i="25" s="1"/>
  <c r="CQ69" i="25"/>
  <c r="CP69" i="25"/>
  <c r="CR69" i="25" s="1"/>
  <c r="CQ63" i="25"/>
  <c r="CP63" i="25"/>
  <c r="CR63" i="25" s="1"/>
  <c r="CQ32" i="25"/>
  <c r="CP32" i="25"/>
  <c r="CR32" i="25" s="1"/>
  <c r="CQ9" i="25"/>
  <c r="CP9" i="25"/>
  <c r="CR9" i="25" s="1"/>
  <c r="CP134" i="25"/>
  <c r="CR134" i="25" s="1"/>
  <c r="CP126" i="25"/>
  <c r="CR126" i="25" s="1"/>
  <c r="CP119" i="25"/>
  <c r="CR119" i="25" s="1"/>
  <c r="CP111" i="25"/>
  <c r="CR111" i="25" s="1"/>
  <c r="CP149" i="25"/>
  <c r="CR149" i="25" s="1"/>
  <c r="CP77" i="25"/>
  <c r="CR77" i="25" s="1"/>
  <c r="CP142" i="25"/>
  <c r="CR142" i="25" s="1"/>
  <c r="CP68" i="25"/>
  <c r="CR68" i="25" s="1"/>
  <c r="CP47" i="25"/>
  <c r="CR47" i="25" s="1"/>
  <c r="CP13" i="25"/>
  <c r="CR13" i="25" s="1"/>
  <c r="CP46" i="25"/>
  <c r="CR46" i="25" s="1"/>
  <c r="CP88" i="25"/>
  <c r="CR88" i="25" s="1"/>
  <c r="CP8" i="25"/>
  <c r="CR8" i="25" s="1"/>
  <c r="DZ133" i="25"/>
  <c r="DZ110" i="25"/>
  <c r="DZ70" i="25"/>
  <c r="DZ40" i="25"/>
  <c r="DX45" i="25"/>
  <c r="DX32" i="25"/>
  <c r="DZ125" i="25"/>
  <c r="DX31" i="25"/>
  <c r="DZ201" i="25"/>
  <c r="DZ77" i="25"/>
  <c r="DZ68" i="25"/>
  <c r="DX134" i="25"/>
  <c r="DZ149" i="25"/>
  <c r="DZ87" i="25"/>
  <c r="DZ34" i="25"/>
  <c r="DZ127" i="25"/>
  <c r="DZ112" i="25"/>
  <c r="DZ97" i="25"/>
  <c r="DX116" i="25"/>
  <c r="DX131" i="25"/>
  <c r="DZ95" i="25"/>
  <c r="DZ64" i="25"/>
  <c r="DZ219" i="25"/>
  <c r="EH127" i="25"/>
  <c r="DZ120" i="25"/>
  <c r="DZ105" i="25"/>
  <c r="EH120" i="25"/>
  <c r="EH112" i="25"/>
  <c r="EH105" i="25"/>
  <c r="EH97" i="25"/>
  <c r="EH201" i="25"/>
  <c r="EH70" i="25"/>
  <c r="EH64" i="25"/>
  <c r="EH54" i="25"/>
  <c r="EH49" i="25"/>
  <c r="EH37" i="25"/>
  <c r="EH20" i="25"/>
  <c r="EH15" i="25"/>
  <c r="EH131" i="25"/>
  <c r="EH123" i="25"/>
  <c r="EH116" i="25"/>
  <c r="EH108" i="25"/>
  <c r="EH101" i="25"/>
  <c r="EH94" i="25"/>
  <c r="EH87" i="25"/>
  <c r="EH66" i="25"/>
  <c r="EH45" i="25"/>
  <c r="EH40" i="25"/>
  <c r="EH31" i="25"/>
  <c r="EH23" i="25"/>
  <c r="DZ102" i="25"/>
  <c r="DZ126" i="25"/>
  <c r="DZ109" i="25"/>
  <c r="DZ101" i="25"/>
  <c r="DX78" i="25"/>
  <c r="DT119" i="25"/>
  <c r="DT104" i="25"/>
  <c r="DT174" i="25"/>
  <c r="DT78" i="25"/>
  <c r="DZ108" i="25"/>
  <c r="DT129" i="25"/>
  <c r="DZ124" i="25"/>
  <c r="DZ83" i="25"/>
  <c r="DZ66" i="25"/>
  <c r="DX88" i="25"/>
  <c r="DT114" i="25"/>
  <c r="DT99" i="25"/>
  <c r="DZ132" i="25"/>
  <c r="DZ123" i="25"/>
  <c r="DZ174" i="25"/>
  <c r="DZ65" i="25"/>
  <c r="DT126" i="25"/>
  <c r="DZ82" i="25"/>
  <c r="DT111" i="25"/>
  <c r="DT96" i="25"/>
  <c r="DT83" i="25"/>
  <c r="DT112" i="25"/>
  <c r="DX37" i="25"/>
  <c r="DT201" i="25"/>
  <c r="DT68" i="25"/>
  <c r="DT110" i="25"/>
  <c r="DT131" i="25"/>
  <c r="DT123" i="25"/>
  <c r="DT116" i="25"/>
  <c r="DT108" i="25"/>
  <c r="DT101" i="25"/>
  <c r="DT94" i="25"/>
  <c r="DT87" i="25"/>
  <c r="DZ55" i="25"/>
  <c r="DX47" i="25"/>
  <c r="DZ47" i="25"/>
  <c r="DZ129" i="25"/>
  <c r="DZ114" i="25"/>
  <c r="DZ107" i="25"/>
  <c r="DZ99" i="25"/>
  <c r="DZ92" i="25"/>
  <c r="DZ218" i="25"/>
  <c r="DZ49" i="25"/>
  <c r="DZ25" i="25"/>
  <c r="DT105" i="25"/>
  <c r="EH129" i="25"/>
  <c r="EH114" i="25"/>
  <c r="EH107" i="25"/>
  <c r="EH99" i="25"/>
  <c r="EH92" i="25"/>
  <c r="EH218" i="25"/>
  <c r="EH55" i="25"/>
  <c r="EH51" i="25"/>
  <c r="EH219" i="25"/>
  <c r="EH34" i="25"/>
  <c r="EH25" i="25"/>
  <c r="EH17" i="25"/>
  <c r="DF127" i="25"/>
  <c r="DI127" i="25"/>
  <c r="DJ127" i="25" s="1"/>
  <c r="DF120" i="25"/>
  <c r="DI120" i="25"/>
  <c r="DJ120" i="25" s="1"/>
  <c r="DF112" i="25"/>
  <c r="DI112" i="25"/>
  <c r="DJ112" i="25" s="1"/>
  <c r="DF105" i="25"/>
  <c r="DF97" i="25"/>
  <c r="DI97" i="25"/>
  <c r="DJ97" i="25" s="1"/>
  <c r="DF201" i="25"/>
  <c r="DI201" i="25"/>
  <c r="DJ201" i="25" s="1"/>
  <c r="DF70" i="25"/>
  <c r="DI70" i="25"/>
  <c r="DJ70" i="25" s="1"/>
  <c r="DF64" i="25"/>
  <c r="DI64" i="25"/>
  <c r="DJ64" i="25" s="1"/>
  <c r="DF54" i="25"/>
  <c r="DI54" i="25"/>
  <c r="DJ54" i="25" s="1"/>
  <c r="DF49" i="25"/>
  <c r="DI49" i="25"/>
  <c r="DJ49" i="25" s="1"/>
  <c r="DF37" i="25"/>
  <c r="DI37" i="25"/>
  <c r="DJ37" i="25" s="1"/>
  <c r="DF20" i="25"/>
  <c r="DI20" i="25"/>
  <c r="DJ20" i="25" s="1"/>
  <c r="DF15" i="25"/>
  <c r="DI15" i="25"/>
  <c r="DJ15" i="25" s="1"/>
  <c r="DI134" i="25"/>
  <c r="DJ134" i="25" s="1"/>
  <c r="DF134" i="25"/>
  <c r="DF126" i="25"/>
  <c r="DI126" i="25"/>
  <c r="DJ126" i="25" s="1"/>
  <c r="DI119" i="25"/>
  <c r="DJ119" i="25" s="1"/>
  <c r="DF119" i="25"/>
  <c r="DF111" i="25"/>
  <c r="DI111" i="25"/>
  <c r="DJ111" i="25" s="1"/>
  <c r="DF104" i="25"/>
  <c r="DI104" i="25"/>
  <c r="DJ104" i="25" s="1"/>
  <c r="DF96" i="25"/>
  <c r="DI96" i="25"/>
  <c r="DJ96" i="25" s="1"/>
  <c r="DF174" i="25"/>
  <c r="DI174" i="25"/>
  <c r="DJ174" i="25" s="1"/>
  <c r="DF83" i="25"/>
  <c r="DI83" i="25"/>
  <c r="DJ83" i="25" s="1"/>
  <c r="DF78" i="25"/>
  <c r="DI78" i="25"/>
  <c r="DJ78" i="25" s="1"/>
  <c r="DF69" i="25"/>
  <c r="DI69" i="25"/>
  <c r="DJ69" i="25" s="1"/>
  <c r="DF63" i="25"/>
  <c r="DF32" i="25"/>
  <c r="DI32" i="25"/>
  <c r="DJ32" i="25" s="1"/>
  <c r="DF9" i="25"/>
  <c r="DI9" i="25"/>
  <c r="DJ9" i="25" s="1"/>
  <c r="DI63" i="25"/>
  <c r="DJ63" i="25" s="1"/>
  <c r="DF125" i="25"/>
  <c r="DI118" i="25"/>
  <c r="DJ118" i="25" s="1"/>
  <c r="DF110" i="25"/>
  <c r="DI110" i="25"/>
  <c r="DJ110" i="25" s="1"/>
  <c r="DF149" i="25"/>
  <c r="DI149" i="25"/>
  <c r="DJ149" i="25" s="1"/>
  <c r="DF77" i="25"/>
  <c r="DI77" i="25"/>
  <c r="DJ77" i="25" s="1"/>
  <c r="DI142" i="25"/>
  <c r="DJ142" i="25" s="1"/>
  <c r="DF142" i="25"/>
  <c r="DI68" i="25"/>
  <c r="DJ68" i="25" s="1"/>
  <c r="DF68" i="25"/>
  <c r="DF47" i="25"/>
  <c r="DI13" i="25"/>
  <c r="DJ13" i="25" s="1"/>
  <c r="DI125" i="25"/>
  <c r="DJ125" i="25" s="1"/>
  <c r="DF118" i="25"/>
  <c r="DF132" i="25"/>
  <c r="DI132" i="25"/>
  <c r="DJ132" i="25" s="1"/>
  <c r="DF124" i="25"/>
  <c r="DI124" i="25"/>
  <c r="DJ124" i="25" s="1"/>
  <c r="DF117" i="25"/>
  <c r="DI117" i="25"/>
  <c r="DJ117" i="25" s="1"/>
  <c r="DF109" i="25"/>
  <c r="DI109" i="25"/>
  <c r="DJ109" i="25" s="1"/>
  <c r="DF102" i="25"/>
  <c r="DI102" i="25"/>
  <c r="DJ102" i="25" s="1"/>
  <c r="DF95" i="25"/>
  <c r="DI95" i="25"/>
  <c r="DJ95" i="25" s="1"/>
  <c r="DF82" i="25"/>
  <c r="DI82" i="25"/>
  <c r="DJ82" i="25" s="1"/>
  <c r="DF46" i="25"/>
  <c r="DI46" i="25"/>
  <c r="DJ46" i="25" s="1"/>
  <c r="DF88" i="25"/>
  <c r="DI88" i="25"/>
  <c r="DJ88" i="25" s="1"/>
  <c r="DF8" i="25"/>
  <c r="DI8" i="25"/>
  <c r="DJ8" i="25" s="1"/>
  <c r="DI47" i="25"/>
  <c r="DJ47" i="25" s="1"/>
  <c r="DI131" i="25"/>
  <c r="DJ131" i="25" s="1"/>
  <c r="DF131" i="25"/>
  <c r="DF123" i="25"/>
  <c r="DI123" i="25"/>
  <c r="DJ123" i="25" s="1"/>
  <c r="DF116" i="25"/>
  <c r="DI116" i="25"/>
  <c r="DJ116" i="25" s="1"/>
  <c r="DF108" i="25"/>
  <c r="DI108" i="25"/>
  <c r="DJ108" i="25" s="1"/>
  <c r="DI101" i="25"/>
  <c r="DJ101" i="25" s="1"/>
  <c r="DF94" i="25"/>
  <c r="DI94" i="25"/>
  <c r="DJ94" i="25" s="1"/>
  <c r="DI87" i="25"/>
  <c r="DJ87" i="25" s="1"/>
  <c r="DF87" i="25"/>
  <c r="DI66" i="25"/>
  <c r="DJ66" i="25" s="1"/>
  <c r="DF66" i="25"/>
  <c r="DI45" i="25"/>
  <c r="DJ45" i="25" s="1"/>
  <c r="DF45" i="25"/>
  <c r="DF40" i="25"/>
  <c r="DI40" i="25"/>
  <c r="DJ40" i="25" s="1"/>
  <c r="DF31" i="25"/>
  <c r="DF23" i="25"/>
  <c r="DI23" i="25"/>
  <c r="DJ23" i="25" s="1"/>
  <c r="DI105" i="25"/>
  <c r="DJ105" i="25" s="1"/>
  <c r="DI133" i="25"/>
  <c r="DJ133" i="25" s="1"/>
  <c r="DF130" i="25"/>
  <c r="DI130" i="25"/>
  <c r="DJ130" i="25" s="1"/>
  <c r="DF122" i="25"/>
  <c r="DI122" i="25"/>
  <c r="DJ122" i="25" s="1"/>
  <c r="DF115" i="25"/>
  <c r="DF100" i="25"/>
  <c r="DI100" i="25"/>
  <c r="DJ100" i="25" s="1"/>
  <c r="DF93" i="25"/>
  <c r="DI93" i="25"/>
  <c r="DJ93" i="25" s="1"/>
  <c r="DF86" i="25"/>
  <c r="DF75" i="25"/>
  <c r="DI75" i="25"/>
  <c r="DJ75" i="25" s="1"/>
  <c r="DF65" i="25"/>
  <c r="DI65" i="25"/>
  <c r="DJ65" i="25" s="1"/>
  <c r="DF44" i="25"/>
  <c r="DI44" i="25"/>
  <c r="DJ44" i="25" s="1"/>
  <c r="DF27" i="25"/>
  <c r="DI27" i="25"/>
  <c r="DJ27" i="25" s="1"/>
  <c r="DF18" i="25"/>
  <c r="DI31" i="25"/>
  <c r="DJ31" i="25" s="1"/>
  <c r="DF129" i="25"/>
  <c r="DI129" i="25"/>
  <c r="DJ129" i="25" s="1"/>
  <c r="DF114" i="25"/>
  <c r="DI114" i="25"/>
  <c r="DJ114" i="25" s="1"/>
  <c r="DF107" i="25"/>
  <c r="DI107" i="25"/>
  <c r="DJ107" i="25" s="1"/>
  <c r="DF99" i="25"/>
  <c r="DI99" i="25"/>
  <c r="DJ99" i="25" s="1"/>
  <c r="DF92" i="25"/>
  <c r="DI92" i="25"/>
  <c r="DJ92" i="25" s="1"/>
  <c r="DF218" i="25"/>
  <c r="DI218" i="25"/>
  <c r="DJ218" i="25" s="1"/>
  <c r="DF55" i="25"/>
  <c r="DI55" i="25"/>
  <c r="DJ55" i="25" s="1"/>
  <c r="DF51" i="25"/>
  <c r="DI51" i="25"/>
  <c r="DJ51" i="25" s="1"/>
  <c r="DF219" i="25"/>
  <c r="DI219" i="25"/>
  <c r="DJ219" i="25" s="1"/>
  <c r="DF34" i="25"/>
  <c r="DI34" i="25"/>
  <c r="DJ34" i="25" s="1"/>
  <c r="DF25" i="25"/>
  <c r="DI25" i="25"/>
  <c r="DJ25" i="25" s="1"/>
  <c r="DF17" i="25"/>
  <c r="DI17" i="25"/>
  <c r="DJ17" i="25" s="1"/>
  <c r="DI86" i="25"/>
  <c r="DJ86" i="25" s="1"/>
  <c r="DI128" i="25"/>
  <c r="DJ128" i="25" s="1"/>
  <c r="DF128" i="25"/>
  <c r="DI121" i="25"/>
  <c r="DJ121" i="25" s="1"/>
  <c r="DF121" i="25"/>
  <c r="DF113" i="25"/>
  <c r="DI113" i="25"/>
  <c r="DJ113" i="25" s="1"/>
  <c r="DI106" i="25"/>
  <c r="DJ106" i="25" s="1"/>
  <c r="DF106" i="25"/>
  <c r="DI98" i="25"/>
  <c r="DJ98" i="25" s="1"/>
  <c r="DF98" i="25"/>
  <c r="DF91" i="25"/>
  <c r="DI91" i="25"/>
  <c r="DJ91" i="25" s="1"/>
  <c r="DF79" i="25"/>
  <c r="DI79" i="25"/>
  <c r="DJ79" i="25" s="1"/>
  <c r="DF74" i="25"/>
  <c r="DI74" i="25"/>
  <c r="DJ74" i="25" s="1"/>
  <c r="DF50" i="25"/>
  <c r="DI50" i="25"/>
  <c r="DJ50" i="25" s="1"/>
  <c r="DF38" i="25"/>
  <c r="DF21" i="25"/>
  <c r="DI21" i="25"/>
  <c r="DJ21" i="25" s="1"/>
  <c r="DF16" i="25"/>
  <c r="DI16" i="25"/>
  <c r="DJ16" i="25" s="1"/>
  <c r="DI18" i="25"/>
  <c r="DJ18" i="25" s="1"/>
  <c r="X137" i="89"/>
  <c r="W137" i="89"/>
  <c r="V137" i="89"/>
  <c r="U137" i="89"/>
  <c r="T137" i="89"/>
  <c r="X136" i="89"/>
  <c r="W136" i="89"/>
  <c r="V136" i="89"/>
  <c r="U136" i="89"/>
  <c r="T136" i="89"/>
  <c r="X135" i="89"/>
  <c r="W135" i="89"/>
  <c r="V135" i="89"/>
  <c r="U135" i="89"/>
  <c r="T135" i="89"/>
  <c r="X133" i="89"/>
  <c r="W133" i="89"/>
  <c r="V133" i="89"/>
  <c r="U133" i="89"/>
  <c r="T133" i="89"/>
  <c r="X132" i="89"/>
  <c r="W132" i="89"/>
  <c r="V132" i="89"/>
  <c r="U132" i="89"/>
  <c r="T132" i="89"/>
  <c r="X131" i="89"/>
  <c r="W131" i="89"/>
  <c r="V131" i="89"/>
  <c r="U131" i="89"/>
  <c r="T131" i="89"/>
  <c r="X117" i="89"/>
  <c r="W117" i="89"/>
  <c r="V117" i="89"/>
  <c r="U117" i="89"/>
  <c r="T117" i="89"/>
  <c r="X116" i="89"/>
  <c r="W116" i="89"/>
  <c r="V116" i="89"/>
  <c r="U116" i="89"/>
  <c r="T116" i="89"/>
  <c r="X114" i="89"/>
  <c r="W114" i="89"/>
  <c r="V114" i="89"/>
  <c r="U114" i="89"/>
  <c r="T114" i="89"/>
  <c r="X113" i="89"/>
  <c r="W113" i="89"/>
  <c r="V113" i="89"/>
  <c r="U113" i="89"/>
  <c r="T113" i="89"/>
  <c r="X112" i="89"/>
  <c r="W112" i="89"/>
  <c r="V112" i="89"/>
  <c r="U112" i="89"/>
  <c r="T112" i="89"/>
  <c r="D248" i="89"/>
  <c r="AL125" i="89"/>
  <c r="O43" i="89"/>
  <c r="N43" i="89"/>
  <c r="M43" i="89"/>
  <c r="L43" i="89"/>
  <c r="K43" i="89"/>
  <c r="J43" i="89"/>
  <c r="I43" i="89"/>
  <c r="H43" i="89"/>
  <c r="F43" i="89"/>
  <c r="E43" i="89"/>
  <c r="AL25" i="89"/>
  <c r="AK25" i="89"/>
  <c r="P25" i="89"/>
  <c r="E248" i="89" s="1"/>
  <c r="Y117" i="89"/>
  <c r="Y116" i="89"/>
  <c r="Y114" i="89"/>
  <c r="Y113" i="89"/>
  <c r="Y112" i="89"/>
  <c r="F248" i="89" l="1"/>
  <c r="S189" i="89"/>
  <c r="AM25" i="89"/>
  <c r="W25" i="89"/>
  <c r="AH25" i="89"/>
  <c r="AI25" i="89"/>
  <c r="CV37" i="25"/>
  <c r="CY37" i="25" s="1"/>
  <c r="CZ37" i="25" s="1"/>
  <c r="CV201" i="25"/>
  <c r="CY201" i="25" s="1"/>
  <c r="CZ201" i="25" s="1"/>
  <c r="CV105" i="25"/>
  <c r="CY105" i="25" s="1"/>
  <c r="CZ105" i="25" s="1"/>
  <c r="CV120" i="25"/>
  <c r="CY120" i="25" s="1"/>
  <c r="CZ120" i="25" s="1"/>
  <c r="CV49" i="25"/>
  <c r="CY49" i="25" s="1"/>
  <c r="CZ49" i="25" s="1"/>
  <c r="CV70" i="25"/>
  <c r="CY70" i="25" s="1"/>
  <c r="CZ70" i="25" s="1"/>
  <c r="CV92" i="25"/>
  <c r="CY92" i="25" s="1"/>
  <c r="CZ92" i="25" s="1"/>
  <c r="CV128" i="25"/>
  <c r="CY128" i="25" s="1"/>
  <c r="CZ128" i="25" s="1"/>
  <c r="CV50" i="25"/>
  <c r="CY50" i="25" s="1"/>
  <c r="CZ50" i="25" s="1"/>
  <c r="CV38" i="25"/>
  <c r="CY38" i="25" s="1"/>
  <c r="CZ38" i="25" s="1"/>
  <c r="CV21" i="25"/>
  <c r="CY21" i="25" s="1"/>
  <c r="CZ21" i="25" s="1"/>
  <c r="CV218" i="25"/>
  <c r="CY218" i="25" s="1"/>
  <c r="CZ218" i="25" s="1"/>
  <c r="CV106" i="25"/>
  <c r="CY106" i="25" s="1"/>
  <c r="CZ106" i="25" s="1"/>
  <c r="CV113" i="25"/>
  <c r="CY113" i="25" s="1"/>
  <c r="CZ113" i="25" s="1"/>
  <c r="CV107" i="25"/>
  <c r="CY107" i="25" s="1"/>
  <c r="CZ107" i="25" s="1"/>
  <c r="CV99" i="25"/>
  <c r="CY99" i="25" s="1"/>
  <c r="CZ99" i="25" s="1"/>
  <c r="CV219" i="25"/>
  <c r="CY219" i="25" s="1"/>
  <c r="CZ219" i="25" s="1"/>
  <c r="CV51" i="25"/>
  <c r="CY51" i="25" s="1"/>
  <c r="CZ51" i="25" s="1"/>
  <c r="CV74" i="25"/>
  <c r="CY74" i="25" s="1"/>
  <c r="CZ74" i="25" s="1"/>
  <c r="CV112" i="25"/>
  <c r="CY112" i="25" s="1"/>
  <c r="CZ112" i="25" s="1"/>
  <c r="CV121" i="25"/>
  <c r="CY121" i="25" s="1"/>
  <c r="CZ121" i="25" s="1"/>
  <c r="CV98" i="25"/>
  <c r="CY98" i="25" s="1"/>
  <c r="CZ98" i="25" s="1"/>
  <c r="CV15" i="25"/>
  <c r="CY15" i="25" s="1"/>
  <c r="CZ15" i="25" s="1"/>
  <c r="CS27" i="25"/>
  <c r="CW27" i="25" s="1"/>
  <c r="CX27" i="25" s="1"/>
  <c r="DA27" i="25" s="1"/>
  <c r="CV27" i="25"/>
  <c r="CY27" i="25" s="1"/>
  <c r="CZ27" i="25" s="1"/>
  <c r="CS133" i="25"/>
  <c r="CW133" i="25" s="1"/>
  <c r="CX133" i="25" s="1"/>
  <c r="DA133" i="25" s="1"/>
  <c r="CV133" i="25"/>
  <c r="CY133" i="25" s="1"/>
  <c r="CZ133" i="25" s="1"/>
  <c r="CS94" i="25"/>
  <c r="CW94" i="25" s="1"/>
  <c r="CX94" i="25" s="1"/>
  <c r="DA94" i="25" s="1"/>
  <c r="CV94" i="25"/>
  <c r="CY94" i="25" s="1"/>
  <c r="CZ94" i="25" s="1"/>
  <c r="CS142" i="25"/>
  <c r="CW142" i="25" s="1"/>
  <c r="CX142" i="25" s="1"/>
  <c r="DA142" i="25" s="1"/>
  <c r="CV142" i="25"/>
  <c r="CY142" i="25" s="1"/>
  <c r="CZ142" i="25" s="1"/>
  <c r="CS118" i="25"/>
  <c r="CW118" i="25" s="1"/>
  <c r="CX118" i="25" s="1"/>
  <c r="DA118" i="25" s="1"/>
  <c r="CV118" i="25"/>
  <c r="CY118" i="25" s="1"/>
  <c r="CZ118" i="25" s="1"/>
  <c r="CS9" i="25"/>
  <c r="CW9" i="25" s="1"/>
  <c r="CX9" i="25" s="1"/>
  <c r="DA9" i="25" s="1"/>
  <c r="CV9" i="25"/>
  <c r="CY9" i="25" s="1"/>
  <c r="CZ9" i="25" s="1"/>
  <c r="CS127" i="25"/>
  <c r="CW127" i="25" s="1"/>
  <c r="CX127" i="25" s="1"/>
  <c r="DA127" i="25" s="1"/>
  <c r="CV127" i="25"/>
  <c r="CY127" i="25" s="1"/>
  <c r="CZ127" i="25" s="1"/>
  <c r="CS63" i="25"/>
  <c r="CW63" i="25" s="1"/>
  <c r="CX63" i="25" s="1"/>
  <c r="DA63" i="25" s="1"/>
  <c r="CV63" i="25"/>
  <c r="CY63" i="25" s="1"/>
  <c r="CZ63" i="25" s="1"/>
  <c r="CS126" i="25"/>
  <c r="CW126" i="25" s="1"/>
  <c r="CX126" i="25" s="1"/>
  <c r="DA126" i="25" s="1"/>
  <c r="CV126" i="25"/>
  <c r="CY126" i="25" s="1"/>
  <c r="CZ126" i="25" s="1"/>
  <c r="CS115" i="25"/>
  <c r="CW115" i="25" s="1"/>
  <c r="CX115" i="25" s="1"/>
  <c r="DA115" i="25" s="1"/>
  <c r="CV115" i="25"/>
  <c r="CY115" i="25" s="1"/>
  <c r="CZ115" i="25" s="1"/>
  <c r="CS130" i="25"/>
  <c r="CW130" i="25" s="1"/>
  <c r="CX130" i="25" s="1"/>
  <c r="DA130" i="25" s="1"/>
  <c r="CV130" i="25"/>
  <c r="CY130" i="25" s="1"/>
  <c r="CZ130" i="25" s="1"/>
  <c r="CS88" i="25"/>
  <c r="CW88" i="25" s="1"/>
  <c r="CX88" i="25" s="1"/>
  <c r="DA88" i="25" s="1"/>
  <c r="CV88" i="25"/>
  <c r="CY88" i="25" s="1"/>
  <c r="CZ88" i="25" s="1"/>
  <c r="CS82" i="25"/>
  <c r="CW82" i="25" s="1"/>
  <c r="CX82" i="25" s="1"/>
  <c r="DA82" i="25" s="1"/>
  <c r="CV82" i="25"/>
  <c r="CY82" i="25" s="1"/>
  <c r="CZ82" i="25" s="1"/>
  <c r="CS95" i="25"/>
  <c r="CW95" i="25" s="1"/>
  <c r="CX95" i="25" s="1"/>
  <c r="DA95" i="25" s="1"/>
  <c r="CV95" i="25"/>
  <c r="CY95" i="25" s="1"/>
  <c r="CZ95" i="25" s="1"/>
  <c r="CS109" i="25"/>
  <c r="CW109" i="25" s="1"/>
  <c r="CX109" i="25" s="1"/>
  <c r="DA109" i="25" s="1"/>
  <c r="CV109" i="25"/>
  <c r="CY109" i="25" s="1"/>
  <c r="CZ109" i="25" s="1"/>
  <c r="CS124" i="25"/>
  <c r="CW124" i="25" s="1"/>
  <c r="CX124" i="25" s="1"/>
  <c r="DA124" i="25" s="1"/>
  <c r="CV124" i="25"/>
  <c r="CY124" i="25" s="1"/>
  <c r="CZ124" i="25" s="1"/>
  <c r="CV97" i="25"/>
  <c r="CY97" i="25" s="1"/>
  <c r="CZ97" i="25" s="1"/>
  <c r="CS97" i="25"/>
  <c r="CW97" i="25" s="1"/>
  <c r="CX97" i="25" s="1"/>
  <c r="DA97" i="25" s="1"/>
  <c r="CS31" i="25"/>
  <c r="CW31" i="25" s="1"/>
  <c r="CX31" i="25" s="1"/>
  <c r="DA31" i="25" s="1"/>
  <c r="CV31" i="25"/>
  <c r="CY31" i="25" s="1"/>
  <c r="CZ31" i="25" s="1"/>
  <c r="CS111" i="25"/>
  <c r="CW111" i="25" s="1"/>
  <c r="CX111" i="25" s="1"/>
  <c r="DA111" i="25" s="1"/>
  <c r="CV111" i="25"/>
  <c r="CY111" i="25" s="1"/>
  <c r="CZ111" i="25" s="1"/>
  <c r="CS64" i="25"/>
  <c r="CW64" i="25" s="1"/>
  <c r="CX64" i="25" s="1"/>
  <c r="DA64" i="25" s="1"/>
  <c r="CV64" i="25"/>
  <c r="CY64" i="25" s="1"/>
  <c r="CZ64" i="25" s="1"/>
  <c r="CV16" i="25"/>
  <c r="CY16" i="25" s="1"/>
  <c r="CZ16" i="25" s="1"/>
  <c r="CS65" i="25"/>
  <c r="CW65" i="25" s="1"/>
  <c r="CX65" i="25" s="1"/>
  <c r="DA65" i="25" s="1"/>
  <c r="CV65" i="25"/>
  <c r="CY65" i="25" s="1"/>
  <c r="CZ65" i="25" s="1"/>
  <c r="CS75" i="25"/>
  <c r="CW75" i="25" s="1"/>
  <c r="CX75" i="25" s="1"/>
  <c r="DA75" i="25" s="1"/>
  <c r="CV75" i="25"/>
  <c r="CY75" i="25" s="1"/>
  <c r="CZ75" i="25" s="1"/>
  <c r="CS23" i="25"/>
  <c r="CW23" i="25" s="1"/>
  <c r="CX23" i="25" s="1"/>
  <c r="DA23" i="25" s="1"/>
  <c r="CV23" i="25"/>
  <c r="CY23" i="25" s="1"/>
  <c r="CZ23" i="25" s="1"/>
  <c r="CS101" i="25"/>
  <c r="CW101" i="25" s="1"/>
  <c r="CX101" i="25" s="1"/>
  <c r="DA101" i="25" s="1"/>
  <c r="CV101" i="25"/>
  <c r="CY101" i="25" s="1"/>
  <c r="CZ101" i="25" s="1"/>
  <c r="CS116" i="25"/>
  <c r="CW116" i="25" s="1"/>
  <c r="CX116" i="25" s="1"/>
  <c r="DA116" i="25" s="1"/>
  <c r="CV116" i="25"/>
  <c r="CY116" i="25" s="1"/>
  <c r="CZ116" i="25" s="1"/>
  <c r="CS131" i="25"/>
  <c r="CW131" i="25" s="1"/>
  <c r="CX131" i="25" s="1"/>
  <c r="DA131" i="25" s="1"/>
  <c r="CV131" i="25"/>
  <c r="CY131" i="25" s="1"/>
  <c r="CZ131" i="25" s="1"/>
  <c r="CS149" i="25"/>
  <c r="CW149" i="25" s="1"/>
  <c r="CX149" i="25" s="1"/>
  <c r="DA149" i="25" s="1"/>
  <c r="CV149" i="25"/>
  <c r="CY149" i="25" s="1"/>
  <c r="CZ149" i="25" s="1"/>
  <c r="CS32" i="25"/>
  <c r="CW32" i="25" s="1"/>
  <c r="CX32" i="25" s="1"/>
  <c r="DA32" i="25" s="1"/>
  <c r="CV32" i="25"/>
  <c r="CY32" i="25" s="1"/>
  <c r="CZ32" i="25" s="1"/>
  <c r="CS18" i="25"/>
  <c r="CW18" i="25" s="1"/>
  <c r="CX18" i="25" s="1"/>
  <c r="DA18" i="25" s="1"/>
  <c r="CV18" i="25"/>
  <c r="CY18" i="25" s="1"/>
  <c r="CZ18" i="25" s="1"/>
  <c r="CS44" i="25"/>
  <c r="CW44" i="25" s="1"/>
  <c r="CX44" i="25" s="1"/>
  <c r="DA44" i="25" s="1"/>
  <c r="CV44" i="25"/>
  <c r="CY44" i="25" s="1"/>
  <c r="CZ44" i="25" s="1"/>
  <c r="CS87" i="25"/>
  <c r="CW87" i="25" s="1"/>
  <c r="CX87" i="25" s="1"/>
  <c r="DA87" i="25" s="1"/>
  <c r="CV87" i="25"/>
  <c r="CY87" i="25" s="1"/>
  <c r="CZ87" i="25" s="1"/>
  <c r="CS77" i="25"/>
  <c r="CW77" i="25" s="1"/>
  <c r="CX77" i="25" s="1"/>
  <c r="DA77" i="25" s="1"/>
  <c r="CV77" i="25"/>
  <c r="CY77" i="25" s="1"/>
  <c r="CZ77" i="25" s="1"/>
  <c r="CS40" i="25"/>
  <c r="CW40" i="25" s="1"/>
  <c r="CX40" i="25" s="1"/>
  <c r="DA40" i="25" s="1"/>
  <c r="CV40" i="25"/>
  <c r="CY40" i="25" s="1"/>
  <c r="CZ40" i="25" s="1"/>
  <c r="CS83" i="25"/>
  <c r="CW83" i="25" s="1"/>
  <c r="CX83" i="25" s="1"/>
  <c r="DA83" i="25" s="1"/>
  <c r="CV83" i="25"/>
  <c r="CY83" i="25" s="1"/>
  <c r="CZ83" i="25" s="1"/>
  <c r="CV79" i="25"/>
  <c r="CY79" i="25" s="1"/>
  <c r="CZ79" i="25" s="1"/>
  <c r="CS79" i="25"/>
  <c r="CW79" i="25" s="1"/>
  <c r="CX79" i="25" s="1"/>
  <c r="DA79" i="25" s="1"/>
  <c r="CS91" i="25"/>
  <c r="CW91" i="25" s="1"/>
  <c r="CX91" i="25" s="1"/>
  <c r="DA91" i="25" s="1"/>
  <c r="CV91" i="25"/>
  <c r="CY91" i="25" s="1"/>
  <c r="CZ91" i="25" s="1"/>
  <c r="CS17" i="25"/>
  <c r="CW17" i="25" s="1"/>
  <c r="CX17" i="25" s="1"/>
  <c r="DA17" i="25" s="1"/>
  <c r="CV17" i="25"/>
  <c r="CY17" i="25" s="1"/>
  <c r="CZ17" i="25" s="1"/>
  <c r="CS25" i="25"/>
  <c r="CW25" i="25" s="1"/>
  <c r="CX25" i="25" s="1"/>
  <c r="DA25" i="25" s="1"/>
  <c r="CV25" i="25"/>
  <c r="CY25" i="25" s="1"/>
  <c r="CZ25" i="25" s="1"/>
  <c r="CV34" i="25"/>
  <c r="CY34" i="25" s="1"/>
  <c r="CZ34" i="25" s="1"/>
  <c r="CS34" i="25"/>
  <c r="CW34" i="25" s="1"/>
  <c r="CX34" i="25" s="1"/>
  <c r="DA34" i="25" s="1"/>
  <c r="CS55" i="25"/>
  <c r="CW55" i="25" s="1"/>
  <c r="CX55" i="25" s="1"/>
  <c r="DA55" i="25" s="1"/>
  <c r="CV55" i="25"/>
  <c r="CY55" i="25" s="1"/>
  <c r="CZ55" i="25" s="1"/>
  <c r="CS114" i="25"/>
  <c r="CW114" i="25" s="1"/>
  <c r="CX114" i="25" s="1"/>
  <c r="DA114" i="25" s="1"/>
  <c r="CV114" i="25"/>
  <c r="CY114" i="25" s="1"/>
  <c r="CZ114" i="25" s="1"/>
  <c r="CS129" i="25"/>
  <c r="CW129" i="25" s="1"/>
  <c r="CX129" i="25" s="1"/>
  <c r="DA129" i="25" s="1"/>
  <c r="CV129" i="25"/>
  <c r="CY129" i="25" s="1"/>
  <c r="CZ129" i="25" s="1"/>
  <c r="CS122" i="25"/>
  <c r="CW122" i="25" s="1"/>
  <c r="CX122" i="25" s="1"/>
  <c r="DA122" i="25" s="1"/>
  <c r="CV122" i="25"/>
  <c r="CY122" i="25" s="1"/>
  <c r="CZ122" i="25" s="1"/>
  <c r="CS66" i="25"/>
  <c r="CW66" i="25" s="1"/>
  <c r="CX66" i="25" s="1"/>
  <c r="DA66" i="25" s="1"/>
  <c r="CV66" i="25"/>
  <c r="CY66" i="25" s="1"/>
  <c r="CZ66" i="25" s="1"/>
  <c r="CS8" i="25"/>
  <c r="CW8" i="25" s="1"/>
  <c r="CX8" i="25" s="1"/>
  <c r="DA8" i="25" s="1"/>
  <c r="CV8" i="25"/>
  <c r="CY8" i="25" s="1"/>
  <c r="CZ8" i="25" s="1"/>
  <c r="CS46" i="25"/>
  <c r="CW46" i="25" s="1"/>
  <c r="CX46" i="25" s="1"/>
  <c r="DA46" i="25" s="1"/>
  <c r="CV46" i="25"/>
  <c r="CY46" i="25" s="1"/>
  <c r="CZ46" i="25" s="1"/>
  <c r="CS102" i="25"/>
  <c r="CW102" i="25" s="1"/>
  <c r="CX102" i="25" s="1"/>
  <c r="DA102" i="25" s="1"/>
  <c r="CV102" i="25"/>
  <c r="CY102" i="25" s="1"/>
  <c r="CZ102" i="25" s="1"/>
  <c r="CS117" i="25"/>
  <c r="CW117" i="25" s="1"/>
  <c r="CX117" i="25" s="1"/>
  <c r="DA117" i="25" s="1"/>
  <c r="CV117" i="25"/>
  <c r="CY117" i="25" s="1"/>
  <c r="CZ117" i="25" s="1"/>
  <c r="CS132" i="25"/>
  <c r="CW132" i="25" s="1"/>
  <c r="CX132" i="25" s="1"/>
  <c r="DA132" i="25" s="1"/>
  <c r="CV132" i="25"/>
  <c r="CY132" i="25" s="1"/>
  <c r="CZ132" i="25" s="1"/>
  <c r="CS13" i="25"/>
  <c r="CW13" i="25" s="1"/>
  <c r="CX13" i="25" s="1"/>
  <c r="DA13" i="25" s="1"/>
  <c r="CV13" i="25"/>
  <c r="CY13" i="25" s="1"/>
  <c r="CZ13" i="25" s="1"/>
  <c r="CS68" i="25"/>
  <c r="CW68" i="25" s="1"/>
  <c r="CX68" i="25" s="1"/>
  <c r="DA68" i="25" s="1"/>
  <c r="CV68" i="25"/>
  <c r="CY68" i="25" s="1"/>
  <c r="CZ68" i="25" s="1"/>
  <c r="CS110" i="25"/>
  <c r="CW110" i="25" s="1"/>
  <c r="CX110" i="25" s="1"/>
  <c r="DA110" i="25" s="1"/>
  <c r="CV110" i="25"/>
  <c r="CY110" i="25" s="1"/>
  <c r="CZ110" i="25" s="1"/>
  <c r="CS86" i="25"/>
  <c r="CW86" i="25" s="1"/>
  <c r="CX86" i="25" s="1"/>
  <c r="DA86" i="25" s="1"/>
  <c r="CV86" i="25"/>
  <c r="CY86" i="25" s="1"/>
  <c r="CZ86" i="25" s="1"/>
  <c r="CS125" i="25"/>
  <c r="CW125" i="25" s="1"/>
  <c r="CX125" i="25" s="1"/>
  <c r="DA125" i="25" s="1"/>
  <c r="CV125" i="25"/>
  <c r="CY125" i="25" s="1"/>
  <c r="CZ125" i="25" s="1"/>
  <c r="CV54" i="25"/>
  <c r="CY54" i="25" s="1"/>
  <c r="CZ54" i="25" s="1"/>
  <c r="CS93" i="25"/>
  <c r="CW93" i="25" s="1"/>
  <c r="CX93" i="25" s="1"/>
  <c r="DA93" i="25" s="1"/>
  <c r="CV93" i="25"/>
  <c r="CY93" i="25" s="1"/>
  <c r="CZ93" i="25" s="1"/>
  <c r="CS45" i="25"/>
  <c r="CW45" i="25" s="1"/>
  <c r="CX45" i="25" s="1"/>
  <c r="DA45" i="25" s="1"/>
  <c r="CV45" i="25"/>
  <c r="CY45" i="25" s="1"/>
  <c r="CZ45" i="25" s="1"/>
  <c r="CS47" i="25"/>
  <c r="CW47" i="25" s="1"/>
  <c r="CX47" i="25" s="1"/>
  <c r="DA47" i="25" s="1"/>
  <c r="CV47" i="25"/>
  <c r="CY47" i="25" s="1"/>
  <c r="CZ47" i="25" s="1"/>
  <c r="CS69" i="25"/>
  <c r="CW69" i="25" s="1"/>
  <c r="CX69" i="25" s="1"/>
  <c r="DA69" i="25" s="1"/>
  <c r="CV69" i="25"/>
  <c r="CY69" i="25" s="1"/>
  <c r="CZ69" i="25" s="1"/>
  <c r="CS78" i="25"/>
  <c r="CW78" i="25" s="1"/>
  <c r="CX78" i="25" s="1"/>
  <c r="DA78" i="25" s="1"/>
  <c r="CV78" i="25"/>
  <c r="CY78" i="25" s="1"/>
  <c r="CZ78" i="25" s="1"/>
  <c r="CS174" i="25"/>
  <c r="CW174" i="25" s="1"/>
  <c r="CX174" i="25" s="1"/>
  <c r="DA174" i="25" s="1"/>
  <c r="CV174" i="25"/>
  <c r="CY174" i="25" s="1"/>
  <c r="CZ174" i="25" s="1"/>
  <c r="CS104" i="25"/>
  <c r="CW104" i="25" s="1"/>
  <c r="CX104" i="25" s="1"/>
  <c r="DA104" i="25" s="1"/>
  <c r="CV104" i="25"/>
  <c r="CY104" i="25" s="1"/>
  <c r="CZ104" i="25" s="1"/>
  <c r="CS119" i="25"/>
  <c r="CW119" i="25" s="1"/>
  <c r="CX119" i="25" s="1"/>
  <c r="DA119" i="25" s="1"/>
  <c r="CV119" i="25"/>
  <c r="CY119" i="25" s="1"/>
  <c r="CZ119" i="25" s="1"/>
  <c r="CS134" i="25"/>
  <c r="CW134" i="25" s="1"/>
  <c r="CX134" i="25" s="1"/>
  <c r="DA134" i="25" s="1"/>
  <c r="CV134" i="25"/>
  <c r="CY134" i="25" s="1"/>
  <c r="CZ134" i="25" s="1"/>
  <c r="CS20" i="25"/>
  <c r="CW20" i="25" s="1"/>
  <c r="CX20" i="25" s="1"/>
  <c r="DA20" i="25" s="1"/>
  <c r="CV20" i="25"/>
  <c r="CY20" i="25" s="1"/>
  <c r="CZ20" i="25" s="1"/>
  <c r="CS100" i="25"/>
  <c r="CW100" i="25" s="1"/>
  <c r="CX100" i="25" s="1"/>
  <c r="DA100" i="25" s="1"/>
  <c r="CV100" i="25"/>
  <c r="CY100" i="25" s="1"/>
  <c r="CZ100" i="25" s="1"/>
  <c r="CS96" i="25"/>
  <c r="CW96" i="25" s="1"/>
  <c r="CX96" i="25" s="1"/>
  <c r="DA96" i="25" s="1"/>
  <c r="CV96" i="25"/>
  <c r="CY96" i="25" s="1"/>
  <c r="CZ96" i="25" s="1"/>
  <c r="CS108" i="25"/>
  <c r="CW108" i="25" s="1"/>
  <c r="CX108" i="25" s="1"/>
  <c r="DA108" i="25" s="1"/>
  <c r="CV108" i="25"/>
  <c r="CY108" i="25" s="1"/>
  <c r="CZ108" i="25" s="1"/>
  <c r="CS123" i="25"/>
  <c r="CW123" i="25" s="1"/>
  <c r="CX123" i="25" s="1"/>
  <c r="DA123" i="25" s="1"/>
  <c r="CV123" i="25"/>
  <c r="CY123" i="25" s="1"/>
  <c r="CZ123" i="25" s="1"/>
  <c r="T25" i="89"/>
  <c r="U25" i="89"/>
  <c r="V25" i="89"/>
  <c r="X25" i="89"/>
  <c r="Q25" i="89"/>
  <c r="R25" i="89" s="1"/>
  <c r="Y25" i="89"/>
  <c r="AK29" i="89" l="1"/>
  <c r="AP26" i="89" l="1"/>
  <c r="AP28" i="89"/>
  <c r="AP34" i="89"/>
  <c r="AP35" i="89"/>
  <c r="AP38" i="89"/>
  <c r="M157" i="89"/>
  <c r="AK26" i="89"/>
  <c r="AL26" i="89"/>
  <c r="AK27" i="89"/>
  <c r="AL27" i="89"/>
  <c r="AK28" i="89"/>
  <c r="AL28" i="89"/>
  <c r="AL29" i="89"/>
  <c r="AL30" i="89"/>
  <c r="AK31" i="89"/>
  <c r="AL31" i="89"/>
  <c r="AK32" i="89"/>
  <c r="AL32" i="89"/>
  <c r="AK33" i="89"/>
  <c r="AL33" i="89"/>
  <c r="AK34" i="89"/>
  <c r="AL34" i="89"/>
  <c r="AK35" i="89"/>
  <c r="AL35" i="89"/>
  <c r="AK36" i="89"/>
  <c r="AL36" i="89"/>
  <c r="AK37" i="89"/>
  <c r="AL37" i="89"/>
  <c r="AK38" i="89"/>
  <c r="AL38" i="89"/>
  <c r="AL39" i="89"/>
  <c r="AK40" i="89"/>
  <c r="AL40" i="89"/>
  <c r="AK41" i="89"/>
  <c r="AL41" i="89"/>
  <c r="AK42" i="89"/>
  <c r="AL42" i="89"/>
  <c r="AK44" i="89"/>
  <c r="AL44" i="89"/>
  <c r="AK45" i="89"/>
  <c r="AL45" i="89"/>
  <c r="AK46" i="89"/>
  <c r="AL46" i="89"/>
  <c r="AK47" i="89"/>
  <c r="AL47" i="89"/>
  <c r="AK48" i="89"/>
  <c r="AL48" i="89"/>
  <c r="AL49" i="89"/>
  <c r="AK50" i="89"/>
  <c r="AL50" i="89"/>
  <c r="AK51" i="89"/>
  <c r="AL51" i="89"/>
  <c r="AK52" i="89"/>
  <c r="AL52" i="89"/>
  <c r="AK53" i="89"/>
  <c r="AL53" i="89"/>
  <c r="AK54" i="89"/>
  <c r="AL54" i="89"/>
  <c r="AK55" i="89"/>
  <c r="AL55" i="89"/>
  <c r="AK56" i="89"/>
  <c r="AL56" i="89"/>
  <c r="AK57" i="89"/>
  <c r="AL57" i="89"/>
  <c r="AL58" i="89"/>
  <c r="AK59" i="89"/>
  <c r="AL59" i="89"/>
  <c r="AK60" i="89"/>
  <c r="AL60" i="89"/>
  <c r="AK61" i="89"/>
  <c r="AL61" i="89"/>
  <c r="AK63" i="89"/>
  <c r="AL63" i="89"/>
  <c r="AK64" i="89"/>
  <c r="AL64" i="89"/>
  <c r="AK65" i="89"/>
  <c r="AL65" i="89"/>
  <c r="AK66" i="89"/>
  <c r="AL66" i="89"/>
  <c r="AK67" i="89"/>
  <c r="AL67" i="89"/>
  <c r="AL68" i="89"/>
  <c r="AK69" i="89"/>
  <c r="AL69" i="89"/>
  <c r="AK70" i="89"/>
  <c r="AL70" i="89"/>
  <c r="AK71" i="89"/>
  <c r="AL71" i="89"/>
  <c r="AK72" i="89"/>
  <c r="AL72" i="89"/>
  <c r="AK73" i="89"/>
  <c r="AL73" i="89"/>
  <c r="AK74" i="89"/>
  <c r="AL74" i="89"/>
  <c r="AK75" i="89"/>
  <c r="AL75" i="89"/>
  <c r="AK76" i="89"/>
  <c r="AL76" i="89"/>
  <c r="AK78" i="89"/>
  <c r="AL78" i="89"/>
  <c r="AK79" i="89"/>
  <c r="AL79" i="89"/>
  <c r="AK80" i="89"/>
  <c r="AL80" i="89"/>
  <c r="AK82" i="89"/>
  <c r="AL82" i="89"/>
  <c r="AK83" i="89"/>
  <c r="AL83" i="89"/>
  <c r="AK84" i="89"/>
  <c r="AL84" i="89"/>
  <c r="AK85" i="89"/>
  <c r="AL85" i="89"/>
  <c r="AK86" i="89"/>
  <c r="AL86" i="89"/>
  <c r="AL87" i="89"/>
  <c r="AK88" i="89"/>
  <c r="AL88" i="89"/>
  <c r="AK89" i="89"/>
  <c r="AL89" i="89"/>
  <c r="AK90" i="89"/>
  <c r="AL90" i="89"/>
  <c r="AK91" i="89"/>
  <c r="AL91" i="89"/>
  <c r="AK92" i="89"/>
  <c r="AL92" i="89"/>
  <c r="AK93" i="89"/>
  <c r="AL93" i="89"/>
  <c r="AK94" i="89"/>
  <c r="AL94" i="89"/>
  <c r="AK95" i="89"/>
  <c r="AL95" i="89"/>
  <c r="AL96" i="89"/>
  <c r="AK97" i="89"/>
  <c r="AL97" i="89"/>
  <c r="AK98" i="89"/>
  <c r="AL98" i="89"/>
  <c r="AK99" i="89"/>
  <c r="AL99" i="89"/>
  <c r="AK101" i="89"/>
  <c r="AL101" i="89"/>
  <c r="AK102" i="89"/>
  <c r="AL102" i="89"/>
  <c r="AK103" i="89"/>
  <c r="AL103" i="89"/>
  <c r="AL104" i="89"/>
  <c r="AK105" i="89"/>
  <c r="AL105" i="89"/>
  <c r="AL106" i="89"/>
  <c r="AK107" i="89"/>
  <c r="AL107" i="89"/>
  <c r="AK108" i="89"/>
  <c r="AL108" i="89"/>
  <c r="AK109" i="89"/>
  <c r="AL109" i="89"/>
  <c r="AL110" i="89"/>
  <c r="AK111" i="89"/>
  <c r="AL111" i="89"/>
  <c r="AK118" i="89"/>
  <c r="AL118" i="89"/>
  <c r="AK120" i="89"/>
  <c r="AL120" i="89"/>
  <c r="AK121" i="89"/>
  <c r="AL121" i="89"/>
  <c r="AK122" i="89"/>
  <c r="AL122" i="89"/>
  <c r="AL123" i="89"/>
  <c r="AK124" i="89"/>
  <c r="AL124" i="89"/>
  <c r="AK126" i="89"/>
  <c r="AL126" i="89"/>
  <c r="AK127" i="89"/>
  <c r="AL127" i="89"/>
  <c r="AK128" i="89"/>
  <c r="AL128" i="89"/>
  <c r="AL129" i="89"/>
  <c r="AK130" i="89"/>
  <c r="AL130" i="89"/>
  <c r="AK139" i="89"/>
  <c r="AL139" i="89"/>
  <c r="AK140" i="89"/>
  <c r="AL140" i="89"/>
  <c r="AK141" i="89"/>
  <c r="AL141" i="89"/>
  <c r="AK142" i="89"/>
  <c r="AL142" i="89"/>
  <c r="AK143" i="89"/>
  <c r="AL143" i="89"/>
  <c r="AL144" i="89"/>
  <c r="AK145" i="89"/>
  <c r="AL145" i="89"/>
  <c r="AK146" i="89"/>
  <c r="AL146" i="89"/>
  <c r="AK147" i="89"/>
  <c r="AL147" i="89"/>
  <c r="AK148" i="89"/>
  <c r="AL148" i="89"/>
  <c r="AK149" i="89"/>
  <c r="AL149" i="89"/>
  <c r="AK150" i="89"/>
  <c r="AL150" i="89"/>
  <c r="AK151" i="89"/>
  <c r="AL151" i="89"/>
  <c r="AK152" i="89"/>
  <c r="AL152" i="89"/>
  <c r="AL153" i="89"/>
  <c r="AK154" i="89"/>
  <c r="AL154" i="89"/>
  <c r="AK155" i="89"/>
  <c r="AL155" i="89"/>
  <c r="AK156" i="89"/>
  <c r="AL156" i="89"/>
  <c r="AK158" i="89"/>
  <c r="AL158" i="89"/>
  <c r="AK159" i="89"/>
  <c r="AL159" i="89"/>
  <c r="AK160" i="89"/>
  <c r="AL160" i="89"/>
  <c r="AK161" i="89"/>
  <c r="AL161" i="89"/>
  <c r="AK162" i="89"/>
  <c r="AL162" i="89"/>
  <c r="AL163" i="89"/>
  <c r="AK164" i="89"/>
  <c r="AL164" i="89"/>
  <c r="AK165" i="89"/>
  <c r="AL165" i="89"/>
  <c r="AK166" i="89"/>
  <c r="AL166" i="89"/>
  <c r="AK167" i="89"/>
  <c r="AL167" i="89"/>
  <c r="AK168" i="89"/>
  <c r="AL168" i="89"/>
  <c r="AK169" i="89"/>
  <c r="AL169" i="89"/>
  <c r="AK170" i="89"/>
  <c r="AL170" i="89"/>
  <c r="AK171" i="89"/>
  <c r="AL171" i="89"/>
  <c r="AL172" i="89"/>
  <c r="AK173" i="89"/>
  <c r="AL173" i="89"/>
  <c r="AK174" i="89"/>
  <c r="AL174" i="89"/>
  <c r="AK175" i="89"/>
  <c r="AL175" i="89"/>
  <c r="M64" i="92"/>
  <c r="L64" i="92"/>
  <c r="AO25" i="89" l="1"/>
  <c r="AN25" i="89"/>
  <c r="AO32" i="89"/>
  <c r="AN29" i="89"/>
  <c r="AO29" i="89"/>
  <c r="AN42" i="89"/>
  <c r="AP42" i="89" s="1"/>
  <c r="AN41" i="89"/>
  <c r="AP41" i="89" s="1"/>
  <c r="AN40" i="89"/>
  <c r="AP40" i="89" s="1"/>
  <c r="AN37" i="89"/>
  <c r="AP37" i="89" s="1"/>
  <c r="AN36" i="89"/>
  <c r="AO36" i="89"/>
  <c r="AN33" i="89"/>
  <c r="AP33" i="89" s="1"/>
  <c r="AO31" i="89"/>
  <c r="AN31" i="89"/>
  <c r="AO30" i="89"/>
  <c r="AO27" i="89"/>
  <c r="AN27" i="89"/>
  <c r="AP25" i="89" l="1"/>
  <c r="AP29" i="89"/>
  <c r="AP31" i="89"/>
  <c r="AP36" i="89"/>
  <c r="AP27" i="89"/>
  <c r="P55" i="89"/>
  <c r="AM55" i="89" s="1"/>
  <c r="M81" i="89" l="1"/>
  <c r="M63" i="92"/>
  <c r="L63" i="92"/>
  <c r="L72" i="92"/>
  <c r="M72" i="92"/>
  <c r="P162" i="89" l="1"/>
  <c r="AM162" i="89" l="1"/>
  <c r="X162" i="89"/>
  <c r="W162" i="89"/>
  <c r="V162" i="89"/>
  <c r="T162" i="89"/>
  <c r="U162" i="89"/>
  <c r="P143" i="89"/>
  <c r="P80" i="89"/>
  <c r="AM80" i="89" s="1"/>
  <c r="L62" i="89"/>
  <c r="R248" i="89"/>
  <c r="R247" i="89"/>
  <c r="R246" i="89"/>
  <c r="R245" i="89"/>
  <c r="D247" i="89"/>
  <c r="D246" i="89"/>
  <c r="D245" i="89"/>
  <c r="D244" i="89"/>
  <c r="D243" i="89"/>
  <c r="P167" i="89"/>
  <c r="P168" i="89"/>
  <c r="P169" i="89"/>
  <c r="P170" i="89"/>
  <c r="P171" i="89"/>
  <c r="P173" i="89"/>
  <c r="P174" i="89"/>
  <c r="P175" i="89"/>
  <c r="P166" i="89"/>
  <c r="P158" i="89"/>
  <c r="P159" i="89"/>
  <c r="P160" i="89"/>
  <c r="P161" i="89"/>
  <c r="P164" i="89"/>
  <c r="P165" i="89"/>
  <c r="P140" i="89"/>
  <c r="P141" i="89"/>
  <c r="P142" i="89"/>
  <c r="P145" i="89"/>
  <c r="P146" i="89"/>
  <c r="P147" i="89"/>
  <c r="P148" i="89"/>
  <c r="P149" i="89"/>
  <c r="P150" i="89"/>
  <c r="P151" i="89"/>
  <c r="P152" i="89"/>
  <c r="P154" i="89"/>
  <c r="P155" i="89"/>
  <c r="P156" i="89"/>
  <c r="P139" i="89"/>
  <c r="P121" i="89"/>
  <c r="P122" i="89"/>
  <c r="P124" i="89"/>
  <c r="E255" i="89" s="1"/>
  <c r="F255" i="89" s="1"/>
  <c r="P126" i="89"/>
  <c r="S232" i="89" s="1"/>
  <c r="P127" i="89"/>
  <c r="E232" i="89" s="1"/>
  <c r="P128" i="89"/>
  <c r="E267" i="89" s="1"/>
  <c r="F267" i="89" s="1"/>
  <c r="P130" i="89"/>
  <c r="P120" i="89"/>
  <c r="E243" i="89" s="1"/>
  <c r="P102" i="89"/>
  <c r="P103" i="89"/>
  <c r="P105" i="89"/>
  <c r="E256" i="89" s="1"/>
  <c r="F256" i="89" s="1"/>
  <c r="P107" i="89"/>
  <c r="S233" i="89" s="1"/>
  <c r="P108" i="89"/>
  <c r="E233" i="89" s="1"/>
  <c r="P109" i="89"/>
  <c r="E268" i="89" s="1"/>
  <c r="F268" i="89" s="1"/>
  <c r="P111" i="89"/>
  <c r="P118" i="89"/>
  <c r="P101" i="89"/>
  <c r="E244" i="89" s="1"/>
  <c r="P82" i="89"/>
  <c r="E245" i="89" s="1"/>
  <c r="P64" i="89"/>
  <c r="AM64" i="89" s="1"/>
  <c r="P65" i="89"/>
  <c r="AM65" i="89" s="1"/>
  <c r="P66" i="89"/>
  <c r="AM66" i="89" s="1"/>
  <c r="P69" i="89"/>
  <c r="AM69" i="89" s="1"/>
  <c r="P70" i="89"/>
  <c r="AM70" i="89" s="1"/>
  <c r="P71" i="89"/>
  <c r="P72" i="89"/>
  <c r="AM72" i="89" s="1"/>
  <c r="P73" i="89"/>
  <c r="AM73" i="89" s="1"/>
  <c r="P74" i="89"/>
  <c r="AM74" i="89" s="1"/>
  <c r="P75" i="89"/>
  <c r="S258" i="89" s="1"/>
  <c r="P76" i="89"/>
  <c r="AM76" i="89" s="1"/>
  <c r="P78" i="89"/>
  <c r="P79" i="89"/>
  <c r="H62" i="89"/>
  <c r="I62" i="89"/>
  <c r="J62" i="89"/>
  <c r="K62" i="89"/>
  <c r="N62" i="89"/>
  <c r="O62" i="89"/>
  <c r="P45" i="89"/>
  <c r="AM45" i="89" s="1"/>
  <c r="P46" i="89"/>
  <c r="AM46" i="89" s="1"/>
  <c r="P47" i="89"/>
  <c r="AM47" i="89" s="1"/>
  <c r="P48" i="89"/>
  <c r="P50" i="89"/>
  <c r="AM50" i="89" s="1"/>
  <c r="P51" i="89"/>
  <c r="AM51" i="89" s="1"/>
  <c r="P52" i="89"/>
  <c r="P53" i="89"/>
  <c r="AM53" i="89" s="1"/>
  <c r="P54" i="89"/>
  <c r="AM54" i="89" s="1"/>
  <c r="P56" i="89"/>
  <c r="S259" i="89" s="1"/>
  <c r="P57" i="89"/>
  <c r="AM57" i="89" s="1"/>
  <c r="P59" i="89"/>
  <c r="P60" i="89"/>
  <c r="P61" i="89"/>
  <c r="AM61" i="89" s="1"/>
  <c r="P44" i="89"/>
  <c r="P26" i="89"/>
  <c r="P27" i="89"/>
  <c r="AM27" i="89" s="1"/>
  <c r="P28" i="89"/>
  <c r="AM28" i="89" s="1"/>
  <c r="P29" i="89"/>
  <c r="E260" i="89" s="1"/>
  <c r="P31" i="89"/>
  <c r="P32" i="89"/>
  <c r="AM32" i="89" s="1"/>
  <c r="P33" i="89"/>
  <c r="P34" i="89"/>
  <c r="AM34" i="89" s="1"/>
  <c r="P35" i="89"/>
  <c r="AM35" i="89" s="1"/>
  <c r="P36" i="89"/>
  <c r="AM36" i="89" s="1"/>
  <c r="P38" i="89"/>
  <c r="AM38" i="89" s="1"/>
  <c r="P40" i="89"/>
  <c r="P41" i="89"/>
  <c r="P42" i="89"/>
  <c r="M71" i="92"/>
  <c r="L71" i="92"/>
  <c r="M62" i="92"/>
  <c r="L62" i="92"/>
  <c r="AM71" i="89" l="1"/>
  <c r="E270" i="89"/>
  <c r="AM52" i="89"/>
  <c r="E271" i="89"/>
  <c r="F271" i="89" s="1"/>
  <c r="AM33" i="89"/>
  <c r="E272" i="89"/>
  <c r="F272" i="89" s="1"/>
  <c r="AM79" i="89"/>
  <c r="F270" i="89"/>
  <c r="AM60" i="89"/>
  <c r="AM41" i="89"/>
  <c r="AM48" i="89"/>
  <c r="E259" i="89"/>
  <c r="F259" i="89" s="1"/>
  <c r="AM56" i="89"/>
  <c r="AM75" i="89"/>
  <c r="S188" i="89"/>
  <c r="AM152" i="89"/>
  <c r="X152" i="89"/>
  <c r="W152" i="89"/>
  <c r="V152" i="89"/>
  <c r="U152" i="89"/>
  <c r="T152" i="89"/>
  <c r="AM142" i="89"/>
  <c r="U142" i="89"/>
  <c r="T142" i="89"/>
  <c r="X142" i="89"/>
  <c r="V142" i="89"/>
  <c r="W142" i="89"/>
  <c r="AM158" i="89"/>
  <c r="X158" i="89"/>
  <c r="W158" i="89"/>
  <c r="V158" i="89"/>
  <c r="T158" i="89"/>
  <c r="U158" i="89"/>
  <c r="AM168" i="89"/>
  <c r="U168" i="89"/>
  <c r="T168" i="89"/>
  <c r="X168" i="89"/>
  <c r="V168" i="89"/>
  <c r="W168" i="89"/>
  <c r="AM143" i="89"/>
  <c r="W143" i="89"/>
  <c r="V143" i="89"/>
  <c r="U143" i="89"/>
  <c r="T143" i="89"/>
  <c r="X143" i="89"/>
  <c r="AM42" i="89"/>
  <c r="U42" i="89"/>
  <c r="W82" i="89"/>
  <c r="U82" i="89"/>
  <c r="V82" i="89"/>
  <c r="T82" i="89"/>
  <c r="X82" i="89"/>
  <c r="AM105" i="89"/>
  <c r="X105" i="89"/>
  <c r="W105" i="89"/>
  <c r="V105" i="89"/>
  <c r="U105" i="89"/>
  <c r="T105" i="89"/>
  <c r="T256" i="89" s="1"/>
  <c r="AM124" i="89"/>
  <c r="U124" i="89"/>
  <c r="T124" i="89"/>
  <c r="T255" i="89" s="1"/>
  <c r="V124" i="89"/>
  <c r="X124" i="89"/>
  <c r="W124" i="89"/>
  <c r="AM151" i="89"/>
  <c r="W151" i="89"/>
  <c r="V151" i="89"/>
  <c r="U151" i="89"/>
  <c r="T151" i="89"/>
  <c r="X151" i="89"/>
  <c r="AM141" i="89"/>
  <c r="X141" i="89"/>
  <c r="T141" i="89"/>
  <c r="W141" i="89"/>
  <c r="V141" i="89"/>
  <c r="U141" i="89"/>
  <c r="AM166" i="89"/>
  <c r="X166" i="89"/>
  <c r="W166" i="89"/>
  <c r="V166" i="89"/>
  <c r="U166" i="89"/>
  <c r="T166" i="89"/>
  <c r="AM167" i="89"/>
  <c r="X167" i="89"/>
  <c r="W167" i="89"/>
  <c r="V167" i="89"/>
  <c r="U167" i="89"/>
  <c r="T167" i="89"/>
  <c r="AM140" i="89"/>
  <c r="X140" i="89"/>
  <c r="W140" i="89"/>
  <c r="V140" i="89"/>
  <c r="U140" i="89"/>
  <c r="T140" i="89"/>
  <c r="AM126" i="89"/>
  <c r="X126" i="89"/>
  <c r="W126" i="89"/>
  <c r="V126" i="89"/>
  <c r="U126" i="89"/>
  <c r="T126" i="89"/>
  <c r="AM103" i="89"/>
  <c r="U103" i="89"/>
  <c r="V103" i="89"/>
  <c r="X103" i="89"/>
  <c r="W103" i="89"/>
  <c r="T103" i="89"/>
  <c r="AM175" i="89"/>
  <c r="X175" i="89"/>
  <c r="W175" i="89"/>
  <c r="V175" i="89"/>
  <c r="U175" i="89"/>
  <c r="T175" i="89"/>
  <c r="AM118" i="89"/>
  <c r="T118" i="89"/>
  <c r="X118" i="89"/>
  <c r="U118" i="89"/>
  <c r="W118" i="89"/>
  <c r="Y118" i="89"/>
  <c r="V118" i="89"/>
  <c r="AM102" i="89"/>
  <c r="X102" i="89"/>
  <c r="T102" i="89"/>
  <c r="W102" i="89"/>
  <c r="V102" i="89"/>
  <c r="U102" i="89"/>
  <c r="AM121" i="89"/>
  <c r="W121" i="89"/>
  <c r="V121" i="89"/>
  <c r="U121" i="89"/>
  <c r="T121" i="89"/>
  <c r="X121" i="89"/>
  <c r="AM149" i="89"/>
  <c r="X149" i="89"/>
  <c r="W149" i="89"/>
  <c r="V149" i="89"/>
  <c r="T149" i="89"/>
  <c r="U149" i="89"/>
  <c r="AM165" i="89"/>
  <c r="W165" i="89"/>
  <c r="V165" i="89"/>
  <c r="U165" i="89"/>
  <c r="T165" i="89"/>
  <c r="X165" i="89"/>
  <c r="AM174" i="89"/>
  <c r="X174" i="89"/>
  <c r="W174" i="89"/>
  <c r="V174" i="89"/>
  <c r="U174" i="89"/>
  <c r="T174" i="89"/>
  <c r="AM122" i="89"/>
  <c r="X122" i="89"/>
  <c r="W122" i="89"/>
  <c r="V122" i="89"/>
  <c r="U122" i="89"/>
  <c r="T122" i="89"/>
  <c r="U111" i="89"/>
  <c r="V111" i="89"/>
  <c r="X111" i="89"/>
  <c r="W111" i="89"/>
  <c r="T111" i="89"/>
  <c r="U120" i="89"/>
  <c r="T120" i="89"/>
  <c r="V120" i="89"/>
  <c r="X120" i="89"/>
  <c r="W120" i="89"/>
  <c r="W139" i="89"/>
  <c r="V139" i="89"/>
  <c r="U139" i="89"/>
  <c r="X139" i="89"/>
  <c r="T139" i="89"/>
  <c r="AM148" i="89"/>
  <c r="X148" i="89"/>
  <c r="W148" i="89"/>
  <c r="V148" i="89"/>
  <c r="U148" i="89"/>
  <c r="T148" i="89"/>
  <c r="AM164" i="89"/>
  <c r="U164" i="89"/>
  <c r="T164" i="89"/>
  <c r="V164" i="89"/>
  <c r="X164" i="89"/>
  <c r="W164" i="89"/>
  <c r="AM173" i="89"/>
  <c r="U173" i="89"/>
  <c r="T173" i="89"/>
  <c r="V173" i="89"/>
  <c r="X173" i="89"/>
  <c r="W173" i="89"/>
  <c r="AM109" i="89"/>
  <c r="W109" i="89"/>
  <c r="X109" i="89"/>
  <c r="V109" i="89"/>
  <c r="U109" i="89"/>
  <c r="T109" i="89"/>
  <c r="W130" i="89"/>
  <c r="V130" i="89"/>
  <c r="U130" i="89"/>
  <c r="T130" i="89"/>
  <c r="X130" i="89"/>
  <c r="AM156" i="89"/>
  <c r="X156" i="89"/>
  <c r="W156" i="89"/>
  <c r="V156" i="89"/>
  <c r="U156" i="89"/>
  <c r="T156" i="89"/>
  <c r="AM147" i="89"/>
  <c r="W147" i="89"/>
  <c r="V147" i="89"/>
  <c r="U147" i="89"/>
  <c r="T147" i="89"/>
  <c r="X147" i="89"/>
  <c r="AM161" i="89"/>
  <c r="X161" i="89"/>
  <c r="W161" i="89"/>
  <c r="V161" i="89"/>
  <c r="U161" i="89"/>
  <c r="T161" i="89"/>
  <c r="AM171" i="89"/>
  <c r="X171" i="89"/>
  <c r="T171" i="89"/>
  <c r="W171" i="89"/>
  <c r="V171" i="89"/>
  <c r="U171" i="89"/>
  <c r="W101" i="89"/>
  <c r="V101" i="89"/>
  <c r="X101" i="89"/>
  <c r="U101" i="89"/>
  <c r="T101" i="89"/>
  <c r="AM26" i="89"/>
  <c r="AM108" i="89"/>
  <c r="W108" i="89"/>
  <c r="U108" i="89"/>
  <c r="T108" i="89"/>
  <c r="V108" i="89"/>
  <c r="X108" i="89"/>
  <c r="AM128" i="89"/>
  <c r="U128" i="89"/>
  <c r="T128" i="89"/>
  <c r="X128" i="89"/>
  <c r="W128" i="89"/>
  <c r="V128" i="89"/>
  <c r="AM155" i="89"/>
  <c r="W155" i="89"/>
  <c r="V155" i="89"/>
  <c r="U155" i="89"/>
  <c r="T155" i="89"/>
  <c r="X155" i="89"/>
  <c r="AM146" i="89"/>
  <c r="U146" i="89"/>
  <c r="T146" i="89"/>
  <c r="V146" i="89"/>
  <c r="X146" i="89"/>
  <c r="W146" i="89"/>
  <c r="AM160" i="89"/>
  <c r="W160" i="89"/>
  <c r="V160" i="89"/>
  <c r="U160" i="89"/>
  <c r="T160" i="89"/>
  <c r="X160" i="89"/>
  <c r="AM170" i="89"/>
  <c r="X170" i="89"/>
  <c r="W170" i="89"/>
  <c r="V170" i="89"/>
  <c r="U170" i="89"/>
  <c r="T170" i="89"/>
  <c r="AM150" i="89"/>
  <c r="U150" i="89"/>
  <c r="T150" i="89"/>
  <c r="V150" i="89"/>
  <c r="X150" i="89"/>
  <c r="W150" i="89"/>
  <c r="X44" i="89"/>
  <c r="W44" i="89"/>
  <c r="V44" i="89"/>
  <c r="U44" i="89"/>
  <c r="T44" i="89"/>
  <c r="AM107" i="89"/>
  <c r="U107" i="89"/>
  <c r="X107" i="89"/>
  <c r="V107" i="89"/>
  <c r="T107" i="89"/>
  <c r="W107" i="89"/>
  <c r="AM127" i="89"/>
  <c r="X127" i="89"/>
  <c r="T127" i="89"/>
  <c r="W127" i="89"/>
  <c r="V127" i="89"/>
  <c r="U127" i="89"/>
  <c r="AM154" i="89"/>
  <c r="U154" i="89"/>
  <c r="T154" i="89"/>
  <c r="V154" i="89"/>
  <c r="X154" i="89"/>
  <c r="W154" i="89"/>
  <c r="AM145" i="89"/>
  <c r="X145" i="89"/>
  <c r="W145" i="89"/>
  <c r="V145" i="89"/>
  <c r="U145" i="89"/>
  <c r="T145" i="89"/>
  <c r="AM159" i="89"/>
  <c r="U159" i="89"/>
  <c r="T159" i="89"/>
  <c r="V159" i="89"/>
  <c r="X159" i="89"/>
  <c r="W159" i="89"/>
  <c r="AM169" i="89"/>
  <c r="W169" i="89"/>
  <c r="V169" i="89"/>
  <c r="U169" i="89"/>
  <c r="T169" i="89"/>
  <c r="X169" i="89"/>
  <c r="B25" i="89"/>
  <c r="AM31" i="89"/>
  <c r="L74" i="92"/>
  <c r="M65" i="92"/>
  <c r="M74" i="92"/>
  <c r="L65" i="92"/>
  <c r="AM29" i="89"/>
  <c r="AL62" i="89"/>
  <c r="S248" i="89"/>
  <c r="T248" i="89" s="1"/>
  <c r="AM40" i="89"/>
  <c r="T244" i="89"/>
  <c r="AM111" i="89"/>
  <c r="S246" i="89"/>
  <c r="T246" i="89" s="1"/>
  <c r="AM78" i="89"/>
  <c r="F243" i="89"/>
  <c r="AM120" i="89"/>
  <c r="T243" i="89"/>
  <c r="AM130" i="89"/>
  <c r="AM139" i="89"/>
  <c r="E247" i="89"/>
  <c r="F247" i="89" s="1"/>
  <c r="AM44" i="89"/>
  <c r="G248" i="89"/>
  <c r="F245" i="89"/>
  <c r="AM82" i="89"/>
  <c r="S247" i="89"/>
  <c r="T247" i="89" s="1"/>
  <c r="AM59" i="89"/>
  <c r="F244" i="89"/>
  <c r="AM101" i="89"/>
  <c r="P93" i="89"/>
  <c r="AM93" i="89" s="1"/>
  <c r="P89" i="89"/>
  <c r="N100" i="89"/>
  <c r="AM89" i="89" l="1"/>
  <c r="E234" i="89"/>
  <c r="P67" i="89"/>
  <c r="E258" i="89" s="1"/>
  <c r="F258" i="89" s="1"/>
  <c r="AM67" i="89" l="1"/>
  <c r="R234" i="89" l="1"/>
  <c r="R235" i="89"/>
  <c r="R236" i="89"/>
  <c r="R237" i="89"/>
  <c r="D234" i="89"/>
  <c r="D235" i="89"/>
  <c r="D236" i="89"/>
  <c r="D237" i="89"/>
  <c r="O176" i="89"/>
  <c r="N176" i="89"/>
  <c r="Y171" i="89"/>
  <c r="Y167" i="89"/>
  <c r="N157" i="89"/>
  <c r="N138" i="89"/>
  <c r="N119" i="89"/>
  <c r="N81" i="89"/>
  <c r="Y168" i="89" l="1"/>
  <c r="Y160" i="89"/>
  <c r="Y164" i="89"/>
  <c r="Q164" i="89"/>
  <c r="R164" i="89" s="1"/>
  <c r="Q168" i="89"/>
  <c r="R168" i="89" s="1"/>
  <c r="Q160" i="89"/>
  <c r="R160" i="89" s="1"/>
  <c r="Y161" i="89"/>
  <c r="Y165" i="89"/>
  <c r="Q158" i="89"/>
  <c r="R158" i="89" s="1"/>
  <c r="Y158" i="89"/>
  <c r="Q162" i="89"/>
  <c r="R162" i="89" s="1"/>
  <c r="Y162" i="89"/>
  <c r="Q166" i="89"/>
  <c r="R166" i="89" s="1"/>
  <c r="Y166" i="89"/>
  <c r="Q170" i="89"/>
  <c r="R170" i="89" s="1"/>
  <c r="Y170" i="89"/>
  <c r="Q174" i="89"/>
  <c r="R174" i="89" s="1"/>
  <c r="Y174" i="89"/>
  <c r="Q169" i="89"/>
  <c r="R169" i="89" s="1"/>
  <c r="Q173" i="89"/>
  <c r="R173" i="89" s="1"/>
  <c r="Q159" i="89"/>
  <c r="R159" i="89" s="1"/>
  <c r="Y159" i="89"/>
  <c r="Q167" i="89"/>
  <c r="R167" i="89" s="1"/>
  <c r="Q171" i="89"/>
  <c r="R171" i="89" s="1"/>
  <c r="Q175" i="89"/>
  <c r="R175" i="89" s="1"/>
  <c r="Y175" i="89"/>
  <c r="Q161" i="89"/>
  <c r="R161" i="89" s="1"/>
  <c r="Q165" i="89"/>
  <c r="R165" i="89" s="1"/>
  <c r="Y169" i="89"/>
  <c r="Y173" i="89"/>
  <c r="AB184" i="89"/>
  <c r="AB185" i="89"/>
  <c r="AB186" i="89"/>
  <c r="AB187" i="89"/>
  <c r="AB188" i="89"/>
  <c r="AB189" i="89"/>
  <c r="I100" i="89"/>
  <c r="D220" i="89" l="1"/>
  <c r="D221" i="89"/>
  <c r="D222" i="89"/>
  <c r="D223" i="89"/>
  <c r="D204" i="89"/>
  <c r="D205" i="89"/>
  <c r="D206" i="89"/>
  <c r="D207" i="89"/>
  <c r="G382" i="92"/>
  <c r="I381" i="92"/>
  <c r="G381" i="92"/>
  <c r="C218" i="92"/>
  <c r="F381" i="92"/>
  <c r="I382" i="92"/>
  <c r="H382" i="92"/>
  <c r="C221" i="92"/>
  <c r="H381" i="92"/>
  <c r="F382" i="92"/>
  <c r="Y156" i="89" l="1"/>
  <c r="AH42" i="89"/>
  <c r="AB25" i="89"/>
  <c r="AB26" i="89"/>
  <c r="AB27" i="89"/>
  <c r="AB28" i="89"/>
  <c r="AB29" i="89"/>
  <c r="AB30" i="89"/>
  <c r="AB31" i="89"/>
  <c r="AB32" i="89"/>
  <c r="AB33" i="89"/>
  <c r="AB34" i="89"/>
  <c r="AB35" i="89"/>
  <c r="AB36" i="89"/>
  <c r="AB37" i="89"/>
  <c r="AB38" i="89"/>
  <c r="AB39" i="89"/>
  <c r="AB40" i="89"/>
  <c r="AB41" i="89"/>
  <c r="AB42" i="89"/>
  <c r="W41" i="89"/>
  <c r="W38" i="89"/>
  <c r="V35" i="89"/>
  <c r="Y34" i="89"/>
  <c r="V33" i="89"/>
  <c r="S237" i="89"/>
  <c r="T237" i="89" s="1"/>
  <c r="W28" i="89"/>
  <c r="L176" i="89"/>
  <c r="K176" i="89"/>
  <c r="J176" i="89"/>
  <c r="I176" i="89"/>
  <c r="F176" i="89"/>
  <c r="E176" i="89"/>
  <c r="O157" i="89"/>
  <c r="L157" i="89"/>
  <c r="J157" i="89"/>
  <c r="I157" i="89"/>
  <c r="F157" i="89"/>
  <c r="E157" i="89"/>
  <c r="Y155" i="89"/>
  <c r="Y151" i="89"/>
  <c r="Y150" i="89"/>
  <c r="Y147" i="89"/>
  <c r="Y146" i="89"/>
  <c r="Y142" i="89"/>
  <c r="Y141" i="89"/>
  <c r="H157" i="89"/>
  <c r="Y130" i="89"/>
  <c r="Y126" i="89"/>
  <c r="Y121" i="89"/>
  <c r="Y120" i="89"/>
  <c r="P99" i="89"/>
  <c r="P98" i="89"/>
  <c r="P97" i="89"/>
  <c r="AM97" i="89" s="1"/>
  <c r="P95" i="89"/>
  <c r="P94" i="89"/>
  <c r="Y93" i="89"/>
  <c r="P92" i="89"/>
  <c r="P91" i="89"/>
  <c r="P90" i="89"/>
  <c r="E269" i="89" s="1"/>
  <c r="P88" i="89"/>
  <c r="P86" i="89"/>
  <c r="E257" i="89" s="1"/>
  <c r="P85" i="89"/>
  <c r="P84" i="89"/>
  <c r="P83" i="89"/>
  <c r="T80" i="89"/>
  <c r="X79" i="89"/>
  <c r="X76" i="89"/>
  <c r="X75" i="89"/>
  <c r="U74" i="89"/>
  <c r="Y73" i="89"/>
  <c r="W72" i="89"/>
  <c r="T71" i="89"/>
  <c r="X66" i="89"/>
  <c r="U65" i="89"/>
  <c r="Y64" i="89"/>
  <c r="P63" i="89"/>
  <c r="X61" i="89"/>
  <c r="X60" i="89"/>
  <c r="V59" i="89"/>
  <c r="T57" i="89"/>
  <c r="X56" i="89"/>
  <c r="W55" i="89"/>
  <c r="Y54" i="89"/>
  <c r="U53" i="89"/>
  <c r="T52" i="89"/>
  <c r="U47" i="89"/>
  <c r="T46" i="89"/>
  <c r="X45" i="89"/>
  <c r="V78" i="89"/>
  <c r="I81" i="89"/>
  <c r="J81" i="89"/>
  <c r="F138" i="89"/>
  <c r="F119" i="89"/>
  <c r="H100" i="89"/>
  <c r="J100" i="89"/>
  <c r="L100" i="89"/>
  <c r="O100" i="89"/>
  <c r="F100" i="89"/>
  <c r="F81" i="89"/>
  <c r="F62" i="89"/>
  <c r="AE4" i="129"/>
  <c r="O3" i="89" s="1"/>
  <c r="AD4" i="129"/>
  <c r="N3" i="89" s="1"/>
  <c r="AC4" i="129"/>
  <c r="M3" i="89" s="1"/>
  <c r="O4" i="129"/>
  <c r="O2" i="89" s="1"/>
  <c r="N4" i="129"/>
  <c r="N2" i="89" s="1"/>
  <c r="M4" i="129"/>
  <c r="M2" i="89" s="1"/>
  <c r="O138" i="89"/>
  <c r="L138" i="89"/>
  <c r="K138" i="89"/>
  <c r="J138" i="89"/>
  <c r="H138" i="89"/>
  <c r="E138" i="89"/>
  <c r="H413" i="92"/>
  <c r="H412" i="92"/>
  <c r="H411" i="92"/>
  <c r="H410" i="92"/>
  <c r="L119" i="89"/>
  <c r="K119" i="89"/>
  <c r="J119" i="89"/>
  <c r="H119" i="89"/>
  <c r="K100" i="89"/>
  <c r="O81" i="89"/>
  <c r="K81" i="89"/>
  <c r="H81" i="89"/>
  <c r="O119" i="89"/>
  <c r="AB4" i="129"/>
  <c r="L3" i="89" s="1"/>
  <c r="AA4" i="129"/>
  <c r="K3" i="89" s="1"/>
  <c r="Z4" i="129"/>
  <c r="J3" i="89" s="1"/>
  <c r="G153" i="89" s="1"/>
  <c r="Y4" i="129"/>
  <c r="I3" i="89" s="1"/>
  <c r="G172" i="89" s="1"/>
  <c r="X4" i="129"/>
  <c r="H3" i="89" s="1"/>
  <c r="W4" i="129"/>
  <c r="G3" i="89" s="1"/>
  <c r="V4" i="129"/>
  <c r="F3" i="89" s="1"/>
  <c r="G96" i="89" s="1"/>
  <c r="U4" i="129"/>
  <c r="E3" i="89" s="1"/>
  <c r="G77" i="89" s="1"/>
  <c r="T4" i="129"/>
  <c r="D3" i="89" s="1"/>
  <c r="S4" i="129"/>
  <c r="C3" i="89" s="1"/>
  <c r="G39" i="89" s="1"/>
  <c r="C2" i="89"/>
  <c r="G30" i="89" s="1"/>
  <c r="E62" i="89"/>
  <c r="E81" i="89"/>
  <c r="H118" i="92"/>
  <c r="D4" i="129"/>
  <c r="D2" i="89" s="1"/>
  <c r="G49" i="89" s="1"/>
  <c r="E4" i="129"/>
  <c r="E2" i="89" s="1"/>
  <c r="G68" i="89" s="1"/>
  <c r="F4" i="129"/>
  <c r="F2" i="89" s="1"/>
  <c r="G4" i="129"/>
  <c r="G2" i="89" s="1"/>
  <c r="G106" i="89" s="1"/>
  <c r="H4" i="129"/>
  <c r="H2" i="89" s="1"/>
  <c r="G125" i="89" s="1"/>
  <c r="I4" i="129"/>
  <c r="I2" i="89" s="1"/>
  <c r="G163" i="89" s="1"/>
  <c r="J4" i="129"/>
  <c r="J2" i="89" s="1"/>
  <c r="G144" i="89" s="1"/>
  <c r="K4" i="129"/>
  <c r="K2" i="89" s="1"/>
  <c r="L4" i="129"/>
  <c r="L2" i="89" s="1"/>
  <c r="E119" i="89"/>
  <c r="E100" i="89"/>
  <c r="T184" i="89"/>
  <c r="W189" i="89"/>
  <c r="Y54" i="92"/>
  <c r="H176" i="89"/>
  <c r="K136" i="92"/>
  <c r="H224" i="92"/>
  <c r="H221" i="92"/>
  <c r="D162" i="92"/>
  <c r="E160" i="92"/>
  <c r="I237" i="92"/>
  <c r="I54" i="92"/>
  <c r="K137" i="92"/>
  <c r="H240" i="92"/>
  <c r="H223" i="92"/>
  <c r="M237" i="92"/>
  <c r="K132" i="92"/>
  <c r="H241" i="92"/>
  <c r="H218" i="92"/>
  <c r="F162" i="92"/>
  <c r="D176" i="92"/>
  <c r="E176" i="92"/>
  <c r="D160" i="92"/>
  <c r="D382" i="92"/>
  <c r="C178" i="92"/>
  <c r="D178" i="92"/>
  <c r="K135" i="92"/>
  <c r="K134" i="92"/>
  <c r="L221" i="92"/>
  <c r="E381" i="92"/>
  <c r="L237" i="92"/>
  <c r="C160" i="92"/>
  <c r="H237" i="92"/>
  <c r="L240" i="92"/>
  <c r="C222" i="92"/>
  <c r="E162" i="92"/>
  <c r="F160" i="92"/>
  <c r="E382" i="92"/>
  <c r="K133" i="92"/>
  <c r="L241" i="92"/>
  <c r="K131" i="92"/>
  <c r="C176" i="92"/>
  <c r="E178" i="92"/>
  <c r="L218" i="92"/>
  <c r="C162" i="92"/>
  <c r="H222" i="92"/>
  <c r="D381" i="92"/>
  <c r="X53" i="92"/>
  <c r="I53" i="92"/>
  <c r="F269" i="89" l="1"/>
  <c r="G43" i="89"/>
  <c r="E189" i="89" s="1"/>
  <c r="F189" i="89" s="1"/>
  <c r="F257" i="89"/>
  <c r="S257" i="89"/>
  <c r="AM88" i="89"/>
  <c r="S234" i="89"/>
  <c r="T234" i="89" s="1"/>
  <c r="S186" i="89"/>
  <c r="AB43" i="89"/>
  <c r="P125" i="89"/>
  <c r="E202" i="89" s="1"/>
  <c r="F202" i="89" s="1"/>
  <c r="AK125" i="89"/>
  <c r="AK106" i="89"/>
  <c r="P106" i="89"/>
  <c r="Y106" i="89" s="1"/>
  <c r="G87" i="89"/>
  <c r="G100" i="89" s="1"/>
  <c r="E186" i="89" s="1"/>
  <c r="G58" i="89"/>
  <c r="AK58" i="89" s="1"/>
  <c r="AK110" i="89"/>
  <c r="G115" i="89"/>
  <c r="P115" i="89" s="1"/>
  <c r="G129" i="89"/>
  <c r="AK129" i="89" s="1"/>
  <c r="G134" i="89"/>
  <c r="P134" i="89" s="1"/>
  <c r="E218" i="89" s="1"/>
  <c r="S127" i="89"/>
  <c r="S165" i="89"/>
  <c r="S146" i="89"/>
  <c r="S108" i="89"/>
  <c r="S114" i="89"/>
  <c r="S133" i="89"/>
  <c r="S152" i="89"/>
  <c r="S171" i="89"/>
  <c r="S112" i="89"/>
  <c r="S131" i="89"/>
  <c r="S169" i="89"/>
  <c r="S150" i="89"/>
  <c r="S132" i="89"/>
  <c r="S113" i="89"/>
  <c r="S170" i="89"/>
  <c r="S151" i="89"/>
  <c r="S162" i="89"/>
  <c r="S143" i="89"/>
  <c r="S105" i="89"/>
  <c r="S124" i="89"/>
  <c r="S111" i="89"/>
  <c r="S130" i="89"/>
  <c r="S168" i="89"/>
  <c r="S149" i="89"/>
  <c r="S141" i="89"/>
  <c r="S122" i="89"/>
  <c r="S160" i="89"/>
  <c r="S103" i="89"/>
  <c r="S137" i="89"/>
  <c r="S156" i="89"/>
  <c r="S118" i="89"/>
  <c r="S175" i="89"/>
  <c r="S148" i="89"/>
  <c r="S167" i="89"/>
  <c r="S159" i="89"/>
  <c r="S121" i="89"/>
  <c r="S102" i="89"/>
  <c r="S26" i="89"/>
  <c r="S140" i="89"/>
  <c r="S142" i="89"/>
  <c r="S161" i="89"/>
  <c r="AM63" i="89"/>
  <c r="U63" i="89"/>
  <c r="T63" i="89"/>
  <c r="S63" i="89"/>
  <c r="V63" i="89"/>
  <c r="X63" i="89"/>
  <c r="W63" i="89"/>
  <c r="S136" i="89"/>
  <c r="S117" i="89"/>
  <c r="S174" i="89"/>
  <c r="S155" i="89"/>
  <c r="S128" i="89"/>
  <c r="S147" i="89"/>
  <c r="S166" i="89"/>
  <c r="S109" i="89"/>
  <c r="S25" i="89"/>
  <c r="S82" i="89"/>
  <c r="S120" i="89"/>
  <c r="S139" i="89"/>
  <c r="S44" i="89"/>
  <c r="S158" i="89"/>
  <c r="S101" i="89"/>
  <c r="S116" i="89"/>
  <c r="S135" i="89"/>
  <c r="S173" i="89"/>
  <c r="S154" i="89"/>
  <c r="S126" i="89"/>
  <c r="S107" i="89"/>
  <c r="S164" i="89"/>
  <c r="S145" i="89"/>
  <c r="P163" i="89"/>
  <c r="AK163" i="89"/>
  <c r="P30" i="89"/>
  <c r="AK30" i="89"/>
  <c r="P153" i="89"/>
  <c r="AK153" i="89"/>
  <c r="P144" i="89"/>
  <c r="AK144" i="89"/>
  <c r="G157" i="89"/>
  <c r="P39" i="89"/>
  <c r="W39" i="89" s="1"/>
  <c r="AK39" i="89"/>
  <c r="P123" i="89"/>
  <c r="AK123" i="89"/>
  <c r="AK77" i="89"/>
  <c r="P77" i="89"/>
  <c r="P104" i="89"/>
  <c r="AK104" i="89"/>
  <c r="P96" i="89"/>
  <c r="E220" i="89" s="1"/>
  <c r="F220" i="89" s="1"/>
  <c r="AK96" i="89"/>
  <c r="P68" i="89"/>
  <c r="E205" i="89" s="1"/>
  <c r="F205" i="89" s="1"/>
  <c r="AK68" i="89"/>
  <c r="P49" i="89"/>
  <c r="AK49" i="89"/>
  <c r="P172" i="89"/>
  <c r="AK172" i="89"/>
  <c r="AL176" i="89"/>
  <c r="AL138" i="89"/>
  <c r="Y83" i="89"/>
  <c r="AM83" i="89"/>
  <c r="V86" i="89"/>
  <c r="AM86" i="89"/>
  <c r="Y98" i="89"/>
  <c r="AM98" i="89"/>
  <c r="AL43" i="89"/>
  <c r="T90" i="89"/>
  <c r="AM90" i="89"/>
  <c r="T99" i="89"/>
  <c r="AM99" i="89"/>
  <c r="V91" i="89"/>
  <c r="AM91" i="89"/>
  <c r="AL157" i="89"/>
  <c r="AL119" i="89"/>
  <c r="AL100" i="89"/>
  <c r="X92" i="89"/>
  <c r="AM92" i="89"/>
  <c r="Y84" i="89"/>
  <c r="AM84" i="89"/>
  <c r="T94" i="89"/>
  <c r="AM94" i="89"/>
  <c r="T85" i="89"/>
  <c r="AM85" i="89"/>
  <c r="V95" i="89"/>
  <c r="AM95" i="89"/>
  <c r="T186" i="89"/>
  <c r="P110" i="89"/>
  <c r="P129" i="89"/>
  <c r="P58" i="89"/>
  <c r="X97" i="89"/>
  <c r="S245" i="89"/>
  <c r="T245" i="89" s="1"/>
  <c r="E246" i="89"/>
  <c r="Y82" i="89"/>
  <c r="B44" i="89"/>
  <c r="B63" i="89"/>
  <c r="W27" i="89"/>
  <c r="X29" i="89"/>
  <c r="Q48" i="89"/>
  <c r="R48" i="89" s="1"/>
  <c r="B48" i="89"/>
  <c r="X67" i="89"/>
  <c r="B67" i="89"/>
  <c r="Q55" i="89"/>
  <c r="R55" i="89" s="1"/>
  <c r="Q126" i="89"/>
  <c r="R126" i="89" s="1"/>
  <c r="T232" i="89"/>
  <c r="Y105" i="89"/>
  <c r="T233" i="89"/>
  <c r="X88" i="89"/>
  <c r="V50" i="89"/>
  <c r="S236" i="89"/>
  <c r="T236" i="89" s="1"/>
  <c r="V69" i="89"/>
  <c r="S235" i="89"/>
  <c r="T235" i="89" s="1"/>
  <c r="Y89" i="89"/>
  <c r="F234" i="89"/>
  <c r="F233" i="89"/>
  <c r="T51" i="89"/>
  <c r="E236" i="89"/>
  <c r="F236" i="89" s="1"/>
  <c r="X70" i="89"/>
  <c r="E235" i="89"/>
  <c r="F235" i="89" s="1"/>
  <c r="Q32" i="89"/>
  <c r="R32" i="89" s="1"/>
  <c r="E237" i="89"/>
  <c r="F237" i="89" s="1"/>
  <c r="Q86" i="89"/>
  <c r="R86" i="89" s="1"/>
  <c r="Q95" i="89"/>
  <c r="R95" i="89" s="1"/>
  <c r="Q85" i="89"/>
  <c r="R85" i="89" s="1"/>
  <c r="W36" i="89"/>
  <c r="Q36" i="89"/>
  <c r="R36" i="89" s="1"/>
  <c r="V38" i="89"/>
  <c r="Q41" i="89"/>
  <c r="R41" i="89" s="1"/>
  <c r="Q65" i="89"/>
  <c r="R65" i="89" s="1"/>
  <c r="Q89" i="89"/>
  <c r="R89" i="89" s="1"/>
  <c r="Q121" i="89"/>
  <c r="R121" i="89" s="1"/>
  <c r="T33" i="89"/>
  <c r="Q46" i="89"/>
  <c r="R46" i="89" s="1"/>
  <c r="Q98" i="89"/>
  <c r="R98" i="89" s="1"/>
  <c r="U35" i="89"/>
  <c r="W26" i="89"/>
  <c r="T189" i="89"/>
  <c r="T188" i="89"/>
  <c r="AI35" i="89"/>
  <c r="Q83" i="89"/>
  <c r="R83" i="89" s="1"/>
  <c r="Q33" i="89"/>
  <c r="R33" i="89" s="1"/>
  <c r="Q88" i="89"/>
  <c r="R88" i="89" s="1"/>
  <c r="Q102" i="89"/>
  <c r="R102" i="89" s="1"/>
  <c r="T41" i="89"/>
  <c r="Q139" i="89"/>
  <c r="R139" i="89" s="1"/>
  <c r="AH41" i="89"/>
  <c r="AH32" i="89"/>
  <c r="V41" i="89"/>
  <c r="AI41" i="89"/>
  <c r="Q84" i="89"/>
  <c r="R84" i="89" s="1"/>
  <c r="U41" i="89"/>
  <c r="X41" i="89"/>
  <c r="Y41" i="89"/>
  <c r="Q78" i="89"/>
  <c r="R78" i="89" s="1"/>
  <c r="Q51" i="89"/>
  <c r="R51" i="89" s="1"/>
  <c r="Q151" i="89"/>
  <c r="R151" i="89" s="1"/>
  <c r="AH35" i="89"/>
  <c r="AI33" i="89"/>
  <c r="Q60" i="89"/>
  <c r="R60" i="89" s="1"/>
  <c r="Q70" i="89"/>
  <c r="R70" i="89" s="1"/>
  <c r="Q90" i="89"/>
  <c r="R90" i="89" s="1"/>
  <c r="AH34" i="89"/>
  <c r="AI27" i="89"/>
  <c r="Q34" i="89"/>
  <c r="R34" i="89" s="1"/>
  <c r="Q82" i="89"/>
  <c r="R82" i="89" s="1"/>
  <c r="AH33" i="89"/>
  <c r="V26" i="89"/>
  <c r="Q35" i="89"/>
  <c r="R35" i="89" s="1"/>
  <c r="Q109" i="89"/>
  <c r="R109" i="89" s="1"/>
  <c r="V27" i="89"/>
  <c r="Q71" i="89"/>
  <c r="R71" i="89" s="1"/>
  <c r="Q99" i="89"/>
  <c r="R99" i="89" s="1"/>
  <c r="X35" i="89"/>
  <c r="Q80" i="89"/>
  <c r="R80" i="89" s="1"/>
  <c r="T35" i="89"/>
  <c r="X36" i="89"/>
  <c r="Q103" i="89"/>
  <c r="R103" i="89" s="1"/>
  <c r="T36" i="89"/>
  <c r="U28" i="89"/>
  <c r="V42" i="89"/>
  <c r="X28" i="89"/>
  <c r="Q38" i="89"/>
  <c r="R38" i="89" s="1"/>
  <c r="Q47" i="89"/>
  <c r="R47" i="89" s="1"/>
  <c r="Q64" i="89"/>
  <c r="R64" i="89" s="1"/>
  <c r="Q74" i="89"/>
  <c r="R74" i="89" s="1"/>
  <c r="Q105" i="89"/>
  <c r="R105" i="89" s="1"/>
  <c r="Q128" i="89"/>
  <c r="R128" i="89" s="1"/>
  <c r="U33" i="89"/>
  <c r="AI42" i="89"/>
  <c r="U90" i="89"/>
  <c r="Q130" i="89"/>
  <c r="R130" i="89" s="1"/>
  <c r="T38" i="89"/>
  <c r="V28" i="89"/>
  <c r="S74" i="89"/>
  <c r="S66" i="89"/>
  <c r="Q42" i="89"/>
  <c r="R42" i="89" s="1"/>
  <c r="Q53" i="89"/>
  <c r="R53" i="89" s="1"/>
  <c r="Q66" i="89"/>
  <c r="R66" i="89" s="1"/>
  <c r="U36" i="89"/>
  <c r="AI38" i="89"/>
  <c r="X42" i="89"/>
  <c r="Q54" i="89"/>
  <c r="R54" i="89" s="1"/>
  <c r="Q93" i="89"/>
  <c r="R93" i="89" s="1"/>
  <c r="Q156" i="89"/>
  <c r="R156" i="89" s="1"/>
  <c r="T28" i="89"/>
  <c r="T42" i="89"/>
  <c r="AH29" i="89"/>
  <c r="U38" i="89"/>
  <c r="Q28" i="89"/>
  <c r="R28" i="89" s="1"/>
  <c r="Q56" i="89"/>
  <c r="R56" i="89" s="1"/>
  <c r="Q75" i="89"/>
  <c r="R75" i="89" s="1"/>
  <c r="Q94" i="89"/>
  <c r="R94" i="89" s="1"/>
  <c r="Q120" i="89"/>
  <c r="R120" i="89" s="1"/>
  <c r="Q142" i="89"/>
  <c r="R142" i="89" s="1"/>
  <c r="T29" i="89"/>
  <c r="AH28" i="89"/>
  <c r="X38" i="89"/>
  <c r="Y28" i="89"/>
  <c r="Q45" i="89"/>
  <c r="R45" i="89" s="1"/>
  <c r="Q122" i="89"/>
  <c r="R122" i="89" s="1"/>
  <c r="AH38" i="89"/>
  <c r="AI28" i="89"/>
  <c r="Y40" i="89"/>
  <c r="W40" i="89"/>
  <c r="Q76" i="89"/>
  <c r="R76" i="89" s="1"/>
  <c r="AI26" i="89"/>
  <c r="S34" i="89"/>
  <c r="W34" i="89"/>
  <c r="Q29" i="89"/>
  <c r="R29" i="89" s="1"/>
  <c r="Q79" i="89"/>
  <c r="R79" i="89" s="1"/>
  <c r="Q69" i="89"/>
  <c r="R69" i="89" s="1"/>
  <c r="Q152" i="89"/>
  <c r="R152" i="89" s="1"/>
  <c r="T34" i="89"/>
  <c r="U26" i="89"/>
  <c r="V40" i="89"/>
  <c r="AI36" i="89"/>
  <c r="X34" i="89"/>
  <c r="Y35" i="89"/>
  <c r="W35" i="89"/>
  <c r="V55" i="89"/>
  <c r="V65" i="89"/>
  <c r="W86" i="89"/>
  <c r="Q44" i="89"/>
  <c r="R44" i="89" s="1"/>
  <c r="Q57" i="89"/>
  <c r="R57" i="89" s="1"/>
  <c r="Q92" i="89"/>
  <c r="R92" i="89" s="1"/>
  <c r="Q141" i="89"/>
  <c r="R141" i="89" s="1"/>
  <c r="U27" i="89"/>
  <c r="V29" i="89"/>
  <c r="Y36" i="89"/>
  <c r="X57" i="89"/>
  <c r="T67" i="89"/>
  <c r="T258" i="89" s="1"/>
  <c r="Y88" i="89"/>
  <c r="Y139" i="89"/>
  <c r="Q26" i="89"/>
  <c r="R26" i="89" s="1"/>
  <c r="Q40" i="89"/>
  <c r="R40" i="89" s="1"/>
  <c r="Q59" i="89"/>
  <c r="R59" i="89" s="1"/>
  <c r="Q67" i="89"/>
  <c r="R67" i="89" s="1"/>
  <c r="Q107" i="89"/>
  <c r="R107" i="89" s="1"/>
  <c r="Q124" i="89"/>
  <c r="R124" i="89" s="1"/>
  <c r="AH40" i="89"/>
  <c r="U40" i="89"/>
  <c r="AI34" i="89"/>
  <c r="Y29" i="89"/>
  <c r="W29" i="89"/>
  <c r="U59" i="89"/>
  <c r="W69" i="89"/>
  <c r="Q27" i="89"/>
  <c r="R27" i="89" s="1"/>
  <c r="Q108" i="89"/>
  <c r="R108" i="89" s="1"/>
  <c r="T26" i="89"/>
  <c r="U29" i="89"/>
  <c r="V34" i="89"/>
  <c r="V31" i="89"/>
  <c r="W31" i="89"/>
  <c r="Y44" i="89"/>
  <c r="X72" i="89"/>
  <c r="Y92" i="89"/>
  <c r="Q72" i="89"/>
  <c r="R72" i="89" s="1"/>
  <c r="Q150" i="89"/>
  <c r="R150" i="89" s="1"/>
  <c r="Q155" i="89"/>
  <c r="R155" i="89" s="1"/>
  <c r="T27" i="89"/>
  <c r="AH27" i="89"/>
  <c r="AI29" i="89"/>
  <c r="X40" i="89"/>
  <c r="Y32" i="89"/>
  <c r="W32" i="89"/>
  <c r="Y38" i="89"/>
  <c r="Y42" i="89"/>
  <c r="W42" i="89"/>
  <c r="V74" i="89"/>
  <c r="U94" i="89"/>
  <c r="Q63" i="89"/>
  <c r="R63" i="89" s="1"/>
  <c r="Q73" i="89"/>
  <c r="R73" i="89" s="1"/>
  <c r="Q97" i="89"/>
  <c r="R97" i="89" s="1"/>
  <c r="Q118" i="89"/>
  <c r="R118" i="89" s="1"/>
  <c r="Q143" i="89"/>
  <c r="R143" i="89" s="1"/>
  <c r="T40" i="89"/>
  <c r="AH36" i="89"/>
  <c r="AH26" i="89"/>
  <c r="U34" i="89"/>
  <c r="V36" i="89"/>
  <c r="AI40" i="89"/>
  <c r="Y26" i="89"/>
  <c r="Y33" i="89"/>
  <c r="W33" i="89"/>
  <c r="Y63" i="89"/>
  <c r="U46" i="89"/>
  <c r="T76" i="89"/>
  <c r="W95" i="89"/>
  <c r="Y103" i="89"/>
  <c r="Y66" i="89"/>
  <c r="T47" i="89"/>
  <c r="W78" i="89"/>
  <c r="T84" i="89"/>
  <c r="Y97" i="89"/>
  <c r="Y75" i="89"/>
  <c r="T53" i="89"/>
  <c r="U80" i="89"/>
  <c r="U85" i="89"/>
  <c r="U99" i="89"/>
  <c r="Q52" i="89"/>
  <c r="R52" i="89" s="1"/>
  <c r="Q101" i="89"/>
  <c r="R101" i="89" s="1"/>
  <c r="Q111" i="89"/>
  <c r="R111" i="89" s="1"/>
  <c r="Q146" i="89"/>
  <c r="R146" i="89" s="1"/>
  <c r="X33" i="89"/>
  <c r="S35" i="89"/>
  <c r="S65" i="89"/>
  <c r="Y60" i="89"/>
  <c r="Y51" i="89"/>
  <c r="Y67" i="89"/>
  <c r="Y76" i="89"/>
  <c r="V46" i="89"/>
  <c r="U48" i="89"/>
  <c r="V52" i="89"/>
  <c r="T54" i="89"/>
  <c r="U55" i="89"/>
  <c r="W57" i="89"/>
  <c r="T59" i="89"/>
  <c r="V61" i="89"/>
  <c r="T64" i="89"/>
  <c r="W65" i="89"/>
  <c r="U67" i="89"/>
  <c r="X69" i="89"/>
  <c r="V71" i="89"/>
  <c r="T73" i="89"/>
  <c r="W74" i="89"/>
  <c r="U76" i="89"/>
  <c r="X78" i="89"/>
  <c r="V80" i="89"/>
  <c r="U84" i="89"/>
  <c r="V85" i="89"/>
  <c r="X86" i="89"/>
  <c r="T89" i="89"/>
  <c r="V90" i="89"/>
  <c r="X91" i="89"/>
  <c r="T93" i="89"/>
  <c r="V94" i="89"/>
  <c r="X95" i="89"/>
  <c r="T98" i="89"/>
  <c r="V99" i="89"/>
  <c r="Y102" i="89"/>
  <c r="Y124" i="89"/>
  <c r="Y128" i="89"/>
  <c r="Y140" i="89"/>
  <c r="Y145" i="89"/>
  <c r="Y149" i="89"/>
  <c r="Y52" i="89"/>
  <c r="U52" i="89"/>
  <c r="W61" i="89"/>
  <c r="Q31" i="89"/>
  <c r="R31" i="89" s="1"/>
  <c r="Q91" i="89"/>
  <c r="R91" i="89" s="1"/>
  <c r="Q140" i="89"/>
  <c r="R140" i="89" s="1"/>
  <c r="Q149" i="89"/>
  <c r="R149" i="89" s="1"/>
  <c r="Y27" i="89"/>
  <c r="S80" i="89"/>
  <c r="Y59" i="89"/>
  <c r="Y47" i="89"/>
  <c r="Y69" i="89"/>
  <c r="Y78" i="89"/>
  <c r="T45" i="89"/>
  <c r="W46" i="89"/>
  <c r="X51" i="89"/>
  <c r="W52" i="89"/>
  <c r="U54" i="89"/>
  <c r="T55" i="89"/>
  <c r="V57" i="89"/>
  <c r="T60" i="89"/>
  <c r="U61" i="89"/>
  <c r="U64" i="89"/>
  <c r="X65" i="89"/>
  <c r="V67" i="89"/>
  <c r="T70" i="89"/>
  <c r="W71" i="89"/>
  <c r="U73" i="89"/>
  <c r="X74" i="89"/>
  <c r="V76" i="89"/>
  <c r="T79" i="89"/>
  <c r="W80" i="89"/>
  <c r="T83" i="89"/>
  <c r="V84" i="89"/>
  <c r="W85" i="89"/>
  <c r="Y86" i="89"/>
  <c r="U89" i="89"/>
  <c r="W90" i="89"/>
  <c r="Y91" i="89"/>
  <c r="U93" i="89"/>
  <c r="W94" i="89"/>
  <c r="Y95" i="89"/>
  <c r="U98" i="89"/>
  <c r="W99" i="89"/>
  <c r="Y101" i="89"/>
  <c r="Y111" i="89"/>
  <c r="Q127" i="89"/>
  <c r="S79" i="89"/>
  <c r="Y57" i="89"/>
  <c r="Y46" i="89"/>
  <c r="Y70" i="89"/>
  <c r="Y79" i="89"/>
  <c r="U45" i="89"/>
  <c r="X46" i="89"/>
  <c r="W51" i="89"/>
  <c r="X52" i="89"/>
  <c r="V54" i="89"/>
  <c r="T56" i="89"/>
  <c r="U57" i="89"/>
  <c r="U60" i="89"/>
  <c r="T61" i="89"/>
  <c r="V64" i="89"/>
  <c r="T66" i="89"/>
  <c r="W67" i="89"/>
  <c r="U70" i="89"/>
  <c r="X71" i="89"/>
  <c r="V73" i="89"/>
  <c r="T75" i="89"/>
  <c r="W76" i="89"/>
  <c r="U79" i="89"/>
  <c r="X80" i="89"/>
  <c r="U83" i="89"/>
  <c r="W84" i="89"/>
  <c r="X85" i="89"/>
  <c r="T88" i="89"/>
  <c r="V89" i="89"/>
  <c r="X90" i="89"/>
  <c r="T92" i="89"/>
  <c r="V93" i="89"/>
  <c r="X94" i="89"/>
  <c r="T97" i="89"/>
  <c r="V98" i="89"/>
  <c r="X99" i="89"/>
  <c r="Y109" i="89"/>
  <c r="Y122" i="89"/>
  <c r="Y127" i="89"/>
  <c r="Y143" i="89"/>
  <c r="Y148" i="89"/>
  <c r="Y152" i="89"/>
  <c r="Q147" i="89"/>
  <c r="R147" i="89" s="1"/>
  <c r="X27" i="89"/>
  <c r="S97" i="89"/>
  <c r="S70" i="89"/>
  <c r="Y56" i="89"/>
  <c r="Y45" i="89"/>
  <c r="Y71" i="89"/>
  <c r="Y80" i="89"/>
  <c r="V45" i="89"/>
  <c r="X47" i="89"/>
  <c r="V51" i="89"/>
  <c r="X53" i="89"/>
  <c r="W54" i="89"/>
  <c r="U56" i="89"/>
  <c r="V60" i="89"/>
  <c r="W64" i="89"/>
  <c r="U66" i="89"/>
  <c r="V70" i="89"/>
  <c r="T72" i="89"/>
  <c r="W73" i="89"/>
  <c r="U75" i="89"/>
  <c r="V79" i="89"/>
  <c r="V83" i="89"/>
  <c r="X84" i="89"/>
  <c r="Y85" i="89"/>
  <c r="U88" i="89"/>
  <c r="W89" i="89"/>
  <c r="Y90" i="89"/>
  <c r="U92" i="89"/>
  <c r="W93" i="89"/>
  <c r="Y94" i="89"/>
  <c r="U97" i="89"/>
  <c r="W98" i="89"/>
  <c r="Y99" i="89"/>
  <c r="Y108" i="89"/>
  <c r="U71" i="89"/>
  <c r="W91" i="89"/>
  <c r="AI31" i="89"/>
  <c r="X26" i="89"/>
  <c r="Y55" i="89"/>
  <c r="Y72" i="89"/>
  <c r="W45" i="89"/>
  <c r="W47" i="89"/>
  <c r="U51" i="89"/>
  <c r="W53" i="89"/>
  <c r="X54" i="89"/>
  <c r="V56" i="89"/>
  <c r="X59" i="89"/>
  <c r="W60" i="89"/>
  <c r="X64" i="89"/>
  <c r="V66" i="89"/>
  <c r="T69" i="89"/>
  <c r="W70" i="89"/>
  <c r="U72" i="89"/>
  <c r="X73" i="89"/>
  <c r="V75" i="89"/>
  <c r="T78" i="89"/>
  <c r="W79" i="89"/>
  <c r="W83" i="89"/>
  <c r="T86" i="89"/>
  <c r="V88" i="89"/>
  <c r="X89" i="89"/>
  <c r="T91" i="89"/>
  <c r="V92" i="89"/>
  <c r="X93" i="89"/>
  <c r="T95" i="89"/>
  <c r="V97" i="89"/>
  <c r="X98" i="89"/>
  <c r="Y107" i="89"/>
  <c r="Y61" i="89"/>
  <c r="Q61" i="89"/>
  <c r="R61" i="89" s="1"/>
  <c r="Q145" i="89"/>
  <c r="R145" i="89" s="1"/>
  <c r="S95" i="89"/>
  <c r="V47" i="89"/>
  <c r="V53" i="89"/>
  <c r="X55" i="89"/>
  <c r="W56" i="89"/>
  <c r="W59" i="89"/>
  <c r="T65" i="89"/>
  <c r="W66" i="89"/>
  <c r="U69" i="89"/>
  <c r="V72" i="89"/>
  <c r="T74" i="89"/>
  <c r="W75" i="89"/>
  <c r="U78" i="89"/>
  <c r="X83" i="89"/>
  <c r="S85" i="89"/>
  <c r="U86" i="89"/>
  <c r="W88" i="89"/>
  <c r="U91" i="89"/>
  <c r="W92" i="89"/>
  <c r="U95" i="89"/>
  <c r="W97" i="89"/>
  <c r="Q148" i="89"/>
  <c r="R148" i="89" s="1"/>
  <c r="Y53" i="89"/>
  <c r="Y65" i="89"/>
  <c r="Y74" i="89"/>
  <c r="W50" i="89"/>
  <c r="Y48" i="89"/>
  <c r="T48" i="89"/>
  <c r="T259" i="89" s="1"/>
  <c r="X50" i="89"/>
  <c r="Y50" i="89"/>
  <c r="Q50" i="89"/>
  <c r="R50" i="89" s="1"/>
  <c r="T50" i="89"/>
  <c r="U50" i="89"/>
  <c r="V48" i="89"/>
  <c r="W48" i="89"/>
  <c r="X48" i="89"/>
  <c r="V32" i="89"/>
  <c r="X31" i="89"/>
  <c r="U32" i="89"/>
  <c r="T32" i="89"/>
  <c r="AI32" i="89"/>
  <c r="X32" i="89"/>
  <c r="AH31" i="89"/>
  <c r="Y31" i="89"/>
  <c r="T31" i="89"/>
  <c r="U31" i="89"/>
  <c r="S42" i="89"/>
  <c r="S53" i="89"/>
  <c r="S94" i="89"/>
  <c r="S57" i="89"/>
  <c r="S33" i="89"/>
  <c r="S45" i="89"/>
  <c r="S50" i="89"/>
  <c r="S54" i="89"/>
  <c r="S64" i="89"/>
  <c r="S69" i="89"/>
  <c r="S73" i="89"/>
  <c r="S78" i="89"/>
  <c r="S84" i="89"/>
  <c r="S93" i="89"/>
  <c r="S41" i="89"/>
  <c r="S32" i="89"/>
  <c r="S47" i="89"/>
  <c r="S61" i="89"/>
  <c r="S83" i="89"/>
  <c r="S92" i="89"/>
  <c r="S40" i="89"/>
  <c r="S31" i="89"/>
  <c r="S48" i="89"/>
  <c r="S67" i="89"/>
  <c r="S72" i="89"/>
  <c r="S76" i="89"/>
  <c r="S91" i="89"/>
  <c r="S38" i="89"/>
  <c r="S29" i="89"/>
  <c r="S51" i="89"/>
  <c r="S55" i="89"/>
  <c r="S90" i="89"/>
  <c r="S99" i="89"/>
  <c r="S28" i="89"/>
  <c r="S52" i="89"/>
  <c r="S56" i="89"/>
  <c r="S71" i="89"/>
  <c r="S75" i="89"/>
  <c r="S89" i="89"/>
  <c r="S98" i="89"/>
  <c r="S36" i="89"/>
  <c r="S27" i="89"/>
  <c r="S59" i="89"/>
  <c r="S88" i="89"/>
  <c r="S46" i="89"/>
  <c r="S60" i="89"/>
  <c r="S86" i="89"/>
  <c r="J56" i="92"/>
  <c r="G133" i="92"/>
  <c r="M240" i="92"/>
  <c r="M221" i="92"/>
  <c r="I224" i="92"/>
  <c r="I223" i="92"/>
  <c r="I222" i="92"/>
  <c r="I221" i="92"/>
  <c r="D222" i="92"/>
  <c r="D221" i="92"/>
  <c r="G132" i="92"/>
  <c r="I241" i="92"/>
  <c r="I240" i="92"/>
  <c r="M241" i="92"/>
  <c r="K54" i="92"/>
  <c r="O129" i="92"/>
  <c r="G81" i="89"/>
  <c r="E187" i="89" s="1"/>
  <c r="F187" i="89" s="1"/>
  <c r="G62" i="89"/>
  <c r="E188" i="89" s="1"/>
  <c r="G176" i="89"/>
  <c r="AK176" i="89" s="1"/>
  <c r="W53" i="92"/>
  <c r="Y53" i="92" s="1"/>
  <c r="I56" i="92"/>
  <c r="K53" i="92"/>
  <c r="O130" i="92"/>
  <c r="G119" i="89" l="1"/>
  <c r="T257" i="89"/>
  <c r="G246" i="89"/>
  <c r="F246" i="89"/>
  <c r="S115" i="89"/>
  <c r="E219" i="89"/>
  <c r="F219" i="89" s="1"/>
  <c r="S106" i="89"/>
  <c r="E203" i="89"/>
  <c r="F203" i="89" s="1"/>
  <c r="S125" i="89"/>
  <c r="AK119" i="89"/>
  <c r="E185" i="89"/>
  <c r="F185" i="89" s="1"/>
  <c r="Q106" i="89"/>
  <c r="R106" i="89" s="1"/>
  <c r="U39" i="89"/>
  <c r="G138" i="89"/>
  <c r="AM125" i="89"/>
  <c r="P87" i="89"/>
  <c r="W87" i="89" s="1"/>
  <c r="AK87" i="89"/>
  <c r="AN30" i="89" s="1"/>
  <c r="T134" i="89"/>
  <c r="X134" i="89"/>
  <c r="W134" i="89"/>
  <c r="V134" i="89"/>
  <c r="U134" i="89"/>
  <c r="W106" i="89"/>
  <c r="V106" i="89"/>
  <c r="U106" i="89"/>
  <c r="X106" i="89"/>
  <c r="T106" i="89"/>
  <c r="S134" i="89"/>
  <c r="AN32" i="89"/>
  <c r="AP32" i="89" s="1"/>
  <c r="AM106" i="89"/>
  <c r="Q115" i="89"/>
  <c r="R115" i="89" s="1"/>
  <c r="X115" i="89"/>
  <c r="W115" i="89"/>
  <c r="Y115" i="89"/>
  <c r="T115" i="89"/>
  <c r="V115" i="89"/>
  <c r="U115" i="89"/>
  <c r="W125" i="89"/>
  <c r="X125" i="89"/>
  <c r="U125" i="89"/>
  <c r="V125" i="89"/>
  <c r="F232" i="89"/>
  <c r="Q125" i="89"/>
  <c r="R125" i="89" s="1"/>
  <c r="Y125" i="89"/>
  <c r="T125" i="89"/>
  <c r="S123" i="89"/>
  <c r="T123" i="89"/>
  <c r="X123" i="89"/>
  <c r="W123" i="89"/>
  <c r="V123" i="89"/>
  <c r="U123" i="89"/>
  <c r="Q153" i="89"/>
  <c r="R153" i="89" s="1"/>
  <c r="S153" i="89"/>
  <c r="X153" i="89"/>
  <c r="W153" i="89"/>
  <c r="V153" i="89"/>
  <c r="T153" i="89"/>
  <c r="U153" i="89"/>
  <c r="W104" i="89"/>
  <c r="U104" i="89"/>
  <c r="T104" i="89"/>
  <c r="X104" i="89"/>
  <c r="S104" i="89"/>
  <c r="V104" i="89"/>
  <c r="S110" i="89"/>
  <c r="T110" i="89"/>
  <c r="X110" i="89"/>
  <c r="W110" i="89"/>
  <c r="V110" i="89"/>
  <c r="U110" i="89"/>
  <c r="X144" i="89"/>
  <c r="W144" i="89"/>
  <c r="V144" i="89"/>
  <c r="U144" i="89"/>
  <c r="T144" i="89"/>
  <c r="S144" i="89"/>
  <c r="Q163" i="89"/>
  <c r="R163" i="89" s="1"/>
  <c r="U163" i="89"/>
  <c r="T163" i="89"/>
  <c r="S163" i="89"/>
  <c r="X163" i="89"/>
  <c r="W163" i="89"/>
  <c r="V163" i="89"/>
  <c r="U129" i="89"/>
  <c r="T129" i="89"/>
  <c r="S129" i="89"/>
  <c r="X129" i="89"/>
  <c r="V129" i="89"/>
  <c r="W129" i="89"/>
  <c r="W172" i="89"/>
  <c r="V172" i="89"/>
  <c r="U172" i="89"/>
  <c r="T172" i="89"/>
  <c r="S172" i="89"/>
  <c r="X172" i="89"/>
  <c r="R127" i="89"/>
  <c r="S39" i="89"/>
  <c r="S96" i="89"/>
  <c r="AM144" i="89"/>
  <c r="U96" i="89"/>
  <c r="Q39" i="89"/>
  <c r="R39" i="89" s="1"/>
  <c r="AM172" i="89"/>
  <c r="AM104" i="89"/>
  <c r="Q96" i="89"/>
  <c r="R96" i="89" s="1"/>
  <c r="V39" i="89"/>
  <c r="X96" i="89"/>
  <c r="T96" i="89"/>
  <c r="V96" i="89"/>
  <c r="AI39" i="89"/>
  <c r="W96" i="89"/>
  <c r="Y39" i="89"/>
  <c r="AH39" i="89"/>
  <c r="Y96" i="89"/>
  <c r="X39" i="89"/>
  <c r="T39" i="89"/>
  <c r="Y163" i="89"/>
  <c r="E223" i="89"/>
  <c r="F223" i="89" s="1"/>
  <c r="P157" i="89"/>
  <c r="Q157" i="89" s="1"/>
  <c r="R157" i="89" s="1"/>
  <c r="AM96" i="89"/>
  <c r="Y77" i="89"/>
  <c r="S77" i="89"/>
  <c r="U77" i="89"/>
  <c r="AM49" i="89"/>
  <c r="AM30" i="89"/>
  <c r="AM39" i="89"/>
  <c r="AL77" i="89"/>
  <c r="AO39" i="89" s="1"/>
  <c r="AO43" i="89" s="1"/>
  <c r="L81" i="89"/>
  <c r="S187" i="89" s="1"/>
  <c r="E206" i="89"/>
  <c r="G206" i="89" s="1"/>
  <c r="AM153" i="89"/>
  <c r="P176" i="89"/>
  <c r="Q176" i="89" s="1"/>
  <c r="R176" i="89" s="1"/>
  <c r="AM68" i="89"/>
  <c r="AM123" i="89"/>
  <c r="Q172" i="89"/>
  <c r="R172" i="89" s="1"/>
  <c r="AN39" i="89"/>
  <c r="Y172" i="89"/>
  <c r="AM163" i="89"/>
  <c r="F218" i="89"/>
  <c r="AM129" i="89"/>
  <c r="AM110" i="89"/>
  <c r="E221" i="89"/>
  <c r="F221" i="89" s="1"/>
  <c r="F188" i="89"/>
  <c r="AK62" i="89"/>
  <c r="G187" i="89"/>
  <c r="AK81" i="89"/>
  <c r="E222" i="89"/>
  <c r="F222" i="89" s="1"/>
  <c r="AM58" i="89"/>
  <c r="AC186" i="89"/>
  <c r="AD186" i="89" s="1"/>
  <c r="AK100" i="89"/>
  <c r="Q110" i="89"/>
  <c r="R110" i="89" s="1"/>
  <c r="W77" i="89"/>
  <c r="X77" i="89"/>
  <c r="T77" i="89"/>
  <c r="Q77" i="89"/>
  <c r="R77" i="89" s="1"/>
  <c r="V77" i="89"/>
  <c r="Y129" i="89"/>
  <c r="Q129" i="89"/>
  <c r="R129" i="89" s="1"/>
  <c r="T58" i="89"/>
  <c r="Q58" i="89"/>
  <c r="R58" i="89" s="1"/>
  <c r="S58" i="89"/>
  <c r="U58" i="89"/>
  <c r="Y58" i="89"/>
  <c r="V58" i="89"/>
  <c r="W58" i="89"/>
  <c r="Y110" i="89"/>
  <c r="X58" i="89"/>
  <c r="P81" i="89"/>
  <c r="P62" i="89"/>
  <c r="Q62" i="89" s="1"/>
  <c r="R62" i="89" s="1"/>
  <c r="Y153" i="89"/>
  <c r="K157" i="89"/>
  <c r="AK157" i="89" s="1"/>
  <c r="E207" i="89"/>
  <c r="F207" i="89" s="1"/>
  <c r="W30" i="89"/>
  <c r="K56" i="92"/>
  <c r="Y144" i="89"/>
  <c r="Q144" i="89"/>
  <c r="R144" i="89" s="1"/>
  <c r="W68" i="89"/>
  <c r="V68" i="89"/>
  <c r="Q68" i="89"/>
  <c r="R68" i="89" s="1"/>
  <c r="U68" i="89"/>
  <c r="T68" i="89"/>
  <c r="Y68" i="89"/>
  <c r="S68" i="89"/>
  <c r="X68" i="89"/>
  <c r="P119" i="89"/>
  <c r="Q119" i="89" s="1"/>
  <c r="R119" i="89" s="1"/>
  <c r="Q104" i="89"/>
  <c r="R104" i="89" s="1"/>
  <c r="Y104" i="89"/>
  <c r="X49" i="89"/>
  <c r="Q49" i="89"/>
  <c r="R49" i="89" s="1"/>
  <c r="S49" i="89"/>
  <c r="T49" i="89"/>
  <c r="U49" i="89"/>
  <c r="V49" i="89"/>
  <c r="Y49" i="89"/>
  <c r="W49" i="89"/>
  <c r="P138" i="89"/>
  <c r="Q138" i="89" s="1"/>
  <c r="R138" i="89" s="1"/>
  <c r="Q123" i="89"/>
  <c r="R123" i="89" s="1"/>
  <c r="Y123" i="89"/>
  <c r="AH30" i="89"/>
  <c r="AI30" i="89"/>
  <c r="T30" i="89"/>
  <c r="V30" i="89"/>
  <c r="S30" i="89"/>
  <c r="Q30" i="89"/>
  <c r="R30" i="89" s="1"/>
  <c r="X30" i="89"/>
  <c r="U30" i="89"/>
  <c r="Y30" i="89"/>
  <c r="Y87" i="89" l="1"/>
  <c r="Y100" i="89" s="1"/>
  <c r="E204" i="89"/>
  <c r="G204" i="89" s="1"/>
  <c r="U87" i="89"/>
  <c r="U100" i="89" s="1"/>
  <c r="T87" i="89"/>
  <c r="T100" i="89" s="1"/>
  <c r="V87" i="89"/>
  <c r="V100" i="89" s="1"/>
  <c r="P100" i="89"/>
  <c r="Q100" i="89" s="1"/>
  <c r="R100" i="89" s="1"/>
  <c r="S87" i="89"/>
  <c r="S100" i="89" s="1"/>
  <c r="Q87" i="89"/>
  <c r="R87" i="89" s="1"/>
  <c r="X87" i="89"/>
  <c r="X100" i="89" s="1"/>
  <c r="AK138" i="89"/>
  <c r="AM138" i="89" s="1"/>
  <c r="E184" i="89"/>
  <c r="F184" i="89" s="1"/>
  <c r="AM87" i="89"/>
  <c r="AN43" i="89"/>
  <c r="T176" i="89"/>
  <c r="W100" i="89"/>
  <c r="U176" i="89"/>
  <c r="V176" i="89"/>
  <c r="W176" i="89"/>
  <c r="S176" i="89"/>
  <c r="X176" i="89"/>
  <c r="Y176" i="89"/>
  <c r="AM157" i="89"/>
  <c r="Y81" i="89"/>
  <c r="S81" i="89"/>
  <c r="R22" i="89" s="1"/>
  <c r="U81" i="89"/>
  <c r="T22" i="89" s="1"/>
  <c r="AP39" i="89"/>
  <c r="AM176" i="89"/>
  <c r="AM77" i="89"/>
  <c r="AP30" i="89"/>
  <c r="AL81" i="89"/>
  <c r="AM81" i="89" s="1"/>
  <c r="AC187" i="89"/>
  <c r="AD187" i="89" s="1"/>
  <c r="W119" i="89"/>
  <c r="AM62" i="89"/>
  <c r="AC188" i="89"/>
  <c r="AD188" i="89" s="1"/>
  <c r="AM119" i="89"/>
  <c r="S119" i="89"/>
  <c r="T119" i="89"/>
  <c r="AC185" i="89"/>
  <c r="AD185" i="89" s="1"/>
  <c r="S138" i="89"/>
  <c r="X119" i="89"/>
  <c r="Y138" i="89"/>
  <c r="W138" i="89"/>
  <c r="U138" i="89"/>
  <c r="V81" i="89"/>
  <c r="V138" i="89"/>
  <c r="T81" i="89"/>
  <c r="X138" i="89"/>
  <c r="T138" i="89"/>
  <c r="W81" i="89"/>
  <c r="X81" i="89"/>
  <c r="T62" i="89"/>
  <c r="T20" i="89" s="1"/>
  <c r="V62" i="89"/>
  <c r="V20" i="89" s="1"/>
  <c r="S62" i="89"/>
  <c r="S20" i="89" s="1"/>
  <c r="Y62" i="89"/>
  <c r="V119" i="89"/>
  <c r="U119" i="89"/>
  <c r="U62" i="89"/>
  <c r="U20" i="89" s="1"/>
  <c r="Y119" i="89"/>
  <c r="W62" i="89"/>
  <c r="W20" i="89" s="1"/>
  <c r="X62" i="89"/>
  <c r="X20" i="89" s="1"/>
  <c r="Q81" i="89"/>
  <c r="R81" i="89" s="1"/>
  <c r="W157" i="89"/>
  <c r="U157" i="89"/>
  <c r="T157" i="89"/>
  <c r="V157" i="89"/>
  <c r="X157" i="89"/>
  <c r="S157" i="89"/>
  <c r="Y154" i="89"/>
  <c r="Y157" i="89" s="1"/>
  <c r="Q154" i="89"/>
  <c r="R154" i="89" s="1"/>
  <c r="F186" i="89"/>
  <c r="AC184" i="89" l="1"/>
  <c r="AD184" i="89" s="1"/>
  <c r="W3" i="89"/>
  <c r="S3" i="89"/>
  <c r="X3" i="89"/>
  <c r="V3" i="89"/>
  <c r="T3" i="89"/>
  <c r="U3" i="89"/>
  <c r="AM100" i="89"/>
  <c r="AP43" i="89"/>
  <c r="AR43" i="89" s="1"/>
  <c r="U4" i="89"/>
  <c r="S4" i="89"/>
  <c r="T187" i="89"/>
  <c r="X188" i="89"/>
  <c r="S22" i="89"/>
  <c r="T4" i="89"/>
  <c r="W22" i="89"/>
  <c r="X4" i="89"/>
  <c r="V22" i="89"/>
  <c r="W4" i="89"/>
  <c r="U22" i="89"/>
  <c r="V4" i="89"/>
  <c r="P37" i="89" l="1"/>
  <c r="F260" i="89" l="1"/>
  <c r="S260" i="89"/>
  <c r="T260" i="89" s="1"/>
  <c r="P43" i="89"/>
  <c r="Q43" i="89" s="1"/>
  <c r="R43" i="89" s="1"/>
  <c r="T37" i="89"/>
  <c r="T43" i="89" s="1"/>
  <c r="AM37" i="89"/>
  <c r="G189" i="89"/>
  <c r="AK43" i="89"/>
  <c r="AH37" i="89"/>
  <c r="V37" i="89"/>
  <c r="V43" i="89" s="1"/>
  <c r="B29" i="89"/>
  <c r="S37" i="89"/>
  <c r="S43" i="89" s="1"/>
  <c r="Y37" i="89"/>
  <c r="Y43" i="89" s="1"/>
  <c r="Q37" i="89"/>
  <c r="R37" i="89" s="1"/>
  <c r="AI37" i="89"/>
  <c r="U37" i="89"/>
  <c r="U43" i="89" s="1"/>
  <c r="W37" i="89"/>
  <c r="W43" i="89" s="1"/>
  <c r="X37" i="89"/>
  <c r="X43" i="89" s="1"/>
  <c r="AC189" i="89" l="1"/>
  <c r="AU188" i="89" s="1"/>
  <c r="H188" i="89"/>
  <c r="AM43" i="89"/>
  <c r="V23" i="89"/>
  <c r="U23" i="89"/>
  <c r="X23" i="89"/>
  <c r="W23" i="89"/>
  <c r="S21" i="89"/>
  <c r="R23" i="89"/>
  <c r="T21" i="89"/>
  <c r="AD189" i="8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A5" authorId="0" shapeId="0" xr:uid="{74083081-681B-448D-8840-BDCA16EED3DD}">
      <text>
        <r>
          <rPr>
            <b/>
            <sz val="9"/>
            <color indexed="81"/>
            <rFont val="Tahoma"/>
            <family val="2"/>
          </rPr>
          <t>Administrator:</t>
        </r>
        <r>
          <rPr>
            <sz val="9"/>
            <color indexed="81"/>
            <rFont val="Tahoma"/>
            <family val="2"/>
          </rPr>
          <t xml:space="preserve">
L x B x H x 6.24 x 4= L
(%1000)</t>
        </r>
      </text>
    </comment>
    <comment ref="X24" authorId="0" shapeId="0" xr:uid="{9619100E-B75B-423A-9A63-E4EC54FEEFA0}">
      <text>
        <r>
          <rPr>
            <b/>
            <sz val="9"/>
            <color indexed="81"/>
            <rFont val="Tahoma"/>
          </rPr>
          <t>Administrator:</t>
        </r>
        <r>
          <rPr>
            <sz val="9"/>
            <color indexed="81"/>
            <rFont val="Tahoma"/>
          </rPr>
          <t xml:space="preserve">
kbc အသင်းတော်</t>
        </r>
      </text>
    </comment>
    <comment ref="B30" authorId="0" shapeId="0" xr:uid="{C4149889-3BE0-4B39-A72E-53A33B0EC4F9}">
      <text>
        <r>
          <rPr>
            <b/>
            <sz val="9"/>
            <color indexed="81"/>
            <rFont val="Tahoma"/>
          </rPr>
          <t>Administrator:</t>
        </r>
        <r>
          <rPr>
            <sz val="9"/>
            <color indexed="81"/>
            <rFont val="Tahoma"/>
          </rPr>
          <t xml:space="preserve">
handover from SI
</t>
        </r>
      </text>
    </comment>
    <comment ref="C30" authorId="0" shapeId="0" xr:uid="{F0EED25A-CF4B-4B9C-85D1-45C2CB981499}">
      <text>
        <r>
          <rPr>
            <b/>
            <sz val="9"/>
            <color indexed="81"/>
            <rFont val="Tahoma"/>
          </rPr>
          <t>Administrator:</t>
        </r>
        <r>
          <rPr>
            <sz val="9"/>
            <color indexed="81"/>
            <rFont val="Tahoma"/>
          </rPr>
          <t xml:space="preserve">
handover from SI
</t>
        </r>
      </text>
    </comment>
    <comment ref="B33" authorId="0" shapeId="0" xr:uid="{16CE01D4-5264-4835-812E-7556A9D15488}">
      <text>
        <r>
          <rPr>
            <b/>
            <sz val="9"/>
            <color indexed="81"/>
            <rFont val="Tahoma"/>
          </rPr>
          <t>Administrator:</t>
        </r>
        <r>
          <rPr>
            <sz val="9"/>
            <color indexed="81"/>
            <rFont val="Tahoma"/>
          </rPr>
          <t xml:space="preserve">
handover from SI
</t>
        </r>
      </text>
    </comment>
    <comment ref="C33" authorId="0" shapeId="0" xr:uid="{844CC3EA-963B-458D-97AC-195BE76EF728}">
      <text>
        <r>
          <rPr>
            <b/>
            <sz val="9"/>
            <color indexed="81"/>
            <rFont val="Tahoma"/>
          </rPr>
          <t>Administrator:</t>
        </r>
        <r>
          <rPr>
            <sz val="9"/>
            <color indexed="81"/>
            <rFont val="Tahoma"/>
          </rPr>
          <t xml:space="preserve">
handover from SI
</t>
        </r>
      </text>
    </comment>
    <comment ref="B35" authorId="0" shapeId="0" xr:uid="{D1EEABDB-360E-486D-8A9E-1150FD30BAFD}">
      <text>
        <r>
          <rPr>
            <b/>
            <sz val="9"/>
            <color indexed="81"/>
            <rFont val="Tahoma"/>
          </rPr>
          <t>Administrator:</t>
        </r>
        <r>
          <rPr>
            <sz val="9"/>
            <color indexed="81"/>
            <rFont val="Tahoma"/>
          </rPr>
          <t xml:space="preserve">
handover from SI
</t>
        </r>
      </text>
    </comment>
    <comment ref="C35" authorId="0" shapeId="0" xr:uid="{84098656-9140-4F3D-91E1-83E56482B3FD}">
      <text>
        <r>
          <rPr>
            <b/>
            <sz val="9"/>
            <color indexed="81"/>
            <rFont val="Tahoma"/>
          </rPr>
          <t>Administrator:</t>
        </r>
        <r>
          <rPr>
            <sz val="9"/>
            <color indexed="81"/>
            <rFont val="Tahoma"/>
          </rPr>
          <t xml:space="preserve">
handover from SI
</t>
        </r>
      </text>
    </comment>
    <comment ref="R35" authorId="0" shapeId="0" xr:uid="{93ABED68-9C96-4A8C-AD6A-A417B1F09108}">
      <text>
        <r>
          <rPr>
            <b/>
            <sz val="9"/>
            <color indexed="81"/>
            <rFont val="Tahoma"/>
          </rPr>
          <t>Administrator:</t>
        </r>
        <r>
          <rPr>
            <sz val="9"/>
            <color indexed="81"/>
            <rFont val="Tahoma"/>
          </rPr>
          <t xml:space="preserve">
metta 1, Shalom 2</t>
        </r>
      </text>
    </comment>
    <comment ref="B56" authorId="0" shapeId="0" xr:uid="{DDED758C-3E6F-41C3-8A84-9626C129BAFC}">
      <text>
        <r>
          <rPr>
            <b/>
            <sz val="9"/>
            <color indexed="81"/>
            <rFont val="Tahoma"/>
          </rPr>
          <t>Administrator:</t>
        </r>
        <r>
          <rPr>
            <sz val="9"/>
            <color indexed="81"/>
            <rFont val="Tahoma"/>
          </rPr>
          <t xml:space="preserve">
handover from SI
</t>
        </r>
      </text>
    </comment>
    <comment ref="C56" authorId="0" shapeId="0" xr:uid="{EF49D6C6-5802-4CA3-9D78-FC3FBEB49A0D}">
      <text>
        <r>
          <rPr>
            <b/>
            <sz val="9"/>
            <color indexed="81"/>
            <rFont val="Tahoma"/>
          </rPr>
          <t>Administrator:</t>
        </r>
        <r>
          <rPr>
            <sz val="9"/>
            <color indexed="81"/>
            <rFont val="Tahoma"/>
          </rPr>
          <t xml:space="preserve">
handover from SI
</t>
        </r>
      </text>
    </comment>
    <comment ref="B71" authorId="0" shapeId="0" xr:uid="{D1503C4D-EDE3-4001-A939-FBF4DD6F5CB2}">
      <text>
        <r>
          <rPr>
            <b/>
            <sz val="9"/>
            <color indexed="81"/>
            <rFont val="Tahoma"/>
          </rPr>
          <t>Administrator:</t>
        </r>
        <r>
          <rPr>
            <sz val="9"/>
            <color indexed="81"/>
            <rFont val="Tahoma"/>
          </rPr>
          <t xml:space="preserve">
handover from SI
</t>
        </r>
      </text>
    </comment>
    <comment ref="C71" authorId="0" shapeId="0" xr:uid="{EB7DBE22-B568-4DE0-8C70-A45C43885A28}">
      <text>
        <r>
          <rPr>
            <b/>
            <sz val="9"/>
            <color indexed="81"/>
            <rFont val="Tahoma"/>
          </rPr>
          <t>Administrator:</t>
        </r>
        <r>
          <rPr>
            <sz val="9"/>
            <color indexed="81"/>
            <rFont val="Tahoma"/>
          </rPr>
          <t xml:space="preserve">
handover from SI
</t>
        </r>
      </text>
    </comment>
    <comment ref="H90" authorId="0" shapeId="0" xr:uid="{03AB39A7-DA3D-4589-9980-814D668C789C}">
      <text>
        <r>
          <rPr>
            <b/>
            <sz val="9"/>
            <color indexed="81"/>
            <rFont val="Tahoma"/>
          </rPr>
          <t>Administrator:</t>
        </r>
        <r>
          <rPr>
            <sz val="9"/>
            <color indexed="81"/>
            <rFont val="Tahoma"/>
          </rPr>
          <t xml:space="preserve">
Shwegu KBC Camp</t>
        </r>
      </text>
    </comment>
    <comment ref="B135" authorId="0" shapeId="0" xr:uid="{9A080782-B530-4FB2-8759-7AE5A685E1F1}">
      <text>
        <r>
          <rPr>
            <b/>
            <sz val="9"/>
            <color indexed="81"/>
            <rFont val="Tahoma"/>
          </rPr>
          <t>Administrator:</t>
        </r>
        <r>
          <rPr>
            <sz val="9"/>
            <color indexed="81"/>
            <rFont val="Tahoma"/>
          </rPr>
          <t xml:space="preserve">
handover from SI
</t>
        </r>
      </text>
    </comment>
    <comment ref="C135" authorId="0" shapeId="0" xr:uid="{7B76FC19-5180-467C-B5D2-86A82A426973}">
      <text>
        <r>
          <rPr>
            <b/>
            <sz val="9"/>
            <color indexed="81"/>
            <rFont val="Tahoma"/>
          </rPr>
          <t>Administrator:</t>
        </r>
        <r>
          <rPr>
            <sz val="9"/>
            <color indexed="81"/>
            <rFont val="Tahoma"/>
          </rPr>
          <t xml:space="preserve">
handover from SI
</t>
        </r>
      </text>
    </comment>
    <comment ref="B137" authorId="0" shapeId="0" xr:uid="{436E424C-3CA8-424A-B846-86ABAD318410}">
      <text>
        <r>
          <rPr>
            <b/>
            <sz val="9"/>
            <color indexed="81"/>
            <rFont val="Tahoma"/>
          </rPr>
          <t>Administrator:</t>
        </r>
        <r>
          <rPr>
            <sz val="9"/>
            <color indexed="81"/>
            <rFont val="Tahoma"/>
          </rPr>
          <t xml:space="preserve">
handover from SI
</t>
        </r>
      </text>
    </comment>
    <comment ref="C137" authorId="0" shapeId="0" xr:uid="{9CF261E2-EECE-4097-AFA7-9EEBF3D18C4E}">
      <text>
        <r>
          <rPr>
            <b/>
            <sz val="9"/>
            <color indexed="81"/>
            <rFont val="Tahoma"/>
          </rPr>
          <t>Administrator:</t>
        </r>
        <r>
          <rPr>
            <sz val="9"/>
            <color indexed="81"/>
            <rFont val="Tahoma"/>
          </rPr>
          <t xml:space="preserve">
handover from SI
</t>
        </r>
      </text>
    </comment>
    <comment ref="B138" authorId="0" shapeId="0" xr:uid="{C3520C41-3870-47B3-A737-2AA6DC2117BC}">
      <text>
        <r>
          <rPr>
            <b/>
            <sz val="9"/>
            <color indexed="81"/>
            <rFont val="Tahoma"/>
          </rPr>
          <t>Administrator:</t>
        </r>
        <r>
          <rPr>
            <sz val="9"/>
            <color indexed="81"/>
            <rFont val="Tahoma"/>
          </rPr>
          <t xml:space="preserve">
handover from SI
</t>
        </r>
      </text>
    </comment>
    <comment ref="C138" authorId="0" shapeId="0" xr:uid="{A9C4B9B2-D0F0-4C49-B0D3-7350133B9758}">
      <text>
        <r>
          <rPr>
            <b/>
            <sz val="9"/>
            <color indexed="81"/>
            <rFont val="Tahoma"/>
          </rPr>
          <t>Administrator:</t>
        </r>
        <r>
          <rPr>
            <sz val="9"/>
            <color indexed="81"/>
            <rFont val="Tahoma"/>
          </rPr>
          <t xml:space="preserve">
handover from SI
</t>
        </r>
      </text>
    </comment>
    <comment ref="B159" authorId="0" shapeId="0" xr:uid="{DAE2641C-CF9D-413D-98A3-E79794C567E9}">
      <text>
        <r>
          <rPr>
            <b/>
            <sz val="9"/>
            <color indexed="81"/>
            <rFont val="Tahoma"/>
          </rPr>
          <t>Administrator:</t>
        </r>
        <r>
          <rPr>
            <sz val="9"/>
            <color indexed="81"/>
            <rFont val="Tahoma"/>
          </rPr>
          <t xml:space="preserve">
Metta</t>
        </r>
      </text>
    </comment>
    <comment ref="B165" authorId="0" shapeId="0" xr:uid="{545053E6-9D16-4AA6-B244-AE8DD7A0BED6}">
      <text>
        <r>
          <rPr>
            <b/>
            <sz val="9"/>
            <color indexed="81"/>
            <rFont val="Tahoma"/>
          </rPr>
          <t>Administrator:</t>
        </r>
        <r>
          <rPr>
            <sz val="9"/>
            <color indexed="81"/>
            <rFont val="Tahoma"/>
          </rPr>
          <t xml:space="preserve">
handover from SI
</t>
        </r>
      </text>
    </comment>
    <comment ref="C165" authorId="0" shapeId="0" xr:uid="{1231856C-7C0C-41B6-BCF8-0F2866846CB9}">
      <text>
        <r>
          <rPr>
            <b/>
            <sz val="9"/>
            <color indexed="81"/>
            <rFont val="Tahoma"/>
          </rPr>
          <t>Administrator:</t>
        </r>
        <r>
          <rPr>
            <sz val="9"/>
            <color indexed="81"/>
            <rFont val="Tahoma"/>
          </rPr>
          <t xml:space="preserve">
handover from SI
</t>
        </r>
      </text>
    </comment>
    <comment ref="B167" authorId="0" shapeId="0" xr:uid="{F284C5CD-79DF-47FD-AE15-34B332CD2DA7}">
      <text>
        <r>
          <rPr>
            <b/>
            <sz val="9"/>
            <color indexed="81"/>
            <rFont val="Tahoma"/>
          </rPr>
          <t>Administrator:</t>
        </r>
        <r>
          <rPr>
            <sz val="9"/>
            <color indexed="81"/>
            <rFont val="Tahoma"/>
          </rPr>
          <t xml:space="preserve">
handover from SI
</t>
        </r>
      </text>
    </comment>
    <comment ref="C167" authorId="0" shapeId="0" xr:uid="{5F6D7361-05AA-46AF-991B-8F6AE98BD2B5}">
      <text>
        <r>
          <rPr>
            <b/>
            <sz val="9"/>
            <color indexed="81"/>
            <rFont val="Tahoma"/>
          </rPr>
          <t>Administrator:</t>
        </r>
        <r>
          <rPr>
            <sz val="9"/>
            <color indexed="81"/>
            <rFont val="Tahoma"/>
          </rPr>
          <t xml:space="preserve">
handover from SI
</t>
        </r>
      </text>
    </comment>
    <comment ref="B169" authorId="0" shapeId="0" xr:uid="{4376F03B-E000-4E87-A421-F00B44B5E0FF}">
      <text>
        <r>
          <rPr>
            <b/>
            <sz val="9"/>
            <color indexed="81"/>
            <rFont val="Tahoma"/>
          </rPr>
          <t>Administrator:</t>
        </r>
        <r>
          <rPr>
            <sz val="9"/>
            <color indexed="81"/>
            <rFont val="Tahoma"/>
          </rPr>
          <t xml:space="preserve">
handover from SI
</t>
        </r>
      </text>
    </comment>
    <comment ref="C169" authorId="0" shapeId="0" xr:uid="{1F8971DC-97BD-465D-8D99-D8EC6E0D32E0}">
      <text>
        <r>
          <rPr>
            <b/>
            <sz val="9"/>
            <color indexed="81"/>
            <rFont val="Tahoma"/>
          </rPr>
          <t>Administrator:</t>
        </r>
        <r>
          <rPr>
            <sz val="9"/>
            <color indexed="81"/>
            <rFont val="Tahoma"/>
          </rPr>
          <t xml:space="preserve">
handover from SI
</t>
        </r>
      </text>
    </comment>
    <comment ref="B171" authorId="0" shapeId="0" xr:uid="{41B4E406-91A4-4F78-ACC3-9E4E7DE59A90}">
      <text>
        <r>
          <rPr>
            <b/>
            <sz val="9"/>
            <color indexed="81"/>
            <rFont val="Tahoma"/>
          </rPr>
          <t>Administrator:</t>
        </r>
        <r>
          <rPr>
            <sz val="9"/>
            <color indexed="81"/>
            <rFont val="Tahoma"/>
          </rPr>
          <t xml:space="preserve">
handover from SI
</t>
        </r>
      </text>
    </comment>
    <comment ref="C171" authorId="0" shapeId="0" xr:uid="{361DB6D3-8904-4B36-85C6-47B847DAF40D}">
      <text>
        <r>
          <rPr>
            <b/>
            <sz val="9"/>
            <color indexed="81"/>
            <rFont val="Tahoma"/>
          </rPr>
          <t>Administrator:</t>
        </r>
        <r>
          <rPr>
            <sz val="9"/>
            <color indexed="81"/>
            <rFont val="Tahoma"/>
          </rPr>
          <t xml:space="preserve">
handover from SI
</t>
        </r>
      </text>
    </comment>
    <comment ref="B184" authorId="0" shapeId="0" xr:uid="{3EE3D0BE-4844-4D05-8C7A-401E815A6C87}">
      <text>
        <r>
          <rPr>
            <b/>
            <sz val="9"/>
            <color indexed="81"/>
            <rFont val="Tahoma"/>
          </rPr>
          <t>Administrator:</t>
        </r>
        <r>
          <rPr>
            <sz val="9"/>
            <color indexed="81"/>
            <rFont val="Tahoma"/>
          </rPr>
          <t xml:space="preserve">
handover from SI
</t>
        </r>
      </text>
    </comment>
    <comment ref="C184" authorId="0" shapeId="0" xr:uid="{44A5BD77-06B9-4C1C-AF72-62A0D5325779}">
      <text>
        <r>
          <rPr>
            <b/>
            <sz val="9"/>
            <color indexed="81"/>
            <rFont val="Tahoma"/>
          </rPr>
          <t>Administrator:</t>
        </r>
        <r>
          <rPr>
            <sz val="9"/>
            <color indexed="81"/>
            <rFont val="Tahoma"/>
          </rPr>
          <t xml:space="preserve">
handover from SI
</t>
        </r>
      </text>
    </comment>
    <comment ref="B199" authorId="0" shapeId="0" xr:uid="{5C23AE16-D6AD-476A-A062-A1380420D9CD}">
      <text>
        <r>
          <rPr>
            <b/>
            <sz val="9"/>
            <color indexed="81"/>
            <rFont val="Tahoma"/>
          </rPr>
          <t>Administrator:</t>
        </r>
        <r>
          <rPr>
            <sz val="9"/>
            <color indexed="81"/>
            <rFont val="Tahoma"/>
          </rPr>
          <t xml:space="preserve">
handover from SI
</t>
        </r>
      </text>
    </comment>
    <comment ref="C199" authorId="0" shapeId="0" xr:uid="{4382A059-5286-4EAE-B09B-252EAC6F7C73}">
      <text>
        <r>
          <rPr>
            <b/>
            <sz val="9"/>
            <color indexed="81"/>
            <rFont val="Tahoma"/>
          </rPr>
          <t>Administrator:</t>
        </r>
        <r>
          <rPr>
            <sz val="9"/>
            <color indexed="81"/>
            <rFont val="Tahoma"/>
          </rPr>
          <t xml:space="preserve">
handover from SI
</t>
        </r>
      </text>
    </comment>
    <comment ref="H200" authorId="0" shapeId="0" xr:uid="{D31EB088-D3C1-47AA-994F-B33C4D47E70E}">
      <text>
        <r>
          <rPr>
            <b/>
            <sz val="9"/>
            <color indexed="81"/>
            <rFont val="Tahoma"/>
          </rPr>
          <t>Administrator:</t>
        </r>
        <r>
          <rPr>
            <sz val="9"/>
            <color indexed="81"/>
            <rFont val="Tahoma"/>
          </rPr>
          <t xml:space="preserve">
Mai Hkawng KBC Camp 1 &amp; 2</t>
        </r>
      </text>
    </comment>
    <comment ref="B203" authorId="0" shapeId="0" xr:uid="{58A522DA-67A2-4D99-A74F-9C1424BAD772}">
      <text>
        <r>
          <rPr>
            <b/>
            <sz val="9"/>
            <color indexed="81"/>
            <rFont val="Tahoma"/>
          </rPr>
          <t>Administrator:</t>
        </r>
        <r>
          <rPr>
            <sz val="9"/>
            <color indexed="81"/>
            <rFont val="Tahoma"/>
          </rPr>
          <t xml:space="preserve">
Metta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K21" authorId="0" shapeId="0" xr:uid="{D4DDC6E8-28CF-4877-B831-F266815B5F9B}">
      <text>
        <r>
          <rPr>
            <b/>
            <sz val="9"/>
            <color indexed="81"/>
            <rFont val="Tahoma"/>
            <family val="2"/>
          </rPr>
          <t>Administrator:</t>
        </r>
        <r>
          <rPr>
            <sz val="9"/>
            <color indexed="81"/>
            <rFont val="Tahoma"/>
            <family val="2"/>
          </rPr>
          <t xml:space="preserve">
not include the data from cluster reporting partners</t>
        </r>
      </text>
    </comment>
    <comment ref="K23" authorId="0" shapeId="0" xr:uid="{C8EE03FA-AA09-45A2-82E1-8BB1285B2289}">
      <text>
        <r>
          <rPr>
            <b/>
            <sz val="9"/>
            <color indexed="81"/>
            <rFont val="Tahoma"/>
            <family val="2"/>
          </rPr>
          <t>Administrator:</t>
        </r>
        <r>
          <rPr>
            <sz val="9"/>
            <color indexed="81"/>
            <rFont val="Tahoma"/>
            <family val="2"/>
          </rPr>
          <t xml:space="preserve">
not include the data from cluster reporting partners</t>
        </r>
      </text>
    </comment>
    <comment ref="K24" authorId="0" shapeId="0" xr:uid="{43DF79B2-D6B4-45CB-8C67-B323E1E0F138}">
      <text>
        <r>
          <rPr>
            <b/>
            <sz val="9"/>
            <color indexed="81"/>
            <rFont val="Tahoma"/>
            <family val="2"/>
          </rPr>
          <t>Administrator:</t>
        </r>
        <r>
          <rPr>
            <sz val="9"/>
            <color indexed="81"/>
            <rFont val="Tahoma"/>
            <family val="2"/>
          </rPr>
          <t xml:space="preserve">
not include the data from cluster reporting partners</t>
        </r>
      </text>
    </comment>
    <comment ref="K27" authorId="0" shapeId="0" xr:uid="{10726BB1-1312-4AED-AB1D-4DC34CA0B5B1}">
      <text>
        <r>
          <rPr>
            <b/>
            <sz val="9"/>
            <color indexed="81"/>
            <rFont val="Tahoma"/>
          </rPr>
          <t>Administrator:</t>
        </r>
        <r>
          <rPr>
            <sz val="9"/>
            <color indexed="81"/>
            <rFont val="Tahoma"/>
          </rPr>
          <t xml:space="preserve">
march HPM</t>
        </r>
      </text>
    </comment>
    <comment ref="H29" authorId="0" shapeId="0" xr:uid="{E98295A6-8C65-4E85-BD4B-F835F12E11D0}">
      <text>
        <r>
          <rPr>
            <b/>
            <sz val="9"/>
            <color indexed="81"/>
            <rFont val="Tahoma"/>
          </rPr>
          <t>Administrator:</t>
        </r>
        <r>
          <rPr>
            <sz val="9"/>
            <color indexed="81"/>
            <rFont val="Tahoma"/>
          </rPr>
          <t xml:space="preserve">
1674 march3W</t>
        </r>
      </text>
    </comment>
    <comment ref="K29" authorId="0" shapeId="0" xr:uid="{871CD624-84C0-4D9A-8549-E2AF3520CAE1}">
      <text>
        <r>
          <rPr>
            <b/>
            <sz val="9"/>
            <color indexed="81"/>
            <rFont val="Tahoma"/>
          </rPr>
          <t>Administrator:</t>
        </r>
        <r>
          <rPr>
            <sz val="9"/>
            <color indexed="81"/>
            <rFont val="Tahoma"/>
          </rPr>
          <t xml:space="preserve">
march HPM
</t>
        </r>
      </text>
    </comment>
    <comment ref="G30" authorId="0" shapeId="0" xr:uid="{E7C41E02-7C5F-492F-AFFB-AEF4E7C2CABB}">
      <text>
        <r>
          <rPr>
            <b/>
            <sz val="9"/>
            <color indexed="81"/>
            <rFont val="Tahoma"/>
          </rPr>
          <t>Administrator:</t>
        </r>
        <r>
          <rPr>
            <sz val="9"/>
            <color indexed="81"/>
            <rFont val="Tahoma"/>
          </rPr>
          <t xml:space="preserve">
62511</t>
        </r>
      </text>
    </comment>
    <comment ref="H30" authorId="0" shapeId="0" xr:uid="{D2672DDA-49C0-47F0-B6D8-DA1072D776EE}">
      <text>
        <r>
          <rPr>
            <b/>
            <sz val="9"/>
            <color indexed="81"/>
            <rFont val="Tahoma"/>
          </rPr>
          <t>Administrator:</t>
        </r>
        <r>
          <rPr>
            <sz val="9"/>
            <color indexed="81"/>
            <rFont val="Tahoma"/>
          </rPr>
          <t xml:space="preserve">
64</t>
        </r>
      </text>
    </comment>
    <comment ref="K31" authorId="0" shapeId="0" xr:uid="{B0244080-CB71-4389-96B1-615F910B42C3}">
      <text>
        <r>
          <rPr>
            <b/>
            <sz val="9"/>
            <color indexed="81"/>
            <rFont val="Tahoma"/>
          </rPr>
          <t>Administrator:</t>
        </r>
        <r>
          <rPr>
            <sz val="9"/>
            <color indexed="81"/>
            <rFont val="Tahoma"/>
          </rPr>
          <t xml:space="preserve">
march HPM
</t>
        </r>
      </text>
    </comment>
    <comment ref="H32" authorId="0" shapeId="0" xr:uid="{E8131CCC-3674-4F49-B773-45616625676F}">
      <text>
        <r>
          <rPr>
            <b/>
            <sz val="9"/>
            <color indexed="81"/>
            <rFont val="Tahoma"/>
          </rPr>
          <t>Administrator:</t>
        </r>
        <r>
          <rPr>
            <sz val="9"/>
            <color indexed="81"/>
            <rFont val="Tahoma"/>
          </rPr>
          <t xml:space="preserve">
683 march 3W</t>
        </r>
      </text>
    </comment>
    <comment ref="K32" authorId="0" shapeId="0" xr:uid="{8D9458B7-0242-455E-89D4-D3A72069E109}">
      <text>
        <r>
          <rPr>
            <b/>
            <sz val="9"/>
            <color indexed="81"/>
            <rFont val="Tahoma"/>
            <family val="2"/>
          </rPr>
          <t>Administrator:</t>
        </r>
        <r>
          <rPr>
            <sz val="9"/>
            <color indexed="81"/>
            <rFont val="Tahoma"/>
            <family val="2"/>
          </rPr>
          <t xml:space="preserve">
march HPM</t>
        </r>
      </text>
    </comment>
    <comment ref="K40" authorId="0" shapeId="0" xr:uid="{8A862704-2A33-483E-845C-8934D57DA421}">
      <text>
        <r>
          <rPr>
            <b/>
            <sz val="9"/>
            <color indexed="81"/>
            <rFont val="Tahoma"/>
            <family val="2"/>
          </rPr>
          <t>Administrator:</t>
        </r>
        <r>
          <rPr>
            <sz val="9"/>
            <color indexed="81"/>
            <rFont val="Tahoma"/>
            <family val="2"/>
          </rPr>
          <t xml:space="preserve">
march HPM</t>
        </r>
      </text>
    </comment>
    <comment ref="K42" authorId="0" shapeId="0" xr:uid="{0F1337A6-D954-43D1-8EBC-65D5C216E453}">
      <text>
        <r>
          <rPr>
            <b/>
            <sz val="9"/>
            <color indexed="81"/>
            <rFont val="Tahoma"/>
            <family val="2"/>
          </rPr>
          <t>Administrator:</t>
        </r>
        <r>
          <rPr>
            <sz val="9"/>
            <color indexed="81"/>
            <rFont val="Tahoma"/>
            <family val="2"/>
          </rPr>
          <t xml:space="preserve">
march HPM</t>
        </r>
      </text>
    </comment>
    <comment ref="K46" authorId="0" shapeId="0" xr:uid="{8EFF6E6A-E4F4-4C3F-9092-243B0B7B14A9}">
      <text>
        <r>
          <rPr>
            <b/>
            <sz val="9"/>
            <color indexed="81"/>
            <rFont val="Tahoma"/>
            <family val="2"/>
          </rPr>
          <t>Administrator:</t>
        </r>
        <r>
          <rPr>
            <sz val="9"/>
            <color indexed="81"/>
            <rFont val="Tahoma"/>
            <family val="2"/>
          </rPr>
          <t xml:space="preserve">
march HPM</t>
        </r>
      </text>
    </comment>
    <comment ref="K50" authorId="0" shapeId="0" xr:uid="{C705B27F-88A7-4261-A975-4C04371130DD}">
      <text>
        <r>
          <rPr>
            <b/>
            <sz val="9"/>
            <color indexed="81"/>
            <rFont val="Tahoma"/>
            <family val="2"/>
          </rPr>
          <t>Administrator:</t>
        </r>
        <r>
          <rPr>
            <sz val="9"/>
            <color indexed="81"/>
            <rFont val="Tahoma"/>
            <family val="2"/>
          </rPr>
          <t xml:space="preserve">
march HPM</t>
        </r>
      </text>
    </comment>
    <comment ref="K51" authorId="0" shapeId="0" xr:uid="{392AFFFF-F1E7-4778-BF82-4ECE7866C7FF}">
      <text>
        <r>
          <rPr>
            <b/>
            <sz val="9"/>
            <color indexed="81"/>
            <rFont val="Tahoma"/>
            <family val="2"/>
          </rPr>
          <t>Administrator:</t>
        </r>
        <r>
          <rPr>
            <sz val="9"/>
            <color indexed="81"/>
            <rFont val="Tahoma"/>
            <family val="2"/>
          </rPr>
          <t xml:space="preserve">
march HPM</t>
        </r>
      </text>
    </comment>
    <comment ref="K57" authorId="0" shapeId="0" xr:uid="{2C8BA49A-3929-4647-B49D-1714379BAF34}">
      <text>
        <r>
          <rPr>
            <b/>
            <sz val="9"/>
            <color indexed="81"/>
            <rFont val="Tahoma"/>
            <family val="2"/>
          </rPr>
          <t>Administrator:</t>
        </r>
        <r>
          <rPr>
            <sz val="9"/>
            <color indexed="81"/>
            <rFont val="Tahoma"/>
            <family val="2"/>
          </rPr>
          <t xml:space="preserve">
march HPM</t>
        </r>
      </text>
    </comment>
    <comment ref="K59" authorId="0" shapeId="0" xr:uid="{783C47EF-3D3D-4766-8676-144E434BD0B4}">
      <text>
        <r>
          <rPr>
            <b/>
            <sz val="9"/>
            <color indexed="81"/>
            <rFont val="Tahoma"/>
            <family val="2"/>
          </rPr>
          <t>Administrator:</t>
        </r>
        <r>
          <rPr>
            <sz val="9"/>
            <color indexed="81"/>
            <rFont val="Tahoma"/>
            <family val="2"/>
          </rPr>
          <t xml:space="preserve">
march HPM</t>
        </r>
      </text>
    </comment>
    <comment ref="K141" authorId="0" shapeId="0" xr:uid="{1D4DB8E5-38C9-45DE-B7A8-6D51BA25C780}">
      <text>
        <r>
          <rPr>
            <b/>
            <sz val="9"/>
            <color indexed="81"/>
            <rFont val="Tahoma"/>
            <family val="2"/>
          </rPr>
          <t>Administrator:</t>
        </r>
        <r>
          <rPr>
            <sz val="9"/>
            <color indexed="81"/>
            <rFont val="Tahoma"/>
            <family val="2"/>
          </rPr>
          <t xml:space="preserve">
march HPM</t>
        </r>
      </text>
    </comment>
    <comment ref="K145" authorId="0" shapeId="0" xr:uid="{8A8D3319-EBF3-4EAE-9F99-E047BB22CD3F}">
      <text>
        <r>
          <rPr>
            <b/>
            <sz val="9"/>
            <color indexed="81"/>
            <rFont val="Tahoma"/>
            <family val="2"/>
          </rPr>
          <t>Administrator:</t>
        </r>
        <r>
          <rPr>
            <sz val="9"/>
            <color indexed="81"/>
            <rFont val="Tahoma"/>
            <family val="2"/>
          </rPr>
          <t xml:space="preserve">
march HPM</t>
        </r>
      </text>
    </comment>
    <comment ref="K146" authorId="0" shapeId="0" xr:uid="{42DE7414-C052-4C23-90A8-4931EF0032BB}">
      <text>
        <r>
          <rPr>
            <b/>
            <sz val="9"/>
            <color indexed="81"/>
            <rFont val="Tahoma"/>
            <family val="2"/>
          </rPr>
          <t>Administrator:</t>
        </r>
        <r>
          <rPr>
            <sz val="9"/>
            <color indexed="81"/>
            <rFont val="Tahoma"/>
            <family val="2"/>
          </rPr>
          <t xml:space="preserve">
march HPM</t>
        </r>
      </text>
    </comment>
    <comment ref="K152" authorId="0" shapeId="0" xr:uid="{D4AC5308-E7C8-4882-95A1-4FEDECA678B0}">
      <text>
        <r>
          <rPr>
            <b/>
            <sz val="9"/>
            <color indexed="81"/>
            <rFont val="Tahoma"/>
            <family val="2"/>
          </rPr>
          <t>Administrator:</t>
        </r>
        <r>
          <rPr>
            <sz val="9"/>
            <color indexed="81"/>
            <rFont val="Tahoma"/>
            <family val="2"/>
          </rPr>
          <t xml:space="preserve">
march HPM</t>
        </r>
      </text>
    </comment>
    <comment ref="K154" authorId="0" shapeId="0" xr:uid="{0F6F031F-6E67-44DD-848C-A182036357E1}">
      <text>
        <r>
          <rPr>
            <b/>
            <sz val="9"/>
            <color indexed="81"/>
            <rFont val="Tahoma"/>
            <family val="2"/>
          </rPr>
          <t>Administrator:</t>
        </r>
        <r>
          <rPr>
            <sz val="9"/>
            <color indexed="81"/>
            <rFont val="Tahoma"/>
            <family val="2"/>
          </rPr>
          <t xml:space="preserve">
march HPM</t>
        </r>
      </text>
    </comment>
    <comment ref="K160" authorId="0" shapeId="0" xr:uid="{03C258BD-0E51-43A9-B3E6-AC25742C64CB}">
      <text>
        <r>
          <rPr>
            <b/>
            <sz val="9"/>
            <color indexed="81"/>
            <rFont val="Tahoma"/>
            <family val="2"/>
          </rPr>
          <t>Administrator:</t>
        </r>
        <r>
          <rPr>
            <sz val="9"/>
            <color indexed="81"/>
            <rFont val="Tahoma"/>
            <family val="2"/>
          </rPr>
          <t xml:space="preserve">
march HPM</t>
        </r>
      </text>
    </comment>
    <comment ref="H162" authorId="0" shapeId="0" xr:uid="{A14C29CD-0C12-4F3E-A10A-B560CD517B1A}">
      <text>
        <r>
          <rPr>
            <b/>
            <sz val="9"/>
            <color indexed="81"/>
            <rFont val="Tahoma"/>
            <family val="2"/>
          </rPr>
          <t>Administrator:</t>
        </r>
        <r>
          <rPr>
            <sz val="9"/>
            <color indexed="81"/>
            <rFont val="Tahoma"/>
            <family val="2"/>
          </rPr>
          <t xml:space="preserve">
514 march 3W</t>
        </r>
      </text>
    </comment>
    <comment ref="K165" authorId="0" shapeId="0" xr:uid="{E7C71FBE-19E6-4094-86F0-8D89BC52B5D8}">
      <text>
        <r>
          <rPr>
            <b/>
            <sz val="9"/>
            <color indexed="81"/>
            <rFont val="Tahoma"/>
            <family val="2"/>
          </rPr>
          <t>Administrator:</t>
        </r>
        <r>
          <rPr>
            <sz val="9"/>
            <color indexed="81"/>
            <rFont val="Tahoma"/>
            <family val="2"/>
          </rPr>
          <t xml:space="preserve">
March HPM</t>
        </r>
      </text>
    </comment>
    <comment ref="K173" authorId="0" shapeId="0" xr:uid="{0290B52E-B4B2-4344-8153-39D53E09A25F}">
      <text>
        <r>
          <rPr>
            <b/>
            <sz val="9"/>
            <color indexed="81"/>
            <rFont val="Tahoma"/>
            <family val="2"/>
          </rPr>
          <t>Administrator:</t>
        </r>
        <r>
          <rPr>
            <sz val="9"/>
            <color indexed="81"/>
            <rFont val="Tahoma"/>
            <family val="2"/>
          </rPr>
          <t xml:space="preserve">
march HPM</t>
        </r>
      </text>
    </comment>
    <comment ref="K175" authorId="0" shapeId="0" xr:uid="{6D61FD41-8C57-4BFA-B44D-62524114DD3F}">
      <text>
        <r>
          <rPr>
            <b/>
            <sz val="9"/>
            <color indexed="81"/>
            <rFont val="Tahoma"/>
            <family val="2"/>
          </rPr>
          <t>Administrator:</t>
        </r>
        <r>
          <rPr>
            <sz val="9"/>
            <color indexed="81"/>
            <rFont val="Tahoma"/>
            <family val="2"/>
          </rPr>
          <t xml:space="preserve">
March HPM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7" minRefreshableVersion="5">
    <extLst>
      <ext xmlns:x15="http://schemas.microsoft.com/office/spreadsheetml/2010/11/main" uri="{DE250136-89BD-433C-8126-D09CA5730AF9}">
        <x15:connection id="WWWW" autoDelete="1">
          <x15:rangePr sourceName="_xlcn.WorksheetConnection_20200716_Myanmar_WASH_4W_2020_Q2_KachinShan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WWWW].[Covered].&amp;[Covered]}"/>
    <s v="{[WWWW].[#_Water sources tested for fecal coliform].&amp;[1],[WWWW].[#_Water sources tested for fecal coliform].&amp;[2],[WWWW].[#_Water sources tested for fecal coliform].&amp;[5],[WWWW].[#_Water sources tested for fecal coliform].&amp;[7],[WWWW].[#_Water sources tested for fecal coliform].&amp;[15]}"/>
    <s v="{[WWWW].[Remark].&amp;[yes]}"/>
    <s v="{[WWWW].[#_Household water samples tested for fecal coliform].&amp;[1],[WWWW].[#_Household water samples tested for fecal coliform].&amp;[2],[WWWW].[#_Household water samples tested for fecal coliform].&amp;[6],[WWWW].[#_Household water samples tested for fecal coliform].&amp;[9],[WWWW].[#_Household water samples tested for fecal coliform].&amp;[15],[WWWW].[#_Household water samples tested for fecal coliform].&amp;[21],[WWWW].[#_Household water samples tested for fecal coliform].&amp;[27],[WWWW].[#_Household water samples tested for fecal coliform].&amp;[36]}"/>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<sst xmlns="http://schemas.openxmlformats.org/spreadsheetml/2006/main" count="15425" uniqueCount="3257">
  <si>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</si>
  <si>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</si>
  <si>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</si>
  <si>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</si>
  <si>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</si>
  <si>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</si>
  <si>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</si>
  <si>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</si>
  <si>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</si>
  <si>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</si>
  <si>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</si>
  <si>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</si>
  <si>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</si>
  <si>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</si>
  <si>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</si>
  <si>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</si>
  <si>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</si>
  <si>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</si>
  <si>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</si>
  <si>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</si>
  <si>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</si>
  <si>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</si>
  <si>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</si>
  <si>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</si>
  <si>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</si>
  <si>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</si>
  <si>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</si>
  <si>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</si>
  <si>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</si>
  <si>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</si>
  <si>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</si>
  <si>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</si>
  <si>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</si>
  <si>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</si>
  <si>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</si>
  <si>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</si>
  <si>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</si>
  <si>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</si>
  <si>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</si>
  <si>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</si>
  <si>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</si>
  <si>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</si>
  <si>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</si>
  <si>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</si>
  <si>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</si>
  <si>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</si>
  <si>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</si>
  <si>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</si>
  <si>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</si>
  <si>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</si>
  <si>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</si>
  <si>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</si>
  <si>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</si>
  <si>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</si>
  <si>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</si>
  <si>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</si>
  <si>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</si>
  <si>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</si>
  <si>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</si>
  <si>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</si>
  <si>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</si>
  <si>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</si>
  <si>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</si>
  <si>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</si>
  <si>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</si>
  <si>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</si>
  <si>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</si>
  <si>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</si>
  <si>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</si>
  <si>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</si>
  <si>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</si>
  <si>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</si>
  <si>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</si>
  <si>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</si>
  <si>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</si>
  <si>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</si>
  <si>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</si>
  <si>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</si>
  <si>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</si>
  <si>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</si>
  <si>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</si>
  <si>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</si>
  <si>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</si>
  <si>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</si>
  <si>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</si>
  <si>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</si>
  <si>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</si>
  <si>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</si>
  <si>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</si>
  <si>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</si>
  <si>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</si>
  <si>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</si>
  <si>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</si>
  <si>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</si>
  <si>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</si>
  <si>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</si>
  <si>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</si>
  <si>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</si>
  <si>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</si>
  <si>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</si>
  <si>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</si>
  <si>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</si>
  <si>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</si>
  <si>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</si>
  <si>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</si>
  <si>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</si>
  <si>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</si>
  <si>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</si>
  <si>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</si>
  <si>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</si>
  <si>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</si>
  <si>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</si>
  <si>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</si>
  <si>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</si>
  <si>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</si>
  <si>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</si>
  <si>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</si>
  <si>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</si>
  <si>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</si>
  <si>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</si>
  <si>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</si>
  <si>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</si>
  <si>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</si>
  <si>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</si>
  <si>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</si>
  <si>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</si>
  <si>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</si>
  <si>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</si>
  <si>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</si>
  <si>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</si>
  <si>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</si>
  <si>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</si>
  <si>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</si>
  <si>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</si>
  <si>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</si>
  <si>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</si>
  <si>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</si>
  <si>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</si>
  <si>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</si>
  <si>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</si>
  <si>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</si>
  <si>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</si>
  <si>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</si>
  <si>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</si>
  <si>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</si>
  <si>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</si>
  <si>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</si>
  <si>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</si>
  <si>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</si>
  <si>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</si>
  <si>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</si>
  <si>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</si>
  <si>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</si>
  <si>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</si>
  <si>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</si>
  <si>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</si>
  <si>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</si>
  <si>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</si>
  <si>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</si>
  <si>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</si>
  <si>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</si>
  <si>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</si>
  <si>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</si>
  <si>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</si>
  <si>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</si>
  <si>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</si>
  <si>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</si>
  <si>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</si>
  <si>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</si>
  <si>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</si>
  <si>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</si>
  <si>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</si>
  <si>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</si>
  <si>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</si>
  <si>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</si>
  <si>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</si>
  <si>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</si>
  <si>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</si>
  <si>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</si>
  <si>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</si>
  <si>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</si>
  <si>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</si>
  <si>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</si>
  <si>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</si>
  <si>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</si>
  <si>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</si>
  <si>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</si>
  <si>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</si>
  <si>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</si>
  <si>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</si>
  <si>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</si>
  <si>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</si>
  <si>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</si>
  <si>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</si>
  <si>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</si>
  <si>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</si>
  <si>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</si>
  <si>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</si>
  <si>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</si>
  <si>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</si>
  <si>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</si>
  <si>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</si>
  <si>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</si>
  <si>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</si>
  <si>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</si>
  <si>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</si>
  <si>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</si>
  <si>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</si>
  <si>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</si>
  <si>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</si>
  <si>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</si>
  <si>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</si>
  <si>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</si>
  <si>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</si>
  <si>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</si>
  <si>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</si>
  <si>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</si>
  <si>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</si>
  <si>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</si>
  <si>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</si>
  <si>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</si>
  <si>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</si>
  <si>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</si>
  <si>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</si>
  <si>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</si>
  <si>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</si>
  <si>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</si>
  <si>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</si>
  <si>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</si>
  <si>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</si>
  <si>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</si>
  <si>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</si>
  <si>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</si>
  <si>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</si>
  <si>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</si>
  <si>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</si>
  <si>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</si>
  <si>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</si>
  <si>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</si>
  <si>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</si>
  <si>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</si>
  <si>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</si>
  <si>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</si>
  <si>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</si>
  <si>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</si>
  <si>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</si>
  <si>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</si>
  <si>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</si>
  <si>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</si>
  <si>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</si>
  <si>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</si>
  <si>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</si>
  <si>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</si>
  <si>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</si>
  <si>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</si>
  <si>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</si>
  <si>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</si>
  <si>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</si>
  <si>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</si>
  <si>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</si>
  <si>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</si>
  <si>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</si>
  <si>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</si>
  <si>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</si>
  <si>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</si>
  <si>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</si>
  <si>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</si>
  <si>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</si>
  <si>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</si>
  <si>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</si>
  <si>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</si>
  <si>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</si>
  <si>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</si>
  <si>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</si>
  <si>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</si>
  <si>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</si>
  <si>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</si>
  <si>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</si>
  <si>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</si>
  <si>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</si>
  <si>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</si>
  <si>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</si>
  <si>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</si>
  <si>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</si>
  <si>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</si>
  <si>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</si>
  <si>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</si>
  <si>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</si>
  <si>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</si>
  <si>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</si>
  <si>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</si>
  <si>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</si>
  <si>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</si>
  <si>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</si>
  <si>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</si>
  <si>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</si>
  <si>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</si>
  <si>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</si>
  <si>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</si>
  <si>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</si>
  <si>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</si>
  <si>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</si>
  <si>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</si>
  <si>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</si>
  <si>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</si>
  <si>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</si>
  <si>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</si>
  <si>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</si>
  <si>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</si>
  <si>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</si>
  <si>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Kyauktaw</t>
  </si>
  <si>
    <t>CARE</t>
  </si>
  <si>
    <t>Maungdaw</t>
  </si>
  <si>
    <t>Alay Mushee</t>
  </si>
  <si>
    <t>EU</t>
  </si>
  <si>
    <t>Malteser</t>
  </si>
  <si>
    <t>Aung Thay Pyay (NaTaLa)</t>
  </si>
  <si>
    <t>AA</t>
  </si>
  <si>
    <t>Minbya</t>
  </si>
  <si>
    <t>ACF</t>
  </si>
  <si>
    <t>DPA</t>
  </si>
  <si>
    <t>Europaid</t>
  </si>
  <si>
    <t>Fatar</t>
  </si>
  <si>
    <t>CDN</t>
  </si>
  <si>
    <t>Buthidaung</t>
  </si>
  <si>
    <t>ZOA</t>
  </si>
  <si>
    <t>Ma Gyi Koung</t>
  </si>
  <si>
    <t>Ann</t>
  </si>
  <si>
    <t>BMZ</t>
  </si>
  <si>
    <t>Nant Yar Gaing (Nant Yar Gaing)</t>
  </si>
  <si>
    <t>Nat Chaung (Garapyin)</t>
  </si>
  <si>
    <t>GIZ</t>
  </si>
  <si>
    <t>Phas Kawri</t>
  </si>
  <si>
    <t>Rathedaung</t>
  </si>
  <si>
    <t>LIFT</t>
  </si>
  <si>
    <t>Rakhine Ywa</t>
  </si>
  <si>
    <t>Raza Bil</t>
  </si>
  <si>
    <t>Shwe Yin Aye</t>
  </si>
  <si>
    <t>Thit Taw Ywa</t>
  </si>
  <si>
    <t>Thit Tone Na Gwa Sone (Ywa Ma)</t>
  </si>
  <si>
    <t>Wa Khote Chaung</t>
  </si>
  <si>
    <t>Wai Thar Le</t>
  </si>
  <si>
    <t>Ywa Ma</t>
  </si>
  <si>
    <t>Ywa Thar Yar</t>
  </si>
  <si>
    <t>Ramree</t>
  </si>
  <si>
    <t>Ramree Town</t>
  </si>
  <si>
    <t>Kyaukpyu</t>
  </si>
  <si>
    <t>Yae Myet</t>
  </si>
  <si>
    <t>Kyauk Ka Lay</t>
  </si>
  <si>
    <t>Baw Ya Par</t>
  </si>
  <si>
    <t>Rakhine Min Pyin</t>
  </si>
  <si>
    <t>Chin Ywar Min Pyin</t>
  </si>
  <si>
    <t>Wa Hmyaung</t>
  </si>
  <si>
    <t>Pyu Chaing</t>
  </si>
  <si>
    <t>War Net Chun</t>
  </si>
  <si>
    <t>Oxfam</t>
  </si>
  <si>
    <t>Ka Nyin Taw</t>
  </si>
  <si>
    <t>MHDO</t>
  </si>
  <si>
    <t>RI</t>
  </si>
  <si>
    <t>Myebon</t>
  </si>
  <si>
    <t>Taung Paw</t>
  </si>
  <si>
    <t>Kan Thar Htwat Wa</t>
  </si>
  <si>
    <t>Pauktaw</t>
  </si>
  <si>
    <t>Sin Tet Maw Rakhine(Baw Da Li)</t>
  </si>
  <si>
    <t>Sin Tet Maw (Host)</t>
  </si>
  <si>
    <t>Sin Tet Maw</t>
  </si>
  <si>
    <t>Nget Chaung 1</t>
  </si>
  <si>
    <t>Nget Chaung 2</t>
  </si>
  <si>
    <t>Sin Aing</t>
  </si>
  <si>
    <t>DRC</t>
  </si>
  <si>
    <t>Kyein Ni Pyin</t>
  </si>
  <si>
    <t>Bar Sa Yar Host</t>
  </si>
  <si>
    <t>Set Yone Su 1</t>
  </si>
  <si>
    <t>Sat Roe Kya 1</t>
  </si>
  <si>
    <t>Set Yone Su 3</t>
  </si>
  <si>
    <t>Dar Pai</t>
  </si>
  <si>
    <t>Say Tha Mar Nge</t>
  </si>
  <si>
    <t>Ohn Taw Gyi</t>
  </si>
  <si>
    <t>Zaw Pu Gyar</t>
  </si>
  <si>
    <t>Say Tha Mar Gyi</t>
  </si>
  <si>
    <t>Ohn Taw Chay</t>
  </si>
  <si>
    <t>Nga/ Pun Ywar Shey</t>
  </si>
  <si>
    <t>Daung Pyauk Kay</t>
  </si>
  <si>
    <t>Nga/ Pun Ywar Gyi</t>
  </si>
  <si>
    <t>Me la zi Kone</t>
  </si>
  <si>
    <t>Ah Lar Than</t>
  </si>
  <si>
    <t xml:space="preserve">Aung Daing </t>
  </si>
  <si>
    <t>Kyet Taw Pyin</t>
  </si>
  <si>
    <t>Ponnagyun</t>
  </si>
  <si>
    <t>Tan Khoe</t>
  </si>
  <si>
    <t>Tan Zwei</t>
  </si>
  <si>
    <t>Thar Si</t>
  </si>
  <si>
    <t>Irish Aid</t>
  </si>
  <si>
    <t>Ah Nauk Pyin</t>
  </si>
  <si>
    <t>Chein Khar Li</t>
  </si>
  <si>
    <t>Yoe Ngu</t>
  </si>
  <si>
    <t>Koe Tan Kauk</t>
  </si>
  <si>
    <t>Mrauk-U</t>
  </si>
  <si>
    <t>Nyaung Pin Hla</t>
  </si>
  <si>
    <t>Myet Tauk</t>
  </si>
  <si>
    <t xml:space="preserve">U Htoe Dan </t>
  </si>
  <si>
    <t>Tauk Sone</t>
  </si>
  <si>
    <t>Navy Seik</t>
  </si>
  <si>
    <t>Pann Phaw Pyin</t>
  </si>
  <si>
    <t>Sin Oe</t>
  </si>
  <si>
    <t>Kyauk Pan Du (NTL)</t>
  </si>
  <si>
    <t>Pauk Pin Yin</t>
  </si>
  <si>
    <t>Be Lar Mi</t>
  </si>
  <si>
    <t>Ah Du</t>
  </si>
  <si>
    <t>Than Du</t>
  </si>
  <si>
    <t>Ni Lin Paw</t>
  </si>
  <si>
    <t>Yin Chaung</t>
  </si>
  <si>
    <t>Ah Htet Nan Yar</t>
  </si>
  <si>
    <t>Chut Pyin</t>
  </si>
  <si>
    <t>Chin Ywa(Pyaing Taung)</t>
  </si>
  <si>
    <t>Maw Htet</t>
  </si>
  <si>
    <t>Pyin Chay</t>
  </si>
  <si>
    <t>Pyin Hlyar Shey</t>
  </si>
  <si>
    <t>Maw</t>
  </si>
  <si>
    <t>Kyaung Taung</t>
  </si>
  <si>
    <t>Ngwe Taung</t>
  </si>
  <si>
    <t>Pyaing Taung</t>
  </si>
  <si>
    <t>Taung Chaung</t>
  </si>
  <si>
    <t>Taung Maw</t>
  </si>
  <si>
    <t>Thein Taung pyin (Dine Net)</t>
  </si>
  <si>
    <t>Hla Tha Ma</t>
  </si>
  <si>
    <t>Thein Taung pyin (Muslim)</t>
  </si>
  <si>
    <t>Langui</t>
  </si>
  <si>
    <t>Kyauk Pyin Seik</t>
  </si>
  <si>
    <t>Say Tha Ma</t>
  </si>
  <si>
    <t>Gan Gaw Myaing ( Na Ta La )</t>
  </si>
  <si>
    <t>Aung Pa</t>
  </si>
  <si>
    <t>Kar Di (Kywe Cho Maw)</t>
  </si>
  <si>
    <t>Thaing Ta Poke</t>
  </si>
  <si>
    <t>Nyaung Chaung</t>
  </si>
  <si>
    <t>Phyar Pyin</t>
  </si>
  <si>
    <t>Gwa Sone Muslim</t>
  </si>
  <si>
    <t>Gwa Sone Rakhine</t>
  </si>
  <si>
    <t>Doke Kan Chaung</t>
  </si>
  <si>
    <t>Tha Pyay Seik</t>
  </si>
  <si>
    <t>Goke Pi Htaunt</t>
  </si>
  <si>
    <t>Hin Thar Ra</t>
  </si>
  <si>
    <t>Saw Kina Ma</t>
  </si>
  <si>
    <t>Zaw Ma Tat</t>
  </si>
  <si>
    <t>Lam Bar Gone Nah</t>
  </si>
  <si>
    <t>Din Gar</t>
  </si>
  <si>
    <t>Ah Pauk Wa</t>
  </si>
  <si>
    <t>Gaung Gyi</t>
  </si>
  <si>
    <t>Maw Staw Bis</t>
  </si>
  <si>
    <t>Ywar Thit Kay</t>
  </si>
  <si>
    <t>Wet Ma Kya</t>
  </si>
  <si>
    <t>Say Taung</t>
  </si>
  <si>
    <t>Yun Nyar</t>
  </si>
  <si>
    <t>Zedi Taung (Muslim)</t>
  </si>
  <si>
    <t>Thein Tan (Rakhine)</t>
  </si>
  <si>
    <t>Thein Tan (Muslim)</t>
  </si>
  <si>
    <t>Kan Pyin</t>
  </si>
  <si>
    <t xml:space="preserve">Baw Li </t>
  </si>
  <si>
    <t>Kyauk Sar Dine</t>
  </si>
  <si>
    <t>Gudar Pyin</t>
  </si>
  <si>
    <t>Nwar Yone Taung</t>
  </si>
  <si>
    <t>Tha Yet Taung</t>
  </si>
  <si>
    <t>San Go Taung</t>
  </si>
  <si>
    <t>Shat Shar Taung</t>
  </si>
  <si>
    <t>Kyauk Yan (Rakhine)</t>
  </si>
  <si>
    <t>U Yin Thar</t>
  </si>
  <si>
    <t>Godzilla (Hteik Tu Pauk Myauk)</t>
  </si>
  <si>
    <t>Tat Oo Anauk</t>
  </si>
  <si>
    <t>Shwe Hlaing</t>
  </si>
  <si>
    <t>Nur Ru Lar</t>
  </si>
  <si>
    <t>Shwe Hlaing Rakhine</t>
  </si>
  <si>
    <t>Mardilla</t>
  </si>
  <si>
    <t>Taung Ywa</t>
  </si>
  <si>
    <t>Phwe Ra</t>
  </si>
  <si>
    <t>Taungchay Ywa Muslim</t>
  </si>
  <si>
    <t>Chaung Pauk</t>
  </si>
  <si>
    <t>Myauk Ywa</t>
  </si>
  <si>
    <t>Kan Tha Ya</t>
  </si>
  <si>
    <t>Kyar Nyo Pyin (Rakhine)
+ Pyar Yae</t>
  </si>
  <si>
    <t>Hla Nyo Kan</t>
  </si>
  <si>
    <t>Let Saung Kauk</t>
  </si>
  <si>
    <t>Kyar Nyo Pyin (Muslim)</t>
  </si>
  <si>
    <t>Taung Pauk</t>
  </si>
  <si>
    <t>Let Thar Ywa</t>
  </si>
  <si>
    <t>Kin Taung (Taung + Myauk)</t>
  </si>
  <si>
    <t>Kan Pyi Tha Zi</t>
  </si>
  <si>
    <t xml:space="preserve">Kan Kyar Taung </t>
  </si>
  <si>
    <t>Ah Lel Ywa</t>
  </si>
  <si>
    <t>Kan Kyar Myauk</t>
  </si>
  <si>
    <t>Myaung Nar</t>
  </si>
  <si>
    <t>Ywa Gyi (Tha Yet Kin Ma Nu)</t>
  </si>
  <si>
    <t>Ka Doe Seik</t>
  </si>
  <si>
    <t>Play Taung Ywa Gyi North</t>
  </si>
  <si>
    <t>Khaung Htoke</t>
  </si>
  <si>
    <t>Nan Yah Gone Ahtet</t>
  </si>
  <si>
    <t>Doe Tan</t>
  </si>
  <si>
    <t>Kyauk Yit Muslim</t>
  </si>
  <si>
    <t>Kyauk Yit RK</t>
  </si>
  <si>
    <t>Palay Taung Ywa Thit</t>
  </si>
  <si>
    <t>Let Wea Det</t>
  </si>
  <si>
    <t>Si Tar (Pa Zun Chaung)</t>
  </si>
  <si>
    <t>Kha Yu Chaung (Muslim)</t>
  </si>
  <si>
    <t>Laung Chaung (Daing Net)</t>
  </si>
  <si>
    <t>Ba Da Nar</t>
  </si>
  <si>
    <t>Inn Chaung (Muslim)</t>
  </si>
  <si>
    <t>Inn Chaung (Daing Net)</t>
  </si>
  <si>
    <t>Zay Teit Taung</t>
  </si>
  <si>
    <t>Chin Pyin</t>
  </si>
  <si>
    <t>San Pai Pin Yin</t>
  </si>
  <si>
    <t>Khat Pa Kaung</t>
  </si>
  <si>
    <t>Lu Fan Pyin</t>
  </si>
  <si>
    <t>Kywe Ta Ma</t>
  </si>
  <si>
    <t>Hindu</t>
  </si>
  <si>
    <t>Koun Tan</t>
  </si>
  <si>
    <t>Yai Mya</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</si>
  <si>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</si>
  <si>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</si>
  <si>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</si>
  <si>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</si>
  <si>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</si>
  <si>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</si>
  <si>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</si>
  <si>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</si>
  <si>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</si>
  <si>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</si>
  <si>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</si>
  <si>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</si>
  <si>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</si>
  <si>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</si>
  <si>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</si>
  <si>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</si>
  <si>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</si>
  <si>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</si>
  <si>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</si>
  <si>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</si>
  <si>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</si>
  <si>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</si>
  <si>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</si>
  <si>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</si>
  <si>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</si>
  <si>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</si>
  <si>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</si>
  <si>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</si>
  <si>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</si>
  <si>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</si>
  <si>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</si>
  <si>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</si>
  <si>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</si>
  <si>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</si>
  <si>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</si>
  <si>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</si>
  <si>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</si>
  <si>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</si>
  <si>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</si>
  <si>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</si>
  <si>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</si>
  <si>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</si>
  <si>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</si>
  <si>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</si>
  <si>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</si>
  <si>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</si>
  <si>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</si>
  <si>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</si>
  <si>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</si>
  <si>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</si>
  <si>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</si>
  <si>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</si>
  <si>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</si>
  <si>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</si>
  <si>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</si>
  <si>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</si>
  <si>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</si>
  <si>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</si>
  <si>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</si>
  <si>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</si>
  <si>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</si>
  <si>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</si>
  <si>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</si>
  <si>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</si>
  <si>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</si>
  <si>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</si>
  <si>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</si>
  <si>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</si>
  <si>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</si>
  <si>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</si>
  <si>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</si>
  <si>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</si>
  <si>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</si>
  <si>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</si>
  <si>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</si>
  <si>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</si>
  <si>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</si>
  <si>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</si>
  <si>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</si>
  <si>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</si>
  <si>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</si>
  <si>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</si>
  <si>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</si>
  <si>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</si>
  <si>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</si>
  <si>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</si>
  <si>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</si>
  <si>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</si>
  <si>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</si>
  <si>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</si>
  <si>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</si>
  <si>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Ward 6</t>
  </si>
  <si>
    <t>Village</t>
  </si>
  <si>
    <t xml:space="preserve">WASH - resettled, relocated, surrounding communities &amp; host communities </t>
  </si>
  <si>
    <t>Nga/Oke</t>
  </si>
  <si>
    <t xml:space="preserve">Kyauk Ta Lone </t>
  </si>
  <si>
    <t>Q2_2017</t>
  </si>
  <si>
    <t>Q3_2016</t>
  </si>
  <si>
    <t>Chin</t>
  </si>
  <si>
    <t>Nga Shwe Pyin</t>
  </si>
  <si>
    <t>Ah Ngu Ywar Haung</t>
  </si>
  <si>
    <t>Ah Ngu Ywar Thit</t>
  </si>
  <si>
    <t>Ohn Taw</t>
  </si>
  <si>
    <t>Aung Le Byin</t>
  </si>
  <si>
    <t>Pyin Taw Che</t>
  </si>
  <si>
    <t>Relocated</t>
  </si>
  <si>
    <t>Taung Pyin</t>
  </si>
  <si>
    <t xml:space="preserve">Pyar Tha Kywe </t>
  </si>
  <si>
    <t>Gaung Hpyu</t>
  </si>
  <si>
    <t>Yet Chaung</t>
  </si>
  <si>
    <t>Dagon</t>
  </si>
  <si>
    <t>A Nauk Ywe</t>
  </si>
  <si>
    <t>Wet Gaung</t>
  </si>
  <si>
    <t>Pa Lin Pyin (Muslim)</t>
  </si>
  <si>
    <t>Basara</t>
  </si>
  <si>
    <t>Pa Lin Pyin (Rakhine, Fisher)</t>
  </si>
  <si>
    <t>Pa Lin Pyin (Rakhine, Main)</t>
  </si>
  <si>
    <t>Pyar Lay Chaung (New)</t>
  </si>
  <si>
    <t>Pyar Lay Chaung (Old)</t>
  </si>
  <si>
    <t>Ohn Yee Paw</t>
  </si>
  <si>
    <t>Kyauk Nga Nwar</t>
  </si>
  <si>
    <t xml:space="preserve">Thea Chaung </t>
  </si>
  <si>
    <t>Ba Wunn Chaung Wa Su</t>
  </si>
  <si>
    <t>Thet Kel Pyin</t>
  </si>
  <si>
    <t>Hmansi ( from Kaung Doke Khar)</t>
  </si>
  <si>
    <t>Baw Du Pha</t>
  </si>
  <si>
    <t>Kaung Doke Khar (excl. Hmanzi)</t>
  </si>
  <si>
    <t>Ohn Taw Gyi South</t>
  </si>
  <si>
    <t>Maw Ti Ngar (TKP west)</t>
  </si>
  <si>
    <t>Ohn Taw Gyi North</t>
  </si>
  <si>
    <t>Phwe Yar Gone</t>
  </si>
  <si>
    <t>village</t>
  </si>
  <si>
    <t>Sa Par Htar</t>
  </si>
  <si>
    <t>Nat Seik</t>
  </si>
  <si>
    <t>Met Ka Lar Kya</t>
  </si>
  <si>
    <t>Nyaung Pin Gyi</t>
  </si>
  <si>
    <t>Kyauk Seik</t>
  </si>
  <si>
    <t>Shwe Laung Tin</t>
  </si>
  <si>
    <t>Da Pae</t>
  </si>
  <si>
    <t>Kyun Paw (Pauk Taw)</t>
  </si>
  <si>
    <t>Auk Nan Yar</t>
  </si>
  <si>
    <t>Padauk Myaing</t>
  </si>
  <si>
    <t>Pu Yain Kone</t>
  </si>
  <si>
    <t>Doe Wai Chaung</t>
  </si>
  <si>
    <t>Sa Hpo Gyun</t>
  </si>
  <si>
    <t>Kardi</t>
  </si>
  <si>
    <t>Kyawe Lan Chaung</t>
  </si>
  <si>
    <t>Pet Kwet Seik</t>
  </si>
  <si>
    <t>Lan Paik Khwin</t>
  </si>
  <si>
    <t>Zan Kha Ma</t>
  </si>
  <si>
    <t>Prine Taung</t>
  </si>
  <si>
    <t>Zumar Ywa</t>
  </si>
  <si>
    <t>Q3_2017</t>
  </si>
  <si>
    <t>Im Bar Yi</t>
  </si>
  <si>
    <t>Kaing Gyi</t>
  </si>
  <si>
    <t>U Saung Tan (lower)</t>
  </si>
  <si>
    <t>Kha Yai Myaing</t>
  </si>
  <si>
    <t>Ashit Ywa</t>
  </si>
  <si>
    <t>A Nauk Ywa</t>
  </si>
  <si>
    <t>Ywa Gyi</t>
  </si>
  <si>
    <t>Middle</t>
  </si>
  <si>
    <t xml:space="preserve">M </t>
  </si>
  <si>
    <t>Taung Pine Nyar</t>
  </si>
  <si>
    <t>Ywa Haung</t>
  </si>
  <si>
    <t>Ni Din</t>
  </si>
  <si>
    <t>Play Taung South</t>
  </si>
  <si>
    <t>Kyet Mauk Taung Myuak</t>
  </si>
  <si>
    <t>Than Chay  RK</t>
  </si>
  <si>
    <t>Ah Lel Kyun</t>
  </si>
  <si>
    <t>Ah Lel</t>
  </si>
  <si>
    <t>Taung Bwe</t>
  </si>
  <si>
    <t>Tha Pon</t>
  </si>
  <si>
    <t>Ba Gone Nar</t>
  </si>
  <si>
    <t>Thar Yar Koung</t>
  </si>
  <si>
    <t>Thet Kaing Ngyar (Thet Kaing Ngyar)</t>
  </si>
  <si>
    <t>Thet Kaing Ngyar (Thet Ywa)</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</si>
  <si>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</si>
  <si>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</si>
  <si>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</si>
  <si>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</si>
  <si>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</si>
  <si>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</si>
  <si>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</si>
  <si>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</si>
  <si>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</si>
  <si>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</si>
  <si>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</si>
  <si>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</si>
  <si>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</si>
  <si>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</si>
  <si>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</si>
  <si>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</si>
  <si>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</si>
  <si>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</si>
  <si>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</si>
  <si>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</si>
  <si>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</si>
  <si>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</si>
  <si>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</si>
  <si>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</si>
  <si>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</si>
  <si>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</si>
  <si>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</si>
  <si>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</si>
  <si>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</si>
  <si>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</si>
  <si>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</si>
  <si>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</si>
  <si>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</si>
  <si>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</si>
  <si>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</si>
  <si>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</si>
  <si>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</si>
  <si>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</si>
  <si>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</si>
  <si>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</si>
  <si>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</si>
  <si>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</si>
  <si>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</si>
  <si>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</si>
  <si>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</si>
  <si>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</si>
  <si>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</si>
  <si>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</si>
  <si>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</si>
  <si>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</si>
  <si>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</si>
  <si>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</si>
  <si>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</si>
  <si>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</si>
  <si>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</si>
  <si>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</si>
  <si>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</si>
  <si>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</si>
  <si>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</si>
  <si>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</si>
  <si>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</si>
  <si>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</si>
  <si>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</si>
  <si>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</si>
  <si>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</si>
  <si>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</si>
  <si>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</si>
  <si>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</si>
  <si>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</si>
  <si>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</si>
  <si>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</si>
  <si>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</si>
  <si>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</si>
  <si>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</si>
  <si>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</si>
  <si>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</si>
  <si>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</si>
  <si>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</si>
  <si>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</si>
  <si>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</si>
  <si>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</si>
  <si>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</si>
  <si>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</si>
  <si>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</si>
  <si>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</si>
  <si>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</si>
  <si>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</si>
  <si>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</si>
  <si>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</si>
  <si>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</si>
  <si>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</si>
  <si>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</si>
  <si>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</si>
  <si>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</si>
  <si>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</si>
  <si>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</si>
  <si>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</si>
  <si>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</si>
  <si>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</si>
  <si>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</si>
  <si>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</si>
  <si>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</si>
  <si>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</si>
  <si>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</si>
  <si>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</si>
  <si>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</si>
  <si>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</si>
  <si>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</si>
  <si>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</si>
  <si>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</si>
  <si>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</si>
  <si>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</si>
  <si>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</si>
  <si>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</si>
  <si>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</si>
  <si>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</si>
  <si>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</si>
  <si>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</si>
  <si>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</si>
  <si>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</si>
  <si>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</si>
  <si>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</si>
  <si>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</si>
  <si>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</si>
  <si>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</si>
  <si>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</si>
  <si>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</si>
  <si>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</si>
  <si>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</si>
  <si>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</si>
  <si>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</si>
  <si>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</si>
  <si>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</si>
  <si>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</si>
  <si>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Chipwi (School coumpound)</t>
  </si>
  <si>
    <t>School</t>
  </si>
  <si>
    <t>Doke Htan Ward</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</si>
  <si>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</si>
  <si>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</si>
  <si>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</si>
  <si>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</si>
  <si>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</si>
  <si>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</si>
  <si>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</si>
  <si>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</si>
  <si>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</si>
  <si>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</si>
  <si>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</si>
  <si>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</si>
  <si>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</si>
  <si>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</si>
  <si>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</si>
  <si>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</si>
  <si>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</si>
  <si>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</si>
  <si>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</si>
  <si>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</si>
  <si>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</si>
  <si>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</si>
  <si>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</si>
  <si>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</si>
  <si>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</si>
  <si>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</si>
  <si>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</si>
  <si>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</si>
  <si>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</si>
  <si>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</si>
  <si>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</si>
  <si>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</si>
  <si>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</si>
  <si>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</si>
  <si>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</si>
  <si>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</si>
  <si>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</si>
  <si>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</si>
  <si>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</si>
  <si>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</si>
  <si>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</si>
  <si>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Vote Par Yone monastery</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</si>
  <si>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</si>
  <si>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</si>
  <si>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</si>
  <si>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</si>
  <si>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</si>
  <si>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</si>
  <si>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</si>
  <si>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</si>
  <si>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</si>
  <si>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</si>
  <si>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</si>
  <si>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</si>
  <si>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</si>
  <si>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</si>
  <si>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</si>
  <si>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</si>
  <si>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</si>
  <si>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</si>
  <si>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</si>
  <si>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</si>
  <si>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</si>
  <si>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</si>
  <si>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</si>
  <si>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</si>
  <si>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</si>
  <si>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</si>
  <si>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</si>
  <si>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</si>
  <si>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</si>
  <si>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</si>
  <si>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</si>
  <si>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</si>
  <si>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</si>
  <si>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</si>
  <si>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</si>
  <si>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</si>
  <si>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</si>
  <si>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</si>
  <si>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</si>
  <si>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</si>
  <si>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</si>
  <si>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</si>
  <si>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</si>
  <si>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</si>
  <si>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</si>
  <si>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</si>
  <si>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</si>
  <si>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</si>
  <si>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</si>
  <si>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</si>
  <si>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</si>
  <si>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</si>
  <si>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</si>
  <si>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</si>
  <si>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</si>
  <si>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</si>
  <si>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</si>
  <si>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</si>
  <si>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</si>
  <si>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</si>
  <si>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</si>
  <si>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</si>
  <si>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</si>
  <si>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</si>
  <si>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</si>
  <si>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</si>
  <si>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</si>
  <si>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</si>
  <si>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</si>
  <si>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</si>
  <si>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</si>
  <si>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</si>
  <si>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</si>
  <si>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</si>
  <si>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</si>
  <si>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</si>
  <si>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</si>
  <si>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</si>
  <si>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</si>
  <si>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</si>
  <si>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</si>
  <si>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</si>
  <si>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</si>
  <si>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</si>
  <si>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</si>
  <si>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</si>
  <si>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</si>
  <si>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</si>
  <si>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</si>
  <si>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</si>
  <si>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</si>
  <si>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</si>
  <si>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</si>
  <si>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</si>
  <si>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</si>
  <si>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</si>
  <si>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</si>
  <si>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</si>
  <si>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</si>
  <si>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</si>
  <si>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</si>
  <si>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</si>
  <si>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</si>
  <si>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</si>
  <si>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</si>
  <si>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</si>
  <si>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</si>
  <si>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</si>
  <si>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</si>
  <si>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</si>
  <si>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</si>
  <si>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</si>
  <si>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</si>
  <si>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</si>
  <si>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</si>
  <si>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</si>
  <si>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</si>
  <si>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</si>
  <si>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</si>
  <si>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</si>
  <si>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</si>
  <si>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</si>
  <si>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</si>
  <si>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</si>
  <si>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</si>
  <si>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</si>
  <si>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</si>
  <si>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</si>
  <si>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</si>
  <si>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</si>
  <si>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</si>
  <si>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</si>
  <si>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</si>
  <si>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</si>
  <si>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</si>
  <si>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</si>
  <si>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</si>
  <si>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</si>
  <si>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</si>
  <si>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</si>
  <si>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</si>
  <si>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</si>
  <si>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</si>
  <si>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</si>
  <si>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</si>
  <si>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</si>
  <si>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</si>
  <si>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</si>
  <si>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</si>
  <si>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</si>
  <si>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</si>
  <si>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</si>
  <si>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</si>
  <si>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</si>
  <si>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</si>
  <si>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</si>
  <si>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</si>
  <si>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</si>
  <si>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</si>
  <si>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</si>
  <si>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</si>
  <si>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</si>
  <si>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</si>
  <si>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</si>
  <si>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</si>
  <si>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</si>
  <si>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</si>
  <si>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</si>
  <si>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</si>
  <si>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</si>
  <si>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</si>
  <si>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</si>
  <si>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</si>
  <si>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</si>
  <si>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</si>
  <si>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</si>
  <si>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</si>
  <si>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</si>
  <si>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</si>
  <si>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</si>
  <si>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</si>
  <si>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</si>
  <si>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</si>
  <si>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</si>
  <si>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</si>
  <si>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</si>
  <si>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</si>
  <si>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</si>
  <si>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</si>
  <si>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</si>
  <si>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</si>
  <si>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</si>
  <si>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</si>
  <si>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</si>
  <si>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</si>
  <si>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</si>
  <si>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</si>
  <si>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</si>
  <si>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</si>
  <si>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</si>
  <si>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</si>
  <si>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</si>
  <si>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</si>
  <si>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</si>
  <si>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</si>
  <si>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</si>
  <si>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</si>
  <si>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</si>
  <si>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</si>
  <si>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</si>
  <si>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</si>
  <si>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</si>
  <si>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</si>
  <si>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</si>
  <si>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</si>
  <si>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</si>
  <si>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</si>
  <si>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</si>
  <si>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</si>
  <si>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</si>
  <si>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</si>
  <si>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</si>
  <si>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</si>
  <si>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</si>
  <si>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</si>
  <si>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</si>
  <si>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</si>
  <si>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</si>
  <si>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</si>
  <si>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</si>
  <si>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</si>
  <si>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</si>
  <si>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</si>
  <si>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</si>
  <si>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</si>
  <si>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</si>
  <si>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</si>
  <si>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</si>
  <si>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</si>
  <si>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</si>
  <si>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</si>
  <si>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</si>
  <si>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</si>
  <si>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</si>
  <si>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</si>
  <si>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</si>
  <si>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</si>
  <si>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</si>
  <si>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</si>
  <si>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</si>
  <si>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</si>
  <si>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</si>
  <si>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</si>
  <si>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</si>
  <si>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</si>
  <si>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</si>
  <si>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</si>
  <si>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</si>
  <si>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</si>
  <si>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</si>
  <si>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</si>
  <si>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</si>
  <si>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</si>
  <si>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</si>
  <si>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</si>
  <si>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</si>
  <si>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</si>
  <si>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</si>
  <si>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</si>
  <si>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</si>
  <si>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</si>
  <si>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</si>
  <si>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</si>
  <si>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</si>
  <si>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</si>
  <si>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</si>
  <si>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</si>
  <si>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</si>
  <si>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</si>
  <si>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</si>
  <si>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</si>
  <si>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</si>
  <si>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</si>
  <si>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</si>
  <si>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</si>
  <si>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</si>
  <si>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</si>
  <si>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</si>
  <si>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</si>
  <si>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</si>
  <si>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</si>
  <si>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</si>
  <si>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</si>
  <si>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</si>
  <si>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</si>
  <si>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</si>
  <si>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</si>
  <si>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</si>
  <si>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</si>
  <si>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</si>
  <si>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</si>
  <si>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</si>
  <si>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</si>
  <si>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</si>
  <si>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</si>
  <si>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</si>
  <si>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</si>
  <si>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</si>
  <si>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</si>
  <si>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</si>
  <si>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</si>
  <si>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</si>
  <si>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</si>
  <si>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</si>
  <si>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</si>
  <si>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</si>
  <si>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</si>
  <si>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</si>
  <si>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</si>
  <si>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</si>
  <si>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</si>
  <si>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</si>
  <si>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</si>
  <si>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</si>
  <si>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</si>
  <si>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</si>
  <si>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</si>
  <si>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</si>
  <si>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</si>
  <si>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</si>
  <si>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</si>
  <si>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</si>
  <si>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</si>
  <si>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</si>
  <si>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</si>
  <si>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</si>
  <si>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</si>
  <si>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</si>
  <si>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</si>
  <si>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</si>
  <si>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</si>
  <si>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</si>
  <si>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</si>
  <si>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</si>
  <si>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</si>
  <si>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</si>
  <si>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</si>
  <si>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</si>
  <si>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</si>
  <si>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</si>
  <si>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</si>
  <si>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</si>
  <si>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</si>
  <si>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</si>
  <si>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</si>
  <si>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</si>
  <si>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</si>
  <si>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</si>
  <si>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</si>
  <si>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</si>
  <si>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</si>
  <si>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</si>
  <si>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</si>
  <si>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</si>
  <si>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</si>
  <si>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</si>
  <si>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</si>
  <si>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</si>
  <si>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</si>
  <si>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</si>
  <si>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</si>
  <si>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</si>
  <si>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</si>
  <si>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</si>
  <si>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</si>
  <si>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</si>
  <si>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</si>
  <si>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</si>
  <si>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</si>
  <si>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</si>
  <si>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</si>
  <si>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</si>
  <si>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</si>
  <si>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</si>
  <si>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</si>
  <si>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</si>
  <si>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</si>
  <si>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</si>
  <si>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</si>
  <si>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</si>
  <si>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</si>
  <si>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</si>
  <si>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</si>
  <si>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</si>
  <si>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</si>
  <si>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</si>
  <si>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</si>
  <si>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</si>
  <si>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</si>
  <si>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</si>
  <si>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</si>
  <si>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</si>
  <si>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</si>
  <si>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</si>
  <si>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</si>
  <si>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</si>
  <si>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</si>
  <si>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</si>
  <si>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</si>
  <si>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</si>
  <si>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</si>
  <si>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</si>
  <si>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</si>
  <si>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</si>
  <si>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</si>
  <si>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</si>
  <si>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</si>
  <si>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</si>
  <si>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</si>
  <si>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</si>
  <si>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</si>
  <si>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</si>
  <si>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</si>
  <si>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</si>
  <si>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</si>
  <si>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</si>
  <si>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</si>
  <si>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</si>
  <si>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</si>
  <si>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</si>
  <si>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</si>
  <si>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</si>
  <si>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</si>
  <si>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No (6) Ward</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</si>
  <si>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</si>
  <si>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</si>
  <si>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</si>
  <si>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</si>
  <si>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</si>
  <si>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</si>
  <si>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</si>
  <si>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</si>
  <si>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</si>
  <si>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</si>
  <si>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</si>
  <si>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</si>
  <si>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</si>
  <si>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</si>
  <si>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</si>
  <si>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</si>
  <si>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</si>
  <si>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Urban</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</si>
  <si>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</si>
  <si>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</si>
  <si>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</si>
  <si>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</si>
  <si>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</si>
  <si>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</si>
  <si>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</si>
  <si>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</si>
  <si>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</si>
  <si>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</si>
  <si>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</si>
  <si>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</si>
  <si>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</si>
  <si>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</si>
  <si>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</si>
  <si>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</si>
  <si>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</si>
  <si>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</si>
  <si>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</si>
  <si>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</si>
  <si>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</si>
  <si>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</si>
  <si>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</si>
  <si>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</si>
  <si>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</si>
  <si>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</si>
  <si>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</si>
  <si>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</si>
  <si>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</si>
  <si>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</si>
  <si>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</si>
  <si>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</si>
  <si>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</si>
  <si>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</si>
  <si>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</si>
  <si>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</si>
  <si>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</si>
  <si>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</si>
  <si>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</si>
  <si>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</si>
  <si>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</si>
  <si>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</si>
  <si>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</si>
  <si>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</si>
  <si>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</si>
  <si>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</si>
  <si>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</si>
  <si>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</si>
  <si>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</si>
  <si>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</si>
  <si>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</si>
  <si>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</si>
  <si>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</si>
  <si>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</si>
  <si>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</si>
  <si>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</si>
  <si>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</si>
  <si>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</si>
  <si>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</si>
  <si>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</si>
  <si>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</si>
  <si>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</si>
  <si>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</si>
  <si>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</si>
  <si>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</si>
  <si>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</si>
  <si>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</si>
  <si>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</si>
  <si>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</si>
  <si>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</si>
  <si>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</si>
  <si>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</si>
  <si>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</si>
  <si>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</si>
  <si>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</si>
  <si>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</si>
  <si>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</si>
  <si>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</si>
  <si>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</si>
  <si>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</si>
  <si>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</si>
  <si>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</si>
  <si>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</si>
  <si>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</si>
  <si>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</si>
  <si>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</si>
  <si>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</si>
  <si>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</si>
  <si>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</si>
  <si>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</si>
  <si>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</si>
  <si>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</si>
  <si>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</si>
  <si>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</si>
  <si>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</si>
  <si>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</si>
  <si>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</si>
  <si>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</si>
  <si>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</si>
  <si>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</si>
  <si>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</si>
  <si>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</si>
  <si>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</si>
  <si>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</si>
  <si>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</si>
  <si>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</si>
  <si>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</si>
  <si>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</si>
  <si>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</si>
  <si>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</si>
  <si>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</si>
  <si>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</si>
  <si>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</si>
  <si>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</si>
  <si>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</si>
  <si>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</si>
  <si>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</si>
  <si>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</si>
  <si>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</si>
  <si>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</si>
  <si>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</si>
  <si>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</si>
  <si>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</si>
  <si>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</si>
  <si>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</si>
  <si>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</si>
  <si>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</si>
  <si>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</si>
  <si>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</si>
  <si>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</si>
  <si>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</si>
  <si>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</si>
  <si>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</si>
  <si>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</si>
  <si>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</si>
  <si>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</si>
  <si>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</si>
  <si>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</si>
  <si>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Shwe Kyee Nar Ward</t>
  </si>
  <si>
    <t>Myo Thit</t>
  </si>
  <si>
    <t>Khon Sint</t>
  </si>
  <si>
    <t>Hopin Town</t>
  </si>
  <si>
    <t>Myo Ma (South) Ward</t>
  </si>
  <si>
    <t>Moke Lwe</t>
  </si>
  <si>
    <t>Khar Shi</t>
  </si>
  <si>
    <t>Sumprabum Town</t>
  </si>
  <si>
    <t>Inn Lel Yan</t>
  </si>
  <si>
    <t>Doke Tan Ward</t>
  </si>
  <si>
    <t>Ka Bu Dam</t>
  </si>
  <si>
    <t>Ei Naing</t>
  </si>
  <si>
    <t>Bumtsit Pa (1,2,3)</t>
  </si>
  <si>
    <t>Bum Tsit Pa 3</t>
  </si>
  <si>
    <t>SCI/FFO</t>
  </si>
  <si>
    <t>Assume 5 people per hh. 100 hh per Hygiene promoters. So, 500 people per hygiene promotor</t>
  </si>
  <si>
    <t>(All)</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</si>
  <si>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</si>
  <si>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</si>
  <si>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</si>
  <si>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</si>
  <si>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</si>
  <si>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</si>
  <si>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</si>
  <si>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</si>
  <si>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</si>
  <si>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</si>
  <si>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Total population</t>
  </si>
  <si>
    <t>Total</t>
  </si>
  <si>
    <t>Kachin Total</t>
  </si>
  <si>
    <t>Bum Tsit Pa</t>
  </si>
  <si>
    <t>Bum Tsit Pa Camp II</t>
  </si>
  <si>
    <t>MMR015CMP249</t>
  </si>
  <si>
    <t>% Latrines requiring  repairs</t>
  </si>
  <si>
    <t># people reached by regular dedicated hygiene promotion_5</t>
  </si>
  <si>
    <t>SCI, Metta</t>
  </si>
  <si>
    <t xml:space="preserve"> Reached by Sex</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</si>
  <si>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</si>
  <si>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</si>
  <si>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</si>
  <si>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</si>
  <si>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</si>
  <si>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</si>
  <si>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</si>
  <si>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</si>
  <si>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</si>
  <si>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 latrines (target)</t>
  </si>
  <si>
    <t># latrines desludged</t>
  </si>
  <si>
    <t># in GCA (20:1)</t>
  </si>
  <si>
    <t># in NGCA (20:1)</t>
  </si>
  <si>
    <t>HRP target</t>
  </si>
  <si>
    <t>No Test</t>
  </si>
  <si>
    <t>Tested</t>
  </si>
  <si>
    <t>HHs</t>
  </si>
  <si>
    <t>Pops</t>
  </si>
  <si>
    <t>% WATER GAP</t>
  </si>
  <si>
    <t>% LATRINE GAP</t>
  </si>
  <si>
    <t>% HYGIENE GAP</t>
  </si>
  <si>
    <t>WinE</t>
  </si>
  <si>
    <t>GAP</t>
  </si>
  <si>
    <t>Latrines handed over</t>
  </si>
  <si>
    <t>Latrines not handed over</t>
  </si>
  <si>
    <t>%equitable and continuous access to sufficient quantity of safe drinking and domestic water's GAP</t>
  </si>
  <si>
    <t>% of Latrine Gap</t>
  </si>
  <si>
    <t>Functioning</t>
  </si>
  <si>
    <t>Desludging</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</si>
  <si>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</si>
  <si>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</si>
  <si>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</si>
  <si>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</si>
  <si>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</si>
  <si>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</si>
  <si>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</si>
  <si>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</si>
  <si>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</si>
  <si>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</si>
  <si>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</si>
  <si>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</si>
  <si>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</si>
  <si>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</si>
  <si>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</si>
  <si>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</si>
  <si>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</si>
  <si>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</si>
  <si>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</si>
  <si>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</si>
  <si>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</si>
  <si>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</si>
  <si>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</si>
  <si>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</si>
  <si>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</si>
  <si>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</si>
  <si>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</si>
  <si>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</si>
  <si>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</si>
  <si>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</si>
  <si>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</si>
  <si>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</si>
  <si>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</si>
  <si>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</si>
  <si>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</si>
  <si>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</si>
  <si>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</si>
  <si>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</si>
  <si>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</si>
  <si>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</si>
  <si>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</si>
  <si>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</si>
  <si>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</si>
  <si>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</si>
  <si>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</si>
  <si>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</si>
  <si>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</si>
  <si>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</si>
  <si>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</si>
  <si>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</si>
  <si>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</si>
  <si>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</si>
  <si>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</si>
  <si>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</si>
  <si>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</si>
  <si>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</si>
  <si>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</si>
  <si>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</si>
  <si>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</si>
  <si>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</si>
  <si>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 Reached</t>
  </si>
  <si>
    <t>% Gap</t>
  </si>
  <si>
    <t>National</t>
  </si>
  <si>
    <t>??</t>
  </si>
  <si>
    <t>Pang Hkawn Yang</t>
  </si>
  <si>
    <t>Lone Khin Catholic Church</t>
  </si>
  <si>
    <t>Momauk IDP new Extension camp
(Alen Kawng Lawk)</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</si>
  <si>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</si>
  <si>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</si>
  <si>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</si>
  <si>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</si>
  <si>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</si>
  <si>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</si>
  <si>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</si>
  <si>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</si>
  <si>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</si>
  <si>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</si>
  <si>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</si>
  <si>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</si>
  <si>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</si>
  <si>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</si>
  <si>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</si>
  <si>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</si>
  <si>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</si>
  <si>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</si>
  <si>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</si>
  <si>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</si>
  <si>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</si>
  <si>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</si>
  <si>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</si>
  <si>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</si>
  <si>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</si>
  <si>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</si>
  <si>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</si>
  <si>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</si>
  <si>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</si>
  <si>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</si>
  <si>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</si>
  <si>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</si>
  <si>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</si>
  <si>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</si>
  <si>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</si>
  <si>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</si>
  <si>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</si>
  <si>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</si>
  <si>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</si>
  <si>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</si>
  <si>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</si>
  <si>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</si>
  <si>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</si>
  <si>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</si>
  <si>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</si>
  <si>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</si>
  <si>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</si>
  <si>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</si>
  <si>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</si>
  <si>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</si>
  <si>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</si>
  <si>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</si>
  <si>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</si>
  <si>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</si>
  <si>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</si>
  <si>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</si>
  <si>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</si>
  <si>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</si>
  <si>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</si>
  <si>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</si>
  <si>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</si>
  <si>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</si>
  <si>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</si>
  <si>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</si>
  <si>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</si>
  <si>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</si>
  <si>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</si>
  <si>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</si>
  <si>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</si>
  <si>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</si>
  <si>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</si>
  <si>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</si>
  <si>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</si>
  <si>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</si>
  <si>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</si>
  <si>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</si>
  <si>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</si>
  <si>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</si>
  <si>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</si>
  <si>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</si>
  <si>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</si>
  <si>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</si>
  <si>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</si>
  <si>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</si>
  <si>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</si>
  <si>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</si>
  <si>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</si>
  <si>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</si>
  <si>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</si>
  <si>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</si>
  <si>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</si>
  <si>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</si>
  <si>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</si>
  <si>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</si>
  <si>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</si>
  <si>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</si>
  <si>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</si>
  <si>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</si>
  <si>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</si>
  <si>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</si>
  <si>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</si>
  <si>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</si>
  <si>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</si>
  <si>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</si>
  <si>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</si>
  <si>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</si>
  <si>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</si>
  <si>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</si>
  <si>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</si>
  <si>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</si>
  <si>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</si>
  <si>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</si>
  <si>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</si>
  <si>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</si>
  <si>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</si>
  <si>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</si>
  <si>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</si>
  <si>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</si>
  <si>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</si>
  <si>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</si>
  <si>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</si>
  <si>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</si>
  <si>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</si>
  <si>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</si>
  <si>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</si>
  <si>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</si>
  <si>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</si>
  <si>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</si>
  <si>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</si>
  <si>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</si>
  <si>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</si>
  <si>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</si>
  <si>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</si>
  <si>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</si>
  <si>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</si>
  <si>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</si>
  <si>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</si>
  <si>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</si>
  <si>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</si>
  <si>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</si>
  <si>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</si>
  <si>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</si>
  <si>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</si>
  <si>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</si>
  <si>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</si>
  <si>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</si>
  <si>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</si>
  <si>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</si>
  <si>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</si>
  <si>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</si>
  <si>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</si>
  <si>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</si>
  <si>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</si>
  <si>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</si>
  <si>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</si>
  <si>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</si>
  <si>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</si>
  <si>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</si>
  <si>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</si>
  <si>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</si>
  <si>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</si>
  <si>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</si>
  <si>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</si>
  <si>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</si>
  <si>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OXSI (SI)</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</si>
  <si>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</si>
  <si>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</si>
  <si>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</si>
  <si>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</si>
  <si>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</si>
  <si>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</si>
  <si>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</si>
  <si>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</si>
  <si>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</si>
  <si>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</si>
  <si>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</si>
  <si>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</si>
  <si>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</si>
  <si>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</si>
  <si>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</si>
  <si>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</si>
  <si>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</si>
  <si>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</si>
  <si>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</si>
  <si>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</si>
  <si>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</si>
  <si>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</si>
  <si>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</si>
  <si>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</si>
  <si>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</si>
  <si>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</si>
  <si>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</si>
  <si>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</si>
  <si>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</si>
  <si>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</si>
  <si>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</si>
  <si>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</si>
  <si>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</si>
  <si>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</si>
  <si>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</si>
  <si>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</si>
  <si>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</si>
  <si>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</si>
  <si>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</si>
  <si>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</si>
  <si>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</si>
  <si>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</si>
  <si>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</si>
  <si>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</si>
  <si>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</si>
  <si>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</si>
  <si>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</si>
  <si>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</si>
  <si>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</si>
  <si>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</si>
  <si>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</si>
  <si>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</si>
  <si>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</si>
  <si>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</si>
  <si>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</si>
  <si>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</si>
  <si>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</si>
  <si>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</si>
  <si>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</si>
  <si>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</si>
  <si>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</si>
  <si>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</si>
  <si>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</si>
  <si>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</si>
  <si>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</si>
  <si>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</si>
  <si>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</si>
  <si>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</si>
  <si>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</si>
  <si>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</si>
  <si>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</si>
  <si>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</si>
  <si>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</si>
  <si>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</si>
  <si>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</si>
  <si>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</si>
  <si>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</si>
  <si>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</si>
  <si>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</si>
  <si>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</si>
  <si>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</si>
  <si>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</si>
  <si>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</si>
  <si>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</si>
  <si>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</si>
  <si>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</si>
  <si>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</si>
  <si>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</si>
  <si>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</si>
  <si>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</si>
  <si>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</si>
  <si>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</si>
  <si>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</si>
  <si>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</si>
  <si>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</si>
  <si>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</si>
  <si>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</si>
  <si>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</si>
  <si>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</si>
  <si>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</si>
  <si>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</si>
  <si>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</si>
  <si>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</si>
  <si>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</si>
  <si>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</si>
  <si>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</si>
  <si>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</si>
  <si>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</si>
  <si>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</si>
  <si>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</si>
  <si>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</si>
  <si>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</si>
  <si>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</si>
  <si>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</si>
  <si>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</si>
  <si>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</si>
  <si>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</si>
  <si>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</si>
  <si>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</si>
  <si>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</si>
  <si>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</si>
  <si>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</si>
  <si>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</si>
  <si>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</si>
  <si>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</si>
  <si>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</si>
  <si>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</si>
  <si>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</si>
  <si>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</si>
  <si>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</si>
  <si>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</si>
  <si>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</si>
  <si>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</si>
  <si>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</si>
  <si>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</si>
  <si>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</si>
  <si>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</si>
  <si>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</si>
  <si>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</si>
  <si>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</si>
  <si>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</si>
  <si>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</si>
  <si>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</si>
  <si>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</si>
  <si>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</si>
  <si>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</si>
  <si>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</si>
  <si>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</si>
  <si>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</si>
  <si>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</si>
  <si>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</si>
  <si>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</si>
  <si>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</si>
  <si>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</si>
  <si>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</si>
  <si>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</si>
  <si>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</si>
  <si>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</si>
  <si>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</si>
  <si>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</si>
  <si>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</si>
  <si>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</si>
  <si>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</si>
  <si>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</si>
  <si>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</si>
  <si>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</si>
  <si>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</si>
  <si>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</si>
  <si>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</si>
  <si>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</si>
  <si>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</si>
  <si>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</si>
  <si>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</si>
  <si>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</si>
  <si>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</si>
  <si>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</si>
  <si>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</si>
  <si>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</si>
  <si>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</si>
  <si>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</si>
  <si>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</si>
  <si>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</si>
  <si>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</si>
  <si>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</si>
  <si>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</si>
  <si>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</si>
  <si>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</si>
  <si>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</si>
  <si>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</si>
  <si>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</si>
  <si>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</si>
  <si>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</si>
  <si>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</si>
  <si>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</si>
  <si>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</si>
  <si>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</si>
  <si>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</si>
  <si>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</si>
  <si>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</si>
  <si>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</si>
  <si>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</si>
  <si>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</si>
  <si>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</si>
  <si>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</si>
  <si>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</si>
  <si>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</si>
  <si>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</si>
  <si>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</si>
  <si>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</si>
  <si>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</si>
  <si>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</si>
  <si>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</si>
  <si>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</si>
  <si>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</si>
  <si>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</si>
  <si>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</si>
  <si>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</si>
  <si>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</si>
  <si>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</si>
  <si>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</si>
  <si>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</si>
  <si>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</si>
  <si>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</si>
  <si>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</si>
  <si>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</si>
  <si>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</si>
  <si>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</si>
  <si>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</si>
  <si>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</si>
  <si>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</si>
  <si>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</si>
  <si>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</si>
  <si>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</si>
  <si>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</si>
  <si>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</si>
  <si>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</si>
  <si>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</si>
  <si>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</si>
  <si>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</si>
  <si>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</si>
  <si>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</si>
  <si>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</si>
  <si>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</si>
  <si>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</si>
  <si>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</si>
  <si>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</si>
  <si>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</si>
  <si>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</si>
  <si>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</si>
  <si>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</si>
  <si>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</si>
  <si>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</si>
  <si>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</si>
  <si>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</si>
  <si>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</si>
  <si>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</si>
  <si>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</si>
  <si>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</si>
  <si>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</si>
  <si>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</si>
  <si>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</si>
  <si>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</si>
  <si>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</si>
  <si>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</si>
  <si>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</si>
  <si>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</si>
  <si>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</si>
  <si>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</si>
  <si>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</si>
  <si>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</si>
  <si>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</si>
  <si>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</si>
  <si>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</si>
  <si>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</si>
  <si>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</si>
  <si>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</si>
  <si>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</si>
  <si>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</si>
  <si>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</si>
  <si>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</si>
  <si>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</si>
  <si>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</si>
  <si>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</si>
  <si>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</si>
  <si>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</si>
  <si>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</si>
  <si>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</si>
  <si>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</si>
  <si>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</si>
  <si>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</si>
  <si>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</si>
  <si>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</si>
  <si>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</si>
  <si>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</si>
  <si>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</si>
  <si>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</si>
  <si>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</si>
  <si>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</si>
  <si>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</si>
  <si>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</si>
  <si>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</si>
  <si>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</si>
  <si>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</si>
  <si>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</si>
  <si>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</si>
  <si>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</si>
  <si>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</si>
  <si>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</si>
  <si>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</si>
  <si>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</si>
  <si>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</si>
  <si>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</si>
  <si>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</si>
  <si>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</si>
  <si>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</si>
  <si>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</si>
  <si>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</si>
  <si>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</si>
  <si>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</si>
  <si>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</si>
  <si>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</si>
  <si>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</si>
  <si>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</si>
  <si>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</si>
  <si>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Temporary location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</si>
  <si>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</si>
  <si>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</si>
  <si>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</si>
  <si>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Shan (North) Total</t>
  </si>
  <si>
    <t>Boe Taw monastery</t>
  </si>
  <si>
    <t>Man Li</t>
  </si>
  <si>
    <t>Sasana 2500 monastery</t>
  </si>
  <si>
    <t>OXSI (OXFAM)</t>
  </si>
  <si>
    <t>IDP only</t>
  </si>
  <si>
    <t>Northern Rakhine</t>
  </si>
  <si>
    <t>Central Rakhine</t>
  </si>
  <si>
    <t xml:space="preserve"> # People received regular supply of hygiene items</t>
  </si>
  <si>
    <t># People access to Handwashing Station</t>
  </si>
  <si>
    <t xml:space="preserve"> # People access to Handwashing Station</t>
  </si>
  <si>
    <t xml:space="preserve"> # people reached by regular dedicated hygiene promotion</t>
  </si>
  <si>
    <t>New Temporary Site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</si>
  <si>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</si>
  <si>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</si>
  <si>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</si>
  <si>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</si>
  <si>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</si>
  <si>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</si>
  <si>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</si>
  <si>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</si>
  <si>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</si>
  <si>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</si>
  <si>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</si>
  <si>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</si>
  <si>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</si>
  <si>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</si>
  <si>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</si>
  <si>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</si>
  <si>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</si>
  <si>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</si>
  <si>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</si>
  <si>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</si>
  <si>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</si>
  <si>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</si>
  <si>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</si>
  <si>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</si>
  <si>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</si>
  <si>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</si>
  <si>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</si>
  <si>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</si>
  <si>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</si>
  <si>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</si>
  <si>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WFP</t>
  </si>
  <si>
    <t># of People adopt basic personal and community hygiene practices</t>
  </si>
  <si>
    <t># of people access to functioning  sanitation facilities</t>
  </si>
  <si>
    <t># of people Equitable and continuous access to sufficient quantity of domestic water</t>
  </si>
  <si>
    <t>Sites with TLS</t>
  </si>
  <si>
    <t>Chruch</t>
  </si>
  <si>
    <t>remove from db, ipds moved to lawa rc church</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</si>
  <si>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</si>
  <si>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</si>
  <si>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</si>
  <si>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</si>
  <si>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</si>
  <si>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</si>
  <si>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</si>
  <si>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</si>
  <si>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</si>
  <si>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</si>
  <si>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</si>
  <si>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</si>
  <si>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WVI</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</si>
  <si>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</si>
  <si>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</si>
  <si>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</si>
  <si>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</si>
  <si>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</si>
  <si>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</si>
  <si>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</si>
  <si>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</si>
  <si>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</si>
  <si>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 xml:space="preserve">Htang Nya </t>
  </si>
  <si>
    <t>HPA</t>
  </si>
  <si>
    <t>Lian Bang village</t>
  </si>
  <si>
    <t>Lian He village</t>
  </si>
  <si>
    <t>Ci He village</t>
  </si>
  <si>
    <t>New Man Jiu village</t>
  </si>
  <si>
    <t>To be edited</t>
  </si>
  <si>
    <t>Site</t>
  </si>
  <si>
    <t>WATER_17. Water issues/challenges (Community Feedback)</t>
  </si>
  <si>
    <t>General_state</t>
  </si>
  <si>
    <t>Sanitation_23. Sanitation issues/challenges (Community Feedback)</t>
  </si>
  <si>
    <t>Hygiene_29. Hygiene Issues/Challenges (Community Feedback)</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</si>
  <si>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</si>
  <si>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</si>
  <si>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</si>
  <si>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</si>
  <si>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</si>
  <si>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</si>
  <si>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</si>
  <si>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</si>
  <si>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</si>
  <si>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</si>
  <si>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</si>
  <si>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</si>
  <si>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</si>
  <si>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</si>
  <si>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</si>
  <si>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</si>
  <si>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</si>
  <si>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</si>
  <si>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</si>
  <si>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</si>
  <si>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</si>
  <si>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</si>
  <si>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</si>
  <si>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</si>
  <si>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</si>
  <si>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</si>
  <si>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</si>
  <si>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</si>
  <si>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</si>
  <si>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</si>
  <si>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</si>
  <si>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</si>
  <si>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</si>
  <si>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</si>
  <si>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</si>
  <si>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</si>
  <si>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</si>
  <si>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</si>
  <si>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</si>
  <si>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</si>
  <si>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</si>
  <si>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</si>
  <si>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</si>
  <si>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</si>
  <si>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</si>
  <si>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</si>
  <si>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</si>
  <si>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</si>
  <si>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</si>
  <si>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</si>
  <si>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</si>
  <si>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</si>
  <si>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</si>
  <si>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</si>
  <si>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</si>
  <si>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</si>
  <si>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</si>
  <si>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</si>
  <si>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</si>
  <si>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</si>
  <si>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</si>
  <si>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</si>
  <si>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</si>
  <si>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</si>
  <si>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</si>
  <si>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</si>
  <si>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</si>
  <si>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</si>
  <si>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Momauk IDP new extension camp (Kye Nan) Total</t>
  </si>
  <si>
    <t>Kyauk Taw</t>
  </si>
  <si>
    <t>Pann Ninn</t>
  </si>
  <si>
    <t>Kyaukme Damma Yone</t>
  </si>
  <si>
    <t>Lahkum</t>
  </si>
  <si>
    <t>N-gum La</t>
  </si>
  <si>
    <t>Dam ( Zup Ngai Yang)</t>
  </si>
  <si>
    <t>Um Uma</t>
  </si>
  <si>
    <t>Bum Run</t>
  </si>
  <si>
    <t>N-bau Tu</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</si>
  <si>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</si>
  <si>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</si>
  <si>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</si>
  <si>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of affected people surveyed who report feeling informed about the different WASH services available to them</t>
  </si>
  <si>
    <t>Kachin-NGCA 100%</t>
  </si>
  <si>
    <t>Soap</t>
  </si>
  <si>
    <t>Sanitary pad</t>
  </si>
  <si>
    <t>Closed_cccm_2019May</t>
  </si>
  <si>
    <t>Closed</t>
  </si>
  <si>
    <t>Kachin-GCA 25%</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</si>
  <si>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</si>
  <si>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</si>
  <si>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</si>
  <si>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</si>
  <si>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</si>
  <si>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</si>
  <si>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</si>
  <si>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</si>
  <si>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</si>
  <si>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</si>
  <si>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</si>
  <si>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</si>
  <si>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</si>
  <si>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</si>
  <si>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</si>
  <si>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</si>
  <si>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</si>
  <si>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</si>
  <si>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</si>
  <si>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</si>
  <si>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</si>
  <si>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</si>
  <si>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</si>
  <si>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</si>
  <si>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</si>
  <si>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</si>
  <si>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</si>
  <si>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</si>
  <si>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</si>
  <si>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</si>
  <si>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</si>
  <si>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</si>
  <si>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</si>
  <si>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</si>
  <si>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</si>
  <si>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</si>
  <si>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</si>
  <si>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</si>
  <si>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</si>
  <si>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</si>
  <si>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</si>
  <si>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</si>
  <si>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</si>
  <si>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</si>
  <si>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</si>
  <si>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</si>
  <si>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</si>
  <si>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</si>
  <si>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</si>
  <si>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</si>
  <si>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</si>
  <si>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</si>
  <si>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</si>
  <si>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</si>
  <si>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</si>
  <si>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</si>
  <si>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</si>
  <si>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</si>
  <si>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</si>
  <si>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</si>
  <si>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</si>
  <si>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</si>
  <si>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</si>
  <si>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</si>
  <si>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</si>
  <si>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</si>
  <si>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</si>
  <si>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</si>
  <si>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</si>
  <si>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</si>
  <si>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</si>
  <si>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</si>
  <si>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</si>
  <si>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</si>
  <si>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</si>
  <si>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</si>
  <si>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</si>
  <si>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</si>
  <si>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</si>
  <si>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</si>
  <si>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</si>
  <si>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</si>
  <si>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</si>
  <si>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</si>
  <si>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</si>
  <si>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</si>
  <si>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</si>
  <si>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</si>
  <si>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</si>
  <si>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</si>
  <si>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</si>
  <si>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</si>
  <si>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</si>
  <si>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</si>
  <si>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</si>
  <si>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</si>
  <si>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</si>
  <si>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 students access to functioning school latrines_HRP5</t>
  </si>
  <si>
    <t>Metta, KMSS</t>
  </si>
  <si>
    <t>Gap in WASH covered camps / township</t>
  </si>
  <si>
    <t>Sum of #_Household water samples tested for fecal coliform</t>
  </si>
  <si>
    <t>Gap in WASH covered villages / township</t>
  </si>
  <si>
    <t>Accessed</t>
  </si>
  <si>
    <t>Not-accessed</t>
  </si>
  <si>
    <t xml:space="preserve"> # of hand washing stations with sufficient soap in TLS</t>
  </si>
  <si>
    <t>Sum of # of functional latrines in THF supported by WASH partners during the reporting period2</t>
  </si>
  <si>
    <t xml:space="preserve">Sum of Total PoP </t>
  </si>
  <si>
    <t>Target  HH</t>
  </si>
  <si>
    <t>Target women and girls</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</si>
  <si>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</si>
  <si>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</si>
  <si>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</si>
  <si>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</si>
  <si>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</si>
  <si>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</si>
  <si>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</si>
  <si>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</si>
  <si>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</si>
  <si>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</si>
  <si>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</si>
  <si>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</si>
  <si>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</si>
  <si>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</si>
  <si>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</si>
  <si>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</si>
  <si>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</si>
  <si>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</si>
  <si>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</si>
  <si>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</si>
  <si>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</si>
  <si>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</si>
  <si>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</si>
  <si>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</si>
  <si>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</si>
  <si>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</si>
  <si>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</si>
  <si>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</si>
  <si>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</si>
  <si>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</si>
  <si>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</si>
  <si>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</si>
  <si>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</si>
  <si>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</si>
  <si>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</si>
  <si>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</si>
  <si>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</si>
  <si>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</si>
  <si>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</si>
  <si>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</si>
  <si>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</si>
  <si>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</si>
  <si>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</si>
  <si>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</si>
  <si>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</si>
  <si>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</si>
  <si>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</si>
  <si>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</si>
  <si>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</si>
  <si>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</si>
  <si>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</si>
  <si>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</si>
  <si>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#HH received standard amount of soap</t>
  </si>
  <si>
    <t>#_Water sources tested for fecal coliform</t>
  </si>
  <si>
    <t>Distinct Count of Site Name</t>
  </si>
  <si>
    <t>Du Kahtawng Baptist Total</t>
  </si>
  <si>
    <t>Hkau Shau (BP 12) Total</t>
  </si>
  <si>
    <t>Hlaing Naung Baptist Total</t>
  </si>
  <si>
    <t>Hpare Hkyer - BP6 Total</t>
  </si>
  <si>
    <t>Jan Mai Kawng Baptist Church Total</t>
  </si>
  <si>
    <t>Jaw Masat Camp Total</t>
  </si>
  <si>
    <t>Kyun Taw Baptist Church  Total</t>
  </si>
  <si>
    <t>Laiza Je Yang School Total</t>
  </si>
  <si>
    <t>Le Kone Bethlehem Church Total</t>
  </si>
  <si>
    <t>Le Kone Ziun Baptist Church  Total</t>
  </si>
  <si>
    <t>Ma Hawng Baptist Church Total</t>
  </si>
  <si>
    <t>Mading Baptist Church Total</t>
  </si>
  <si>
    <t>Maina KBC (Bawng Ring) Total</t>
  </si>
  <si>
    <t>Maina Lawang Baptist Church Total</t>
  </si>
  <si>
    <t>Maing Khaung Total</t>
  </si>
  <si>
    <t>Maliyang Baptist Church Total</t>
  </si>
  <si>
    <t>Man Hkring Baptist Church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</si>
  <si>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</si>
  <si>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</si>
  <si>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</si>
  <si>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</si>
  <si>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</si>
  <si>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</si>
  <si>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</si>
  <si>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</si>
  <si>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</si>
  <si>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</si>
  <si>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</si>
  <si>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</si>
  <si>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Shatapru Sut Ngai Tawng Total</t>
  </si>
  <si>
    <t>Shing Jai Total</t>
  </si>
  <si>
    <t>Shwe Zet Baptist Church Total</t>
  </si>
  <si>
    <t>Tat Kone Baptist Church Total</t>
  </si>
  <si>
    <t>Tat Kone Galile Baptist Church Total</t>
  </si>
  <si>
    <t>Tat Kone San Pya Baptist Church Total</t>
  </si>
  <si>
    <t>Trinity Camp Total</t>
  </si>
  <si>
    <t>Waimaw Baptist Zonal Office 2 Total</t>
  </si>
  <si>
    <t>AD-2000 Tharthana Compound Total</t>
  </si>
  <si>
    <t>AG Church, Hmaw Si Sa Total</t>
  </si>
  <si>
    <t>AG Church, Maw Wan Total</t>
  </si>
  <si>
    <t>Agritural Compound (KBC) Total</t>
  </si>
  <si>
    <t>Aung Thar Church Total</t>
  </si>
  <si>
    <t>Baptist Church, Hmaw Si Sar(Lon Khin)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</si>
  <si>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</si>
  <si>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</si>
  <si>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</si>
  <si>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</si>
  <si>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</si>
  <si>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</si>
  <si>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</si>
  <si>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</si>
  <si>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</si>
  <si>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</si>
  <si>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Hpai Kawng Total</t>
  </si>
  <si>
    <t>Hpakant Baptist Church, Nam Ma Hpit Total</t>
  </si>
  <si>
    <t>Hpun Lum Yang  Total</t>
  </si>
  <si>
    <t>Htoi San Church Total</t>
  </si>
  <si>
    <t>Hu Hku &amp; Ho Hko Total</t>
  </si>
  <si>
    <t>IDP Boarding School, A Len Bum Total</t>
  </si>
  <si>
    <t>Jan Mai Kawng Catholic Church Total</t>
  </si>
  <si>
    <t>Je Yang Hka  Total</t>
  </si>
  <si>
    <t>Ka Bu Dam CoC Total</t>
  </si>
  <si>
    <t>Kachin Su Baptist Church (ECCD) Total</t>
  </si>
  <si>
    <t>Karmaing RC Church Total</t>
  </si>
  <si>
    <t>Khar Nan (1) Baptist Church Total</t>
  </si>
  <si>
    <t>Kutkai downtown (KBC Church) Total</t>
  </si>
  <si>
    <t>Kutkai downtown (KBC Church-2) Total</t>
  </si>
  <si>
    <t>Kyu Sot Total</t>
  </si>
  <si>
    <t>Lana Zup Ja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</si>
  <si>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</si>
  <si>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</si>
  <si>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</si>
  <si>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</si>
  <si>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</si>
  <si>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</si>
  <si>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</si>
  <si>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</si>
  <si>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</si>
  <si>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</si>
  <si>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</si>
  <si>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</si>
  <si>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</si>
  <si>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</si>
  <si>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</si>
  <si>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</si>
  <si>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</si>
  <si>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</si>
  <si>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</si>
  <si>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</si>
  <si>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</si>
  <si>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</si>
  <si>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</si>
  <si>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Mandung - Jinghpaw Total</t>
  </si>
  <si>
    <t>Mandung - RC Total</t>
  </si>
  <si>
    <t>Mansi Baptist Church Total</t>
  </si>
  <si>
    <t>Maw Hpawng Hka Nan Baptist Church Total</t>
  </si>
  <si>
    <t>Maw Hpawng Lhaovo Baptist Church Total</t>
  </si>
  <si>
    <t>Maw Wan, Mu-yin Baptist Church Total</t>
  </si>
  <si>
    <t>Mine Yu Lay village ( Old) Total</t>
  </si>
  <si>
    <t>Momauk Baptist Church Total</t>
  </si>
  <si>
    <t>Mung Hawm  Total</t>
  </si>
  <si>
    <t>Muyin church (Aung Yar pre-school compound)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</si>
  <si>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</si>
  <si>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</si>
  <si>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</si>
  <si>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</si>
  <si>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</si>
  <si>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</si>
  <si>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</si>
  <si>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</si>
  <si>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</si>
  <si>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Nan Kway St. John Catholic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</si>
  <si>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</si>
  <si>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</si>
  <si>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</si>
  <si>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</si>
  <si>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</si>
  <si>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</si>
  <si>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</si>
  <si>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</si>
  <si>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</si>
  <si>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Phan Khar Kone Total</t>
  </si>
  <si>
    <t>Qtr. 2 Lhaovo Baptist Church Total</t>
  </si>
  <si>
    <t>Rawan Baptist Church, Maw Shan Vil., Seik Mu Total</t>
  </si>
  <si>
    <t>Robert Church Total</t>
  </si>
  <si>
    <t>Sadung Total</t>
  </si>
  <si>
    <t>Seng Ja  Total</t>
  </si>
  <si>
    <t>Shatapru Thida Aye Baptist Church Total</t>
  </si>
  <si>
    <t>Shwe Gu Baptist Church Total</t>
  </si>
  <si>
    <t>Shwe Gu Catholic Church Total</t>
  </si>
  <si>
    <t>St. Joseph Tanai RC camp  Total</t>
  </si>
  <si>
    <t>Tanai CoC Total</t>
  </si>
  <si>
    <t>Tanai KBC Camp Total</t>
  </si>
  <si>
    <t>Tat Kone COC Baptist - Tat Kone Htoi San Total</t>
  </si>
  <si>
    <t>Thargaya Lisu Baptist Church Total</t>
  </si>
  <si>
    <t>Tsan Lun - Namjarap Total</t>
  </si>
  <si>
    <t>Waingmaw AG Church Total</t>
  </si>
  <si>
    <t>Ward 2 Sai Taung Baptist Church, Seik Mu  Total</t>
  </si>
  <si>
    <t>Woi Chyai  Total</t>
  </si>
  <si>
    <t>Woi Chyai (Mong Lai) Total</t>
  </si>
  <si>
    <t>Woi Chyai host families Total</t>
  </si>
  <si>
    <t>Yumar Baptist Church Total</t>
  </si>
  <si>
    <t>Zup Aung Camp Total</t>
  </si>
  <si>
    <t>Hka Garan Yang  Total</t>
  </si>
  <si>
    <t>Htang Nya  Total</t>
  </si>
  <si>
    <t>Enai (Man Pyein) Total</t>
  </si>
  <si>
    <t>Sector 5 Pammati Quarter Total</t>
  </si>
  <si>
    <t># Liters</t>
  </si>
  <si>
    <t>UNICEF, MHF</t>
  </si>
  <si>
    <t># of sites</t>
  </si>
  <si>
    <t># of villages</t>
  </si>
  <si>
    <t xml:space="preserve"> %
Hygiene Gap</t>
  </si>
  <si>
    <t xml:space="preserve"> %
Sanitation GAP</t>
  </si>
  <si>
    <t xml:space="preserve"> % 
Water GAP</t>
  </si>
  <si>
    <t>MMR001CMP277</t>
  </si>
  <si>
    <t>MMR001CMP278</t>
  </si>
  <si>
    <t>MMR015CMP251</t>
  </si>
  <si>
    <t>MMR015CMP252</t>
  </si>
  <si>
    <t>MMR015CMP253</t>
  </si>
  <si>
    <t>MMR015CMP254</t>
  </si>
  <si>
    <t>MMR015CMP255</t>
  </si>
  <si>
    <t>Maina Relocation Site</t>
  </si>
  <si>
    <t xml:space="preserve">Yi Hku Man Hkan </t>
  </si>
  <si>
    <t xml:space="preserve">His Aw (Chyu Fan) </t>
  </si>
  <si>
    <t xml:space="preserve">Shwe Sin (Ward 3) </t>
  </si>
  <si>
    <t>Bang Yang Hka (Mung Ji Pa)</t>
  </si>
  <si>
    <t>Pyi Htaung Su</t>
  </si>
  <si>
    <t xml:space="preserve">Lin Hao chun </t>
  </si>
  <si>
    <t>Camp Like setting</t>
  </si>
  <si>
    <t>IDPs in host</t>
  </si>
  <si>
    <t>Q4_2020</t>
  </si>
  <si>
    <t>Man Hkan Yi Hku</t>
  </si>
  <si>
    <t>Myin Su Shan</t>
  </si>
  <si>
    <t>Man Law (Marn Lor)</t>
  </si>
  <si>
    <t>Shwe Yin See</t>
  </si>
  <si>
    <t xml:space="preserve">Htin Par Keng </t>
  </si>
  <si>
    <t>Hsi Aw (Si Hor)</t>
  </si>
  <si>
    <t>Kywee Shan (Kyi Shan)(ward 3)</t>
  </si>
  <si>
    <t xml:space="preserve">Par Hsin Kyaw </t>
  </si>
  <si>
    <t>Mu Kwar Keng</t>
  </si>
  <si>
    <t xml:space="preserve">Laukkaing </t>
  </si>
  <si>
    <t>Closed_CCCM2020Oct</t>
  </si>
  <si>
    <t>HH</t>
  </si>
  <si>
    <t>Population</t>
  </si>
  <si>
    <t>Sum of # Functional hand washing stations during reporting period</t>
  </si>
  <si>
    <t>Namatee Kan Hla AG</t>
  </si>
  <si>
    <t>Namatee Kan Hla AG Total</t>
  </si>
  <si>
    <t>SI (ECHO)</t>
  </si>
  <si>
    <t>from NSS, to be confirm with KMSS NSS</t>
  </si>
  <si>
    <t xml:space="preserve">Max of Total PoP </t>
  </si>
  <si>
    <t>Max of HRP1</t>
  </si>
  <si>
    <t>Max of HRP2</t>
  </si>
  <si>
    <t>Max of HRP3</t>
  </si>
  <si>
    <t>Max of HRP4</t>
  </si>
  <si>
    <t>Max of HRP5</t>
  </si>
  <si>
    <t>Max of hygiene items</t>
  </si>
  <si>
    <t>Max of # people reached by regular dedicated hygiene promotion_5</t>
  </si>
  <si>
    <t>Max of # People access to Handwashing Station</t>
  </si>
  <si>
    <t>Max of # students access to functioning school latrines_HRP5</t>
  </si>
  <si>
    <t>Max numbers across quarters</t>
  </si>
  <si>
    <t>Kachin-GCA 29%</t>
  </si>
  <si>
    <t>Kachin-NGCA 29%</t>
  </si>
  <si>
    <t>GCA (29% of Total population)</t>
  </si>
  <si>
    <t>NGCA  (29% of Total population)</t>
  </si>
  <si>
    <t>NShan-GCA 29%</t>
  </si>
  <si>
    <t># women and girls received Sanitary pads</t>
  </si>
  <si>
    <t>Disable</t>
  </si>
  <si>
    <t xml:space="preserve">Male 
</t>
  </si>
  <si>
    <t xml:space="preserve">Female 
</t>
  </si>
  <si>
    <t xml:space="preserve"> Children (&lt;18 yrs)
</t>
  </si>
  <si>
    <t>30/Nov/2020:Population update. Data source:Shalom (5 hhs locally integreted at 2 miles and 3 miles Bhamo, other 7 hhs return to VoO to Mansi and 2hh at Nant Laing village Bhamaw in November.)
30/Sept/2020:Population update. Data source:Shalom
31/Aug/2020:Population update. Data source:Shalom
31/July/2020:Population update. Data source:Shalom
30/June/2020:Population update. Data source:Shalom
31/May/2020:Population update. Data source:Shalom
30/April/2020:Population update. Data source:Shalom
30/March/2020:Population update. Data source:Shalom
28/February/2020:Population update. Data source:Shalom
30/January/2020:Population update. Data source:Shalom 
30/December/2019: Population update. Data source:Shalom                                                                                                                                                                                                                                                                                                      29/November/2019: Population update. Data source:Shalom
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</si>
  <si>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Closed_CCCM2021March</t>
  </si>
  <si>
    <t>MMR001CMP279</t>
  </si>
  <si>
    <t xml:space="preserve">Lahpai </t>
  </si>
  <si>
    <t>Gaw Nan</t>
  </si>
  <si>
    <t>Q1_2021</t>
  </si>
  <si>
    <t xml:space="preserve">These IDPs relocated from BP 6 camp (to further return to their VoO) and currently staying at Gaw Nan village near Sadung Town, in Wai Maw Township and waiting individual shelter and to address other safety and security related challenges at their village of Origin, before returning! 
17 hhs and 83 pps more arrived to the site in Jan 2021. </t>
  </si>
  <si>
    <t>MMR015CMP256</t>
  </si>
  <si>
    <t xml:space="preserve">Hsaik Hkawng </t>
  </si>
  <si>
    <t xml:space="preserve">Hseng Ja </t>
  </si>
  <si>
    <t>30/Nov/2020: Population update. Data source: (DRC) 13 HH/77 PP(35 M, 42 F) are IDP relocated from Pan Tha Pyay and 6 HH/35(20 M, 15 F) PP are new displacement from Manton in last week of April 2020.</t>
  </si>
  <si>
    <t>His Aw (Chyu Fan)  Total</t>
  </si>
  <si>
    <t>Shwe Sin (Ward 3)  Total</t>
  </si>
  <si>
    <t>Target (20:1)</t>
  </si>
  <si>
    <t>Reached</t>
  </si>
  <si>
    <t>Closed_cccm_2021Apr</t>
  </si>
  <si>
    <t>UNICEF, USAID</t>
  </si>
  <si>
    <t>STW</t>
  </si>
  <si>
    <t>Closed_cccm_2021July</t>
  </si>
  <si>
    <t>chruch</t>
  </si>
  <si>
    <t>Trocaire/MHF</t>
  </si>
  <si>
    <t>Shan (South)</t>
  </si>
  <si>
    <t>4W camp</t>
  </si>
  <si>
    <t>3W new displcement</t>
  </si>
  <si>
    <t>CCCM data</t>
  </si>
  <si>
    <t xml:space="preserve">(3 mile) Shwe Pyi Tar </t>
  </si>
  <si>
    <t xml:space="preserve">Bum Ra Yang Camp </t>
  </si>
  <si>
    <t>Mang Nawng Kawng (host)</t>
  </si>
  <si>
    <t>Hat Hlan village (host)</t>
  </si>
  <si>
    <t>Kyaukme Town (host)</t>
  </si>
  <si>
    <t>MMR001CMP281</t>
  </si>
  <si>
    <t xml:space="preserve">Wet Kone </t>
  </si>
  <si>
    <t xml:space="preserve">Shew Pyi Tar/Wet Kone </t>
  </si>
  <si>
    <t>Q4_2021</t>
  </si>
  <si>
    <t>30/Sept/2021: Population update: Data Source: UNHCR: the camp site was officially set up and currently there are 30 pp living at the camp and supporting the shelter construction in the site. There are more IDPs coming from 6 collective site and host community to the camp after finishing the shelter construction. Shalom will support CCCM FP appointments, CCCM kit and  CRC for three months until December. KMSS is implementing emergency shelter construction.</t>
  </si>
  <si>
    <t>MMR001CMP280</t>
  </si>
  <si>
    <t xml:space="preserve">Jing Ma yang </t>
  </si>
  <si>
    <t xml:space="preserve">Bum Yar Yang </t>
  </si>
  <si>
    <t>STW/KMSS-MYT</t>
  </si>
  <si>
    <t>MMR001CMP283</t>
  </si>
  <si>
    <t xml:space="preserve">Sun Long </t>
  </si>
  <si>
    <t xml:space="preserve">Hat Hlan </t>
  </si>
  <si>
    <t>30/Sept/2021: Population update: Data Source: UNHCR-lashio: from Chaung Son village Hsipaw were displaced in Hat Hlan, sun long VT, site on 22 March 2021.</t>
  </si>
  <si>
    <t>MMR001CMP282</t>
  </si>
  <si>
    <t xml:space="preserve">Kyaukme Town </t>
  </si>
  <si>
    <t>Ward (9)</t>
  </si>
  <si>
    <t>30/Sept/2021: Population update: Data Source: UNHCR-lashio: IDPs accommodated first at Aung Mingalar Monestary and gradually and prevalenly moved out in the town area in different wards in Kyaukme.</t>
  </si>
  <si>
    <t>MMR001CMP284</t>
  </si>
  <si>
    <t>Mant Sei</t>
  </si>
  <si>
    <t>Mang Nawng Kawng</t>
  </si>
  <si>
    <t>30/Sept/2021: Population update: Data Source: UNHCR-lashio: These IDPs are from Mant Tawng, Muse, were displaced in Mang Nawng Kawng Village on 30 April 2021.</t>
  </si>
  <si>
    <t>Trocaire/Irish</t>
  </si>
  <si>
    <t>Bum Ra Yang Camp  Total</t>
  </si>
  <si>
    <t>Mang Nawng Kawng (host) Total</t>
  </si>
  <si>
    <t>Kyaukme Town (host) Total</t>
  </si>
  <si>
    <t>Meikswe MM</t>
  </si>
  <si>
    <t>HRP reached</t>
  </si>
  <si>
    <t>amount of MMK/Voucher or Token distributed per HH/Family</t>
  </si>
  <si>
    <t># of Family/HH Reached</t>
  </si>
  <si>
    <t>Date of Cash distribution</t>
  </si>
  <si>
    <t>Cash distributed for which items ( Hygiene kits, Hygiene items, Sanitary pads, Others…..)</t>
  </si>
  <si>
    <t>Date</t>
  </si>
  <si>
    <t>amount_of_MMK/Voucher_or_Token_distributed_per_HH/Family</t>
  </si>
  <si>
    <t>#_of_Family/HH_Reached</t>
  </si>
  <si>
    <t>Date_of_Cash_distribution</t>
  </si>
  <si>
    <t>Cash_distributed_for_which_items</t>
  </si>
  <si>
    <t>V78</t>
  </si>
  <si>
    <t>V79</t>
  </si>
  <si>
    <t>V80</t>
  </si>
  <si>
    <t>CASH</t>
  </si>
  <si>
    <t>V81</t>
  </si>
  <si>
    <t>Mon</t>
  </si>
  <si>
    <t>Ayeyarwady</t>
  </si>
  <si>
    <t>Bago (East)</t>
  </si>
  <si>
    <t>Bago (West)</t>
  </si>
  <si>
    <t>Kayah</t>
  </si>
  <si>
    <t>Magway</t>
  </si>
  <si>
    <t>Mandalay</t>
  </si>
  <si>
    <t>Nay Pyi Taw</t>
  </si>
  <si>
    <t>Sagaing</t>
  </si>
  <si>
    <t>Shan (East)</t>
  </si>
  <si>
    <t>Tanintharyi</t>
  </si>
  <si>
    <t>Yangon</t>
  </si>
  <si>
    <t>Number of women, men, girls and boys accessing WASH services in temporary health facilities which received support from the WASH Cluster.</t>
  </si>
  <si>
    <t>11-11-2021, 07-01-2020</t>
  </si>
  <si>
    <t>Closed_cccm2022Jan</t>
  </si>
  <si>
    <t>Nam Hlaing Extension Ward camp</t>
  </si>
  <si>
    <t xml:space="preserve">Naung Tar Law (Kyet Chan) </t>
  </si>
  <si>
    <t>Waingmaw St.Joseph RC Church</t>
  </si>
  <si>
    <t xml:space="preserve">Waingmaw LBC church </t>
  </si>
  <si>
    <t>Lisu Zonal camp</t>
  </si>
  <si>
    <t>Phaug Nhae Camp</t>
  </si>
  <si>
    <t>Yuu Ka lait Kone Camp</t>
  </si>
  <si>
    <t>Lhaovo Baptist Convention  Old Office Camp</t>
  </si>
  <si>
    <t>Ding Jang Yang (1)</t>
  </si>
  <si>
    <t>Ding Jang Yang (2)</t>
  </si>
  <si>
    <t xml:space="preserve">Naung Pataine/lachid </t>
  </si>
  <si>
    <t>MMR001CMP285</t>
  </si>
  <si>
    <t>MMR001CMP286</t>
  </si>
  <si>
    <t>MMR001CMP287</t>
  </si>
  <si>
    <t>MMR001CMP288</t>
  </si>
  <si>
    <t>MMR001CMP289</t>
  </si>
  <si>
    <t>MMR001CMP290</t>
  </si>
  <si>
    <t>MMR001CMP291</t>
  </si>
  <si>
    <t>MMR001CMP292</t>
  </si>
  <si>
    <t>MMR001CMP293</t>
  </si>
  <si>
    <t>MMR001CMP294</t>
  </si>
  <si>
    <t>MMR001CMP295</t>
  </si>
  <si>
    <t xml:space="preserve">Ding Jang Yang </t>
  </si>
  <si>
    <t>Nam Hlaing extension Ward</t>
  </si>
  <si>
    <t>Naung Tar Law village</t>
  </si>
  <si>
    <t>Ward (2)</t>
  </si>
  <si>
    <t>Ward (3)</t>
  </si>
  <si>
    <t>1.9.2021</t>
  </si>
  <si>
    <t>Q1_2022</t>
  </si>
  <si>
    <t xml:space="preserve">Uncovered  </t>
  </si>
  <si>
    <t xml:space="preserve">31 Jan 2022:(8HH ,34PP) have to be removed from the list, (the camp manager mistakenly keep them in the list even after they left from the camp)  31/Dec/2021: Data Source Shalom (this camp was setting up in November after IDPs were asked to move from school building in Nam Hlaing village, IDPs constrcuted makeshifts by themselves for temporary and KMSS-BMO constucted over 30 unit of emergency makeshift shelters) </t>
  </si>
  <si>
    <t>31/Jan/2022:Population update. Data source: Dai Fin (registered in CCCM list due to unstable safely and security condition in the area, IDPs decided themselves staying at the current site, however, some of the IDPs doing back and forth to their VoO)</t>
  </si>
  <si>
    <t xml:space="preserve">31/Jan/2022:Population update. Data source: Dai Fin (registered in CCCM list due to unstable safely and security condition in the area, IDPs decided themselves staying at the current site) </t>
  </si>
  <si>
    <t>Nam Hlaing Extension Ward camp Total</t>
  </si>
  <si>
    <t>Naung Tar Law (Kyet Chan)  Total</t>
  </si>
  <si>
    <t>Waingmaw St.Joseph RC Church Total</t>
  </si>
  <si>
    <t>Ding Jang Yang (1) Total</t>
  </si>
  <si>
    <t>Ding Jang Yang (2) Total</t>
  </si>
  <si>
    <t>Momauk KBC church Total</t>
  </si>
  <si>
    <t># People access to functional water points or water provision supported by WASH partners in TLS/CFS_HRP5</t>
  </si>
  <si>
    <t># People access to functional water points or water provision supported by WASH partners in THF_HRP6</t>
  </si>
  <si>
    <t>#_Constructed/Existing hand washing stations at TLS/CFS/THF</t>
  </si>
  <si>
    <t># of  functional water points or water provision supported by WASH partners in TLS/CFS with  during the reporting period</t>
  </si>
  <si>
    <t>#_of water points in TLS/CFS</t>
  </si>
  <si>
    <t>#_of water points in THF</t>
  </si>
  <si>
    <t># of  functional water points or water provision supported by WASH partners in THF with  during the reporting period</t>
  </si>
  <si>
    <t>V40a</t>
  </si>
  <si>
    <t>V40b</t>
  </si>
  <si>
    <t>The number of functional and improve water point in child friendly/temporary learning spaces on the premises.
Functional: Is able to provide safe water when needed
Improved: A source that by nature of its design and construction has the potential to deliver safe wate (see: https://www.who.int/water_sanitation_health/monitoring/oms_brochure_core_questionsfinal24608.pdf)</t>
  </si>
  <si>
    <t>The number of functional and improve water point in temporary health facilities on the premises.
Functional: Is able to provide safe water when needed
Improved: A source that by nature of its design and construction has the potential to deliver safe wate (see: https://www.who.int/water_sanitation_health/monitoring/oms_brochure_core_questionsfinal24608.pdf)</t>
  </si>
  <si>
    <t># People access to functioning latrines in THF_HRP6</t>
  </si>
  <si>
    <t>HRP6</t>
  </si>
  <si>
    <r>
      <t xml:space="preserve">Number of women, men, girls and boys accessing WASH services in </t>
    </r>
    <r>
      <rPr>
        <b/>
        <sz val="10"/>
        <rFont val="Corbel"/>
        <family val="2"/>
      </rPr>
      <t>temporary learn-ing spaces</t>
    </r>
    <r>
      <rPr>
        <sz val="10"/>
        <rFont val="Corbel"/>
        <family val="2"/>
      </rPr>
      <t xml:space="preserve"> which received support from the WASH Cluster.</t>
    </r>
  </si>
  <si>
    <r>
      <t xml:space="preserve">Number of women, men, girls and boys accessing WASH services in </t>
    </r>
    <r>
      <rPr>
        <b/>
        <sz val="10"/>
        <rFont val="Corbel"/>
        <family val="2"/>
      </rPr>
      <t>temporary health facilities</t>
    </r>
    <r>
      <rPr>
        <sz val="10"/>
        <rFont val="Corbel"/>
        <family val="2"/>
      </rPr>
      <t xml:space="preserve"> which received support from the WASH Cluster.</t>
    </r>
  </si>
  <si>
    <r>
      <t xml:space="preserve"># People access to functional water points or water provision supported by WASH partners in </t>
    </r>
    <r>
      <rPr>
        <sz val="10"/>
        <color theme="0"/>
        <rFont val="Crobel"/>
      </rPr>
      <t>THF</t>
    </r>
    <r>
      <rPr>
        <b/>
        <sz val="10"/>
        <color theme="0"/>
        <rFont val="Crobel"/>
      </rPr>
      <t xml:space="preserve"> during reporting period</t>
    </r>
  </si>
  <si>
    <r>
      <t xml:space="preserve"># People access to functional water points or water provision supported by WASH partners in </t>
    </r>
    <r>
      <rPr>
        <sz val="10"/>
        <color theme="0"/>
        <rFont val="Crobel"/>
      </rPr>
      <t>TLS/CFS</t>
    </r>
  </si>
  <si>
    <t>Max of HRP6</t>
  </si>
  <si>
    <t xml:space="preserve"> HRP6</t>
  </si>
  <si>
    <t>Max of # People access to water in TLS/CFS_HRP5</t>
  </si>
  <si>
    <t>Max of # People access to water in THF_HRP6</t>
  </si>
  <si>
    <t>Max of # People access to functioning latrines in THF_HRP6</t>
  </si>
  <si>
    <t># People access to water in TLS/CFS_HRP5</t>
  </si>
  <si>
    <t># People access to water in THF_HRP6</t>
  </si>
  <si>
    <t>Other vulnerable crisis-affected people_Reached</t>
  </si>
  <si>
    <t>IDP returnees/ resettled/ locally integrated-Reached</t>
  </si>
  <si>
    <t xml:space="preserve"># male and female reached with critical WASH supplies </t>
  </si>
  <si>
    <t># of people reached with handwashing behaviour change programmes</t>
  </si>
  <si>
    <t xml:space="preserve"> Adult (18-60 yrs)</t>
  </si>
  <si>
    <t xml:space="preserve"> Elderly (&gt;60 yrs)</t>
  </si>
  <si>
    <t>% Female</t>
  </si>
  <si>
    <t>% CHILDREN  (Age 18&lt;)</t>
  </si>
  <si>
    <t xml:space="preserve"> % ADULTS ( Age 18-60)</t>
  </si>
  <si>
    <t>% ELDERS  (Age 60+)</t>
  </si>
  <si>
    <t>% of people with disabilities (Age 5 yrs+)</t>
  </si>
  <si>
    <t>% Male</t>
  </si>
  <si>
    <t>"2022 HPC - baseline PiN and PT" excefile</t>
  </si>
  <si>
    <t xml:space="preserve"># women and girls received Sanitary pads
(29% of total population targeted)
</t>
  </si>
  <si>
    <t>GCA (25% of HH targeted)</t>
  </si>
  <si>
    <t>NGCA (100% HH targeted)</t>
  </si>
  <si>
    <t xml:space="preserve"> # of functioning latrines in TLS/CFS </t>
  </si>
  <si>
    <t># Water points in TLS/CFS</t>
  </si>
  <si>
    <t>Sum of #_of water points in THF</t>
  </si>
  <si>
    <t xml:space="preserve">  functional latrines in TLS/CFS supported by WASH partners during the reporting period</t>
  </si>
  <si>
    <t xml:space="preserve"> #_of water points in TLS/CFS</t>
  </si>
  <si>
    <t># Water points in THF</t>
  </si>
  <si>
    <t># of functional latrines in THF</t>
  </si>
  <si>
    <t>Number of women, men, girls and boys accessing WASH services in temporary learning spaces which received support from the WASH Cluster.</t>
  </si>
  <si>
    <t>IRW</t>
  </si>
  <si>
    <t>4W village</t>
  </si>
  <si>
    <t>3W</t>
  </si>
  <si>
    <t>Meikswe Myanmar</t>
  </si>
  <si>
    <t>TGH-RCDF</t>
  </si>
  <si>
    <t>MA-UK</t>
  </si>
  <si>
    <t>CERA</t>
  </si>
  <si>
    <t>LWF</t>
  </si>
  <si>
    <t>CHRO</t>
  </si>
  <si>
    <t>Acronym</t>
  </si>
  <si>
    <t>reporting</t>
  </si>
  <si>
    <t>PWJ</t>
  </si>
  <si>
    <t>ADRA</t>
  </si>
  <si>
    <t>TWG</t>
  </si>
  <si>
    <t>nRS
(Stateless)</t>
  </si>
  <si>
    <t>nRS
(Others)</t>
  </si>
  <si>
    <t>IDP sites</t>
  </si>
  <si>
    <t>MMR015CMP036</t>
  </si>
  <si>
    <t>MMR015CMP084</t>
  </si>
  <si>
    <t>MMR015CMP062</t>
  </si>
  <si>
    <t>MMR015CMP071</t>
  </si>
  <si>
    <t>MMR015CMP030</t>
  </si>
  <si>
    <t>MMR015CMP068</t>
  </si>
  <si>
    <t>Mong Wee Shan-relocated</t>
  </si>
  <si>
    <t>Hseng Ja-Relocated</t>
  </si>
  <si>
    <t>MMR015CMP063</t>
  </si>
  <si>
    <t>MMR015CMP038</t>
  </si>
  <si>
    <t>MMR015CMP064</t>
  </si>
  <si>
    <t>MMR015CMP045</t>
  </si>
  <si>
    <t>MMR015CMP043</t>
  </si>
  <si>
    <t>MMR015CMP037</t>
  </si>
  <si>
    <t>MMR015CMP067</t>
  </si>
  <si>
    <t>MMR015CMP075</t>
  </si>
  <si>
    <t>MMR015CMP073</t>
  </si>
  <si>
    <t>MMR015CMP072</t>
  </si>
  <si>
    <t>MMR015CMP069</t>
  </si>
  <si>
    <t>MMR015CMP070</t>
  </si>
  <si>
    <t>MMR015CMP027</t>
  </si>
  <si>
    <t>MMR015CMP065</t>
  </si>
  <si>
    <t>MMR015CMP076</t>
  </si>
  <si>
    <t>MMR015CMP042</t>
  </si>
  <si>
    <t>MMR015CMP074</t>
  </si>
  <si>
    <t>MMR015CMP066</t>
  </si>
  <si>
    <t>MMR015CMP050</t>
  </si>
  <si>
    <t>old-Pcode</t>
  </si>
  <si>
    <t>Closed_cccm_2022Apr</t>
  </si>
  <si>
    <t>MMR015CMP077</t>
  </si>
  <si>
    <t>MMR015CMP078</t>
  </si>
  <si>
    <t>MMR015CMP079</t>
  </si>
  <si>
    <t>MMR015CMP080</t>
  </si>
  <si>
    <t>MMR015CMP081</t>
  </si>
  <si>
    <t>MMR015CMP083</t>
  </si>
  <si>
    <t xml:space="preserve">Man Pint community Hall </t>
  </si>
  <si>
    <t>Mong Tin High School</t>
  </si>
  <si>
    <t>Nar Mun Primary School</t>
  </si>
  <si>
    <t>SLCA Building Compound (Kyaukme town)</t>
  </si>
  <si>
    <t>SLCA Building Compound (Moungnawt town)</t>
  </si>
  <si>
    <t xml:space="preserve">Theravada Monastery </t>
  </si>
  <si>
    <t>Pong Long</t>
  </si>
  <si>
    <t>Mong Tin</t>
  </si>
  <si>
    <t xml:space="preserve">Mong Tin </t>
  </si>
  <si>
    <t xml:space="preserve">Hku Mone </t>
  </si>
  <si>
    <t>Mongngawt Town</t>
  </si>
  <si>
    <t>Man Pint</t>
  </si>
  <si>
    <t>Mong Tin Ywar Ma</t>
  </si>
  <si>
    <t xml:space="preserve">Nar Mun </t>
  </si>
  <si>
    <t xml:space="preserve">30 April 2022: population source UNHCR follow up 31.Mar/2022:Population update. Data Source: UNHCR-Lashio: registered in CCCM list as the displacement prolonged due to insecure cirdumstance in the area. </t>
  </si>
  <si>
    <t xml:space="preserve">30 April 2022: population source UNHCR follow up 31.Mar/2022:Population update. Data Source: UNHCR-Lashio: registered in CCCM list as the displacement prolonged due to insecure circumstance in the area. </t>
  </si>
  <si>
    <t xml:space="preserve">31.Mar/2022:Population update. Data Source: UNHCR-Lashio: registered in CCCM list as the displacement prolonged due to insecure cirdumstance in the area. </t>
  </si>
  <si>
    <t>Q2_2022</t>
  </si>
  <si>
    <t>Na ru Kawng (Post 6 camp)</t>
  </si>
  <si>
    <t>Maina Mu-yin  Baptist Church</t>
  </si>
  <si>
    <t xml:space="preserve">30/Apr/2022: The camp is temporarily removed from the camp list, all HH/PP return to their village of Origin for their children's education and Usual LLH, The makeshift shelter will be remain for in case of emergency)
31/Jan/2022:Population update. Data source: Dai Fin (registered in CCCM list due to unstable safely and security condition in the area, IDPs decided themselves staying at the current site) </t>
  </si>
  <si>
    <t xml:space="preserve">30/Apr/2022: (all IDPs HH/pp return to their village of origin to Mading, labang, Tang Bau to continue their usual LLH and children education and The host church have many church activities and request IDPs to return to their village of origin, but the makeshift shelter will be keep in the church till end of Nov 2022 in case of emergency)
31/Jan/2022:Population update. Data source: Dai Fin (registered in CCCM list due to unstable safely and security condition in the area, IDPs decided themselves staying at the current site) </t>
  </si>
  <si>
    <t>30/June/2021:Population update. Data source:KBC-MYT (Putao camp was closed in June 15,2021.(Move to sut Chying village near the zedam 2village ) to resettlement site)
31/May/2021:Population update. Data source:KBC-MYT
30/April/2021:Population update. Data source:KBC-MYT (M-2/F-2 Born)
31/March/2021:Population update. Data source:KBC-MYT
28/Feb/2021:Population update. Data source:KBC-MYT
31/Jan/2021:Population update. Data source:KBC-MYT
31/Dec/2020:Population update. Data source:KBC-MYT
30/Nov/2020:Population update. Data source:KBC-MYT (M-6 and F-1 born /F-3 got married )
30/Sept/2020:Population update. Data source:KBC-MYT (M-1 born)
31/Aug/2020:Population update. Data source:KBC-MYT
31/July/2020:Population update. Data source:KBC-MYT
30/June/2020:Population update. Data source:KBC-MYT (1-M new born)
31/May/2020:Population update. Data source:KBC-MYT
30/April/2020:Population update. Data source:KBC-MYT (2hh increase -(HH extension)
30/March/2020:Population update. Data source:KBC-MYT (4 hhs from Tatkone CoC, 2hhs from host (IDP) registered, 5 hhs extened, 2hhs from host  (IDP but never registered in camp) in March)
28/February/2020:Population update. Data source:KBC-MYT (7hhs come from Host and 3hh are extended.)
30/January/2020: Population update. Data source: KBC-MYT 
30/December/2019: Population update. Data source:KBC-MYT  
29/November/2019: Population update. Data source:KBC-MYT
31/October/2019: Population update. Data source:KBC-MYT30/September/2019: Population update. Data source:KBC-MYT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</si>
  <si>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30/April/2020:Population update. Data source:KMSS-Myitkyina
31/March/2020:Population update. Data source:KMSS-Myitkyina
28/Feb/2020:Population update. Data source:KMSS-Myitkyina
31/Dec/2020:Reduced the # of HHs who relocated to Gawnan on December. there are more HHs (extended families in BP6 to be updated in January 2021, after teh site assessment) Data source:KMSS-Myitkyina
31 Oct 2020: 2 HH/ 11 people Increase back from livelihood and new born 30/Sept/2020:Population update. Data source:KMSS-Myitkyina
31/Aug/2020:Population update. Data source: KMSS Myitkyina ((In June 24 hh and 154 moved majorities to Shing Jai camp and othe camps, the total hh was 53 and 335 pp)  One Male new born in Aug)
31/July/2020:Population update. Data source: KMSS Myitkyina
30/June/2020:Population update. Data source: KMSS Myitkyina
31/May/2020:Population update. Data source: KMSS Myitkyina
30/April/2020:Population update. Data source: KMSS Myitkyina
30/March/2020:Population update. Data source: KMSS Myitkyina 
28/February/2020:Population update. Data source:KMSS_Myitkyina
30/January/2020: Population update. Data source: KMSS_Myitkyina
30/December/2019: Population update. Data source: KMSS_Myitkyina 
29/November/2019: Population update. Data source: KMSS_Myitkyina
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</si>
  <si>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Relocated-Individual House</t>
  </si>
  <si>
    <t>No Comment</t>
  </si>
  <si>
    <t>Saint Matthew (Shin ma ti-sitapru) camp</t>
  </si>
  <si>
    <t>Myo Thit -IDP in Host</t>
  </si>
  <si>
    <t xml:space="preserve">Bhamo- IDPs in Host </t>
  </si>
  <si>
    <t>St.Columban lone Khin camp</t>
  </si>
  <si>
    <t>Momauk-IDPs in Host</t>
  </si>
  <si>
    <t>Chipwi Pan Wa  (Host IDP)</t>
  </si>
  <si>
    <t>Man Wing- IDPs in Host</t>
  </si>
  <si>
    <t>Mansi- IDPs in Host</t>
  </si>
  <si>
    <t>Hopin -IDPs in Host</t>
  </si>
  <si>
    <t>Moenyin- IDPs in Host</t>
  </si>
  <si>
    <t>St.Francis RCC 1</t>
  </si>
  <si>
    <t>St.Francis RCC 2</t>
  </si>
  <si>
    <t>(3 mile) Shwe Pyi Tar (SLCA)</t>
  </si>
  <si>
    <t>Bang Yang Hka (Mung Ji Pa)-relocated</t>
  </si>
  <si>
    <t>Galeng Zup Awng ward 5 RC</t>
  </si>
  <si>
    <t>ECHO 2739</t>
  </si>
  <si>
    <t>USAID/HOPE-94</t>
  </si>
  <si>
    <t>MRC</t>
  </si>
  <si>
    <t>World vision</t>
  </si>
  <si>
    <t>Lin Hao chun  Total</t>
  </si>
  <si>
    <t>Pyi Htaung Su Total</t>
  </si>
  <si>
    <t>St.Francis RCC 1 Total</t>
  </si>
  <si>
    <t>St.Francis RCC 2 Total</t>
  </si>
  <si>
    <t>Bang Yang Hka (Mung Ji Pa)-relocated Total</t>
  </si>
  <si>
    <t>Galeng Zup Awng ward 5 RC Total</t>
  </si>
  <si>
    <t>Man Wing- IDPs in Host Total</t>
  </si>
  <si>
    <t>(3 mile) Shwe Pyi Tar (SLCA) Total</t>
  </si>
  <si>
    <t>Bhamo- IDPs in Host  Total</t>
  </si>
  <si>
    <t>St.Columban lone Khin camp Total</t>
  </si>
  <si>
    <t>Mansi- IDPs in Host Total</t>
  </si>
  <si>
    <t>Hopin -IDPs in Host Total</t>
  </si>
  <si>
    <t>Moenyin- IDPs in Host Total</t>
  </si>
  <si>
    <t>Momauk-IDPs in Host Total</t>
  </si>
  <si>
    <t>Myo Thit -IDP in Host Total</t>
  </si>
  <si>
    <t>Saint Matthew (Shin ma ti-sitapru) camp Total</t>
  </si>
  <si>
    <t>Na ru Kawng (Post 6 camp) Total</t>
  </si>
  <si>
    <t>Man Pint community Hall  Total</t>
  </si>
  <si>
    <t>Mong Tin High School Total</t>
  </si>
  <si>
    <t>Nar Mun Primary School Total</t>
  </si>
  <si>
    <t>SLCA Building Compound (Kyaukme town) Total</t>
  </si>
  <si>
    <t>SLCA Building Compound (Moungnawt town) Total</t>
  </si>
  <si>
    <t>Theravada Monastery  Total</t>
  </si>
  <si>
    <t>Hseng Ja-Relocated Total</t>
  </si>
  <si>
    <t>Maina Mu-yin  Baptist Church Total</t>
  </si>
  <si>
    <t>WCM</t>
  </si>
  <si>
    <t>WDC</t>
  </si>
  <si>
    <t>MC</t>
  </si>
  <si>
    <t>KyWO</t>
  </si>
  <si>
    <t>MM</t>
  </si>
  <si>
    <t>NHTYK</t>
  </si>
  <si>
    <t>CIDKP</t>
  </si>
  <si>
    <t>TGH-GJ</t>
  </si>
  <si>
    <t>AYO</t>
  </si>
  <si>
    <t>OXFAM</t>
  </si>
  <si>
    <t>PSSAG</t>
  </si>
  <si>
    <t>SDF</t>
  </si>
  <si>
    <t>TLDA</t>
  </si>
  <si>
    <t>GLAD</t>
  </si>
  <si>
    <t>Mon State</t>
  </si>
  <si>
    <t>Type</t>
  </si>
  <si>
    <t>National NGO</t>
  </si>
  <si>
    <t>International NGO</t>
  </si>
  <si>
    <t>WV</t>
  </si>
  <si>
    <t>CSO</t>
  </si>
  <si>
    <t>Red Cross</t>
  </si>
  <si>
    <t>United Nations</t>
  </si>
  <si>
    <t>Count of Acronym</t>
  </si>
  <si>
    <t xml:space="preserve">Shan (South) </t>
  </si>
  <si>
    <t>500:1??</t>
  </si>
  <si>
    <t># of  functional water points or water provision supported by WASH partners in THF with  during the reporting period
# of functional latrines in THF (Temporary Health Facility) supported by WASH partners during the reporting period</t>
  </si>
  <si>
    <t>V40b, V55</t>
  </si>
  <si>
    <t>HRP 6</t>
  </si>
  <si>
    <t xml:space="preserve"># of  functional water points or water provision supported by WASH partners in TLS/CFS with  during the reporting period
# of functional latrines in TLS/CFS supported by WASH partners during the reporting period
</t>
  </si>
  <si>
    <t>V40a, 54</t>
  </si>
  <si>
    <t>Number of women, men, girls and boys accessing WASH services in learn-ing spaces which received support from the WASH Cluster.</t>
  </si>
  <si>
    <t xml:space="preserve"># Constructed latrines (cluster semi-permanent design for protracted sites; cluster emergency design for new displacement sites) by WASH agency
# Constructed latrines by Non-Cluster partner 
# Constructed/Existing child friendly latrines
# of persons with disabilities with adapted sanitation option </t>
  </si>
  <si>
    <t>V42, 43, 52, 56</t>
  </si>
  <si>
    <t xml:space="preserve"># Constructed/Existing protected hand dug well
# Constructed tube wells/boreholes/handpumps by WASH agency
# Constructed water tube-wells/boreholes/handpumps by Non-cluster partners
# Constructed/Existing water storage tank (#cm3) with gravity fed reticulation system from spring
# of liters of water supplied by existing water boating/trucking over90 days to total population in the site 
# Constructed/Existing protected/fenced ponds
# Constructed water distribution system from river
(minimum volume of water (in Liters)
</t>
  </si>
  <si>
    <t>MHF,UNICEF</t>
  </si>
  <si>
    <t>8/6/2021,11-11-2021</t>
  </si>
  <si>
    <t>8/1/2021, 11-11-2021</t>
  </si>
  <si>
    <t>nRS
(IDPs)</t>
  </si>
  <si>
    <t>Swe Tha Har</t>
  </si>
  <si>
    <t>4W Camp</t>
  </si>
  <si>
    <t>SPMO</t>
  </si>
  <si>
    <t>4W Village</t>
  </si>
  <si>
    <t>Metta, GLAD</t>
  </si>
  <si>
    <t>UNICEF, USAID, Christan Aid</t>
  </si>
  <si>
    <t>12-31-2022, 28-2-2022</t>
  </si>
  <si>
    <t>8/5/2022, 12-31-22</t>
  </si>
  <si>
    <t>31-12-22</t>
  </si>
  <si>
    <t>IDP</t>
  </si>
  <si>
    <t>Others</t>
  </si>
  <si>
    <t>Target</t>
  </si>
  <si>
    <t>2023_Q1</t>
  </si>
  <si>
    <t>2023_Q2</t>
  </si>
  <si>
    <t>2023_Q3</t>
  </si>
  <si>
    <t>2023_Q4</t>
  </si>
  <si>
    <t># of affected people have equitable, inclusive and safe access to safe/improved drinking water meeting demand for domestic purposes, at minimum/agreed standards</t>
  </si>
  <si>
    <t># of affected people have equitable, inclusive and safe access to functional excreta disposal systems.</t>
  </si>
  <si>
    <t># of affected people have equitable, inclusive and safe access to hygiene items and community-tailored messages, enabling health seeking behavior.</t>
  </si>
  <si>
    <t># of affected people have access to integrated/mainstreamed WASH services, on the basis of risk-sensitive programming and consultation with communities</t>
  </si>
  <si>
    <t>#of affected people in temporary learning spaces have access to integrated/mainstreamed WASH services.</t>
  </si>
  <si>
    <t># of affected people in temporary health facilities have access to integrated/mainstreamed WASH services.</t>
  </si>
  <si>
    <t>cccm_2023Mar</t>
  </si>
  <si>
    <t xml:space="preserve">Tangyan </t>
  </si>
  <si>
    <t>Lisu Church</t>
  </si>
  <si>
    <t>Chinese Baptist Church Compound(Oak Hpo)</t>
  </si>
  <si>
    <t>Farmland(Kyay Zu Taw)</t>
  </si>
  <si>
    <t>Pong Mun School</t>
  </si>
  <si>
    <t xml:space="preserve">Hka San Baptist church </t>
  </si>
  <si>
    <t xml:space="preserve">Ward 3 </t>
  </si>
  <si>
    <t>Sutaung Taung Chae</t>
  </si>
  <si>
    <t xml:space="preserve">Nbang Yang camp </t>
  </si>
  <si>
    <t xml:space="preserve">Sun Lon monastery </t>
  </si>
  <si>
    <t>Farmland(Kaung Kye Peik)</t>
  </si>
  <si>
    <t>Kaung Nyaung Ywar Thit (Ho Piek gyi)</t>
  </si>
  <si>
    <t>Ward 5 &amp; 9</t>
  </si>
  <si>
    <t xml:space="preserve">Kan Long </t>
  </si>
  <si>
    <t xml:space="preserve">Chicken Farm </t>
  </si>
  <si>
    <t>Rawang Baptist Church</t>
  </si>
  <si>
    <t xml:space="preserve">Sut Ngai yang camp </t>
  </si>
  <si>
    <t>LCC UM Camp Hka Shi</t>
  </si>
  <si>
    <t xml:space="preserve">Wuyan Lisu (KLCC) </t>
  </si>
  <si>
    <t>Sana Lisu Baptist Church (DTC)</t>
  </si>
  <si>
    <t xml:space="preserve">Lisu Ethnic Youth Development Center </t>
  </si>
  <si>
    <t>Mohnyin IDP in host (2)</t>
  </si>
  <si>
    <t>Sadung KBC</t>
  </si>
  <si>
    <t>MMR015CMP085</t>
  </si>
  <si>
    <t>MMR015CMP086</t>
  </si>
  <si>
    <t>MMR015CMP087</t>
  </si>
  <si>
    <t>MMR015CMP088</t>
  </si>
  <si>
    <t>MMR015CMP089</t>
  </si>
  <si>
    <t>MMR015CMP090</t>
  </si>
  <si>
    <t>MMR001CMP296</t>
  </si>
  <si>
    <t>MMR001CMP297</t>
  </si>
  <si>
    <t>MMR015CMP091</t>
  </si>
  <si>
    <t>MMR015CMP092</t>
  </si>
  <si>
    <t>MMR015CMP093</t>
  </si>
  <si>
    <t>MMR015CMP094</t>
  </si>
  <si>
    <t>MMR015CMP095</t>
  </si>
  <si>
    <t>MMR015CMP096</t>
  </si>
  <si>
    <t>MMR001CMP298</t>
  </si>
  <si>
    <t>MMR001CMP299</t>
  </si>
  <si>
    <t>MMR001CMP300</t>
  </si>
  <si>
    <t>MMR001CMP301</t>
  </si>
  <si>
    <t>MMR001CMP302</t>
  </si>
  <si>
    <t>MMR001CMP303</t>
  </si>
  <si>
    <t>MMR001CMP304</t>
  </si>
  <si>
    <t>Monekoe Town</t>
  </si>
  <si>
    <t>Nar Kun Long</t>
  </si>
  <si>
    <t>Sum Kwei</t>
  </si>
  <si>
    <t>Nam Tun</t>
  </si>
  <si>
    <t>MoneKoe Town</t>
  </si>
  <si>
    <t>Mone</t>
  </si>
  <si>
    <t xml:space="preserve">Lashio </t>
  </si>
  <si>
    <t>Ho Piek</t>
  </si>
  <si>
    <t>Tangyan Town</t>
  </si>
  <si>
    <t xml:space="preserve">Man Pyin </t>
  </si>
  <si>
    <t>Hkar Shi</t>
  </si>
  <si>
    <t>Hka Ba Rong</t>
  </si>
  <si>
    <t>Wu Yang</t>
  </si>
  <si>
    <t>Sa Nar</t>
  </si>
  <si>
    <t>Sadung Town</t>
  </si>
  <si>
    <t>Kawng Kaw</t>
  </si>
  <si>
    <t/>
  </si>
  <si>
    <t>Pong Mun</t>
  </si>
  <si>
    <t>Ward 2</t>
  </si>
  <si>
    <t>Ding Jang Yang</t>
  </si>
  <si>
    <t xml:space="preserve">Nbang Yang/Hka Wan Yang </t>
  </si>
  <si>
    <t>Ward -10</t>
  </si>
  <si>
    <t xml:space="preserve">Kaung Kye Piek </t>
  </si>
  <si>
    <t xml:space="preserve">Maw Shan </t>
  </si>
  <si>
    <t>Forest area</t>
  </si>
  <si>
    <t>IDPs in Host</t>
  </si>
  <si>
    <t>not available</t>
  </si>
  <si>
    <t>Q1_2023</t>
  </si>
  <si>
    <t>newly added in 3/24/2023</t>
  </si>
  <si>
    <t>July 31, 2022 : Population update. Data Source : UNHCR - Lashio: The location was registered in CCCM list as the displacement was prolonged due to insecure</t>
  </si>
  <si>
    <t xml:space="preserve">July 31, 2022 : Population update. Data Source : The camp was set up in Feb 2022, displacement families are still not able to return to their village of Origin. </t>
  </si>
  <si>
    <t>July 31, 2022 : Population update. Data Source : The camp was set up in Feb 2022, displacement families are still not able to return to their village of Origin.</t>
  </si>
  <si>
    <t>31/1/2023: population update: 1 HH/12 pp new arrivals
31 July 2022: IDPS from DJY 1 separated to create a new site near the DJY 1 camp</t>
  </si>
  <si>
    <t xml:space="preserve">31 Aug 2022: Based on KMSS-Myitkyina these IDPs were displaced at the current place in 2021 March due to armed conflict between KIA and MAF near Gwi Htau in N-Jang Yang township. KMSS-MYT has done informal need assessment and reponses. </t>
  </si>
  <si>
    <t xml:space="preserve">30.Nov.2022: These IDPs HH came from Than Te, Yey Oo township, Sagaing region, and remain displaced at current site due to no security to return to their VoO. No HH/PP update is available as IDPs staying in low profile. </t>
  </si>
  <si>
    <t xml:space="preserve">30.Nov.2022: Camp/site added in CCCM list, IDPs remain displaced at current site due to no security at their VoO. </t>
  </si>
  <si>
    <t>30.Nov.2022: Site added in CCCM list as protracted camp/site, HH/PP updated by Lashio field office.</t>
  </si>
  <si>
    <t xml:space="preserve">30.Nov-2022: Site added in CCCM list as protracted camp/site, HH/PP updated by UNHCR Myiykyina CCCM Unit. </t>
  </si>
  <si>
    <t>30/Nov/2022: Population updated: (Sited added to the CCCM list as the displacement is prolonged and IDPs need humanitarian assistance, more preside info will be shared after LCD visite the site) : site is 1-2 days from Mohnyin town</t>
  </si>
  <si>
    <t>31/1/2023: Site added in CCCM list as protracted camp/site, HH/PP updated by Daifin</t>
  </si>
  <si>
    <t>28/2/2023: population update by LCD (141 HH/622 pp from Hpakant and Sagaing moved to Mohnyin area)
31/1/2023: Site added in CCCM list as protracted camp/site, HH/PP updated by LCD</t>
  </si>
  <si>
    <t>28/2/2023: Site added in CCCM list as protracted camp/site, HH/PP updated by KBC MYT</t>
  </si>
  <si>
    <t>Uncovered</t>
  </si>
  <si>
    <t>DFSS</t>
  </si>
  <si>
    <t>Temporary closed</t>
  </si>
  <si>
    <t>Closed_cccm_2023Mar</t>
  </si>
  <si>
    <t xml:space="preserve">KBC Church </t>
  </si>
  <si>
    <t>Ward 4</t>
  </si>
  <si>
    <t xml:space="preserve">31.July.2022: Data update: Source-SLCA: 6 HHs increased, 29 pp decreased (need follow up)
31.May.2022:Population update. Data Source: UNHCR-Lashio: The location was registered in CCCM list as the displacement was prolonged due to insecure circumstances in the area. And IDPs are staying at two different places where the Church is taking care of them. </t>
  </si>
  <si>
    <t>Extenshion_camp</t>
  </si>
  <si>
    <t>Phaug Nhae Camp Total</t>
  </si>
  <si>
    <t>Yi Hku Man Hkan  Total</t>
  </si>
  <si>
    <t>Maina Relocation Site Total</t>
  </si>
  <si>
    <t>LCC UM Camp Hka Shi Total</t>
  </si>
  <si>
    <t>Lisu Ethnic Youth Development Center  Total</t>
  </si>
  <si>
    <t>Nbang Yang camp  Total</t>
  </si>
  <si>
    <t>Rawang Baptist Church Total</t>
  </si>
  <si>
    <t>Sut Ngai yang camp  Total</t>
  </si>
  <si>
    <t>Sadung KBC Total</t>
  </si>
  <si>
    <t>Sana Lisu Baptist Church (DTC) Total</t>
  </si>
  <si>
    <t>Sutaung Taung Chae Total</t>
  </si>
  <si>
    <t>Mohnyin IDP in host (2) Total</t>
  </si>
  <si>
    <t>Wuyan Lisu (KLCC)  Total</t>
  </si>
  <si>
    <t>Lisu Church Total</t>
  </si>
  <si>
    <t>Chinese Baptist Church Compound(Oak Hpo) Total</t>
  </si>
  <si>
    <t>Farmland(Kyay Zu Taw) Total</t>
  </si>
  <si>
    <t>Pong Mun School Total</t>
  </si>
  <si>
    <t>Hka San Baptist church  Total</t>
  </si>
  <si>
    <t>Ward 3  Total</t>
  </si>
  <si>
    <t>Sun Lon monastery  Total</t>
  </si>
  <si>
    <t>Farmland(Kaung Kye Peik) Total</t>
  </si>
  <si>
    <t>Kaung Nyaung Ywar Thit (Ho Piek gyi) Total</t>
  </si>
  <si>
    <t>Ward 5 &amp; 9 Total</t>
  </si>
  <si>
    <t>Kan Long  Total</t>
  </si>
  <si>
    <t>Chicken Farm  Total</t>
  </si>
  <si>
    <t>KBC Church  Total</t>
  </si>
  <si>
    <t>Pop
(Kachin/Shan-CCCM as of March 2023)</t>
  </si>
  <si>
    <t>HH
(Kachin/Shan-CCCM as of march 2023)</t>
  </si>
  <si>
    <t xml:space="preserve">HRP 2023 Indicators </t>
  </si>
  <si>
    <t>UNICEF, IRC</t>
  </si>
  <si>
    <t>UNICEF, SIDA</t>
  </si>
  <si>
    <t>9/7/2022,</t>
  </si>
  <si>
    <t>UNICEF,SIDA</t>
  </si>
  <si>
    <t>UNICEF,IRC</t>
  </si>
  <si>
    <t>SIDA</t>
  </si>
  <si>
    <t>CARE International in Myanmar</t>
  </si>
  <si>
    <t>Luxemburg MoFA</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</si>
  <si>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</si>
  <si>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</si>
  <si>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t># complaints received that result in timely, corrective action and feedback to the community</t>
  </si>
  <si>
    <t xml:space="preserve"># of affected people surveyed who report feeling satistfied with the latrine design and sanitation service </t>
  </si>
  <si>
    <t># of affected people surveyed who report feeling satistfied with the water point design and water service</t>
  </si>
  <si>
    <t>(blank)</t>
  </si>
  <si>
    <t>ALARM</t>
  </si>
  <si>
    <t>TEF</t>
  </si>
  <si>
    <t>GN</t>
  </si>
  <si>
    <t>Alinn BLDO</t>
  </si>
  <si>
    <t>Long name</t>
  </si>
  <si>
    <t>MDF</t>
  </si>
  <si>
    <t>TGH</t>
  </si>
  <si>
    <t>AYOSDA</t>
  </si>
  <si>
    <t>STH</t>
  </si>
  <si>
    <t>Guardian Network</t>
  </si>
  <si>
    <t>Alinn LDO</t>
  </si>
  <si>
    <t>WAMM</t>
  </si>
  <si>
    <t>MARC</t>
  </si>
  <si>
    <t>Myanmar Alliance for Rabies Control</t>
  </si>
  <si>
    <t>Advancing Life and Regenerating Mother Land</t>
  </si>
  <si>
    <t>Thabyay Education Foundation</t>
  </si>
  <si>
    <t>Civil Society Organization</t>
  </si>
  <si>
    <t>Unicef</t>
  </si>
  <si>
    <t>Suwannimit</t>
  </si>
  <si>
    <t>MKLDO</t>
  </si>
  <si>
    <t>CARE, Meikswe MM</t>
  </si>
  <si>
    <t>2023-1st Qtr 4W Camp DASHBOARD</t>
  </si>
  <si>
    <t>yes</t>
  </si>
  <si>
    <t>KBC, UNICEF</t>
  </si>
  <si>
    <t>Notcovered</t>
  </si>
  <si>
    <t>reported</t>
  </si>
  <si>
    <t xml:space="preserve"> </t>
  </si>
  <si>
    <t>Not reported</t>
  </si>
  <si>
    <t>Hygiene kits</t>
  </si>
  <si>
    <t>13-8-2021, 6-1-2020</t>
  </si>
  <si>
    <t>30-6-2022, 30.4.2021</t>
  </si>
  <si>
    <t>KBC, Metta</t>
  </si>
  <si>
    <t>6/1/2022,(13-8-2021, 6-1-2020)</t>
  </si>
  <si>
    <t>11/30/2022,(30-6-2022, 30.4.2021)</t>
  </si>
  <si>
    <t>ECHO 2739,USAID/HOPE-94</t>
  </si>
  <si>
    <t>MHF,USAID/HOPE-94</t>
  </si>
  <si>
    <t>10/1/2022,(13-8-2021, 6-1-2020)</t>
  </si>
  <si>
    <t>6/30/2023, (30-6-2022, 30.4.2021)</t>
  </si>
  <si>
    <t>SIDA, USAID/HOPE-94</t>
  </si>
  <si>
    <t>METTA</t>
  </si>
  <si>
    <t>Metta Development Foundation</t>
  </si>
  <si>
    <t>Karuna Mission Social Solidarity</t>
  </si>
  <si>
    <t>Ar Yone Oo Social Development Association</t>
  </si>
  <si>
    <t>Care International</t>
  </si>
  <si>
    <t>Chin Human Rights Organization</t>
  </si>
  <si>
    <t>People in Need</t>
  </si>
  <si>
    <t>Save the Children International</t>
  </si>
  <si>
    <t>Triangle Generation Humanitaire</t>
  </si>
  <si>
    <t>United Nations Children's Fund</t>
  </si>
  <si>
    <t>Danish Refugee Council</t>
  </si>
  <si>
    <t>International Rescue Committee</t>
  </si>
  <si>
    <t>Kachin Baptist Convention</t>
  </si>
  <si>
    <t>Nyein (Shalom) Foundation</t>
  </si>
  <si>
    <t>Solidarites International</t>
  </si>
  <si>
    <t>Serve The World</t>
  </si>
  <si>
    <t xml:space="preserve">Wunpawng Ninghtoi </t>
  </si>
  <si>
    <t>Suwannimit Foundation</t>
  </si>
  <si>
    <t>ADRA Myanmar</t>
  </si>
  <si>
    <t>Commitee for Internally Displaced Karen People</t>
  </si>
  <si>
    <t>Mercy Corps</t>
  </si>
  <si>
    <t>Community Development Association</t>
  </si>
  <si>
    <t>Consortium Dutch NGO's</t>
  </si>
  <si>
    <t>Community Empowerment and Resilience Association</t>
  </si>
  <si>
    <t>Lutheran World Federation</t>
  </si>
  <si>
    <t>OXFAM International</t>
  </si>
  <si>
    <t>Relief International</t>
  </si>
  <si>
    <t>Swan Yee Development Foundation</t>
  </si>
  <si>
    <t>Treasure Land Development Association</t>
  </si>
  <si>
    <t>United Nations High Commissioner for Refugees</t>
  </si>
  <si>
    <t>World Food Programme</t>
  </si>
  <si>
    <t>Action Contre la Faim</t>
  </si>
  <si>
    <t>Green Life Alliance for Development, Myanmar Council of Churches</t>
  </si>
  <si>
    <t>Health Poverty Action</t>
  </si>
  <si>
    <t>Mawk Kone Local Development Network</t>
  </si>
  <si>
    <t>WaterAid</t>
  </si>
  <si>
    <t>KBC, KMSS, UNICEF</t>
  </si>
  <si>
    <t>KBC, KMSS, IRC, UNICEF</t>
  </si>
  <si>
    <t>KBC,IRC</t>
  </si>
  <si>
    <t>KBC, IRC</t>
  </si>
  <si>
    <t>KBC, KMSS, METTA, UNICEF</t>
  </si>
  <si>
    <t>KBC, KMSS, METTA, SI, UNICEF</t>
  </si>
  <si>
    <t>KBC, METTA, UNICEF</t>
  </si>
  <si>
    <t>ANCHOR</t>
  </si>
  <si>
    <t>KMSS , SI</t>
  </si>
  <si>
    <t>Shan Culutre camp</t>
  </si>
  <si>
    <t>New Nant  Hlaing camp</t>
  </si>
  <si>
    <t>ရေတွင်းတွင် ထည့်ရန် ရေမော်တာ အသစ်တစ်လုံး လိုအပ်</t>
  </si>
  <si>
    <t>သင်တန်းပို့ချပေးစေလို</t>
  </si>
  <si>
    <t>Nyein (Shalom)</t>
  </si>
  <si>
    <t>Shalom, church</t>
  </si>
  <si>
    <t>hygiene kit Distribution</t>
  </si>
  <si>
    <t>shalom</t>
  </si>
  <si>
    <t>အိမ်သာကျင်းမကြာခန ပိတ်</t>
  </si>
  <si>
    <t>shalom, ICRC</t>
  </si>
  <si>
    <t>New Latrine လိုအပ်</t>
  </si>
  <si>
    <t xml:space="preserve">နွေရာသီရေခမ်း </t>
  </si>
  <si>
    <t xml:space="preserve">need for water taste  </t>
  </si>
  <si>
    <t>မိလ္လာစုပ်ထုတ်ရန် အခက်အခဲဖြစ်</t>
  </si>
  <si>
    <t>Chruch , Shalom</t>
  </si>
  <si>
    <t>45 နှစ်အထက် အမျိုးသမီးများလည်း လစဉ်သုံးပေးစေလို</t>
  </si>
  <si>
    <t xml:space="preserve">new dugwell </t>
  </si>
  <si>
    <t>ရေနုတ်မြှောင်းပြုပြင်ရန်လို</t>
  </si>
  <si>
    <t xml:space="preserve">hygiene kits ကို ၄၅ နှစ်အထက်ပေးစေလို </t>
  </si>
  <si>
    <t>ရေထွက်ပင်ရင်းနောက်တိုးလိုအပ်</t>
  </si>
  <si>
    <t>အိမ်သာပြုပြင်ရန်လိုအပ်</t>
  </si>
  <si>
    <t>ဆက်လက်သင်တန်းပို့ချလှင်ကောင်း</t>
  </si>
  <si>
    <t xml:space="preserve">ရေအရည်သွေးစစ်ဆေးမူပြုလုပ်စေချင်။ </t>
  </si>
  <si>
    <t>၃ လတစ်ကြိမ် Hygiene promotion ပြုလုပ်လျှင်အဆင်ပြေ</t>
  </si>
  <si>
    <t>Hygiene Kits and capacity building training</t>
  </si>
  <si>
    <t>Needed hygiene kits</t>
  </si>
  <si>
    <t>ရေတင်မီးစက်တွင် မီးကြိုးလဲလှယ်ရန်လို</t>
  </si>
  <si>
    <t>အိမ်သာလုံလောက်မှုမရှိ</t>
  </si>
  <si>
    <t>Metta, Shalom</t>
  </si>
  <si>
    <t>USAID/HOPE-94, ANCHOR</t>
  </si>
  <si>
    <t>(13-8-2021, 6-1-2020),1-1-2023</t>
  </si>
  <si>
    <t>(30-6-2022, 30.4.2021),12-31-2023</t>
  </si>
  <si>
    <t>KBC, IRC, Shalom</t>
  </si>
  <si>
    <t>(UNICEF,SIDA), ANCHOR</t>
  </si>
  <si>
    <t>9/7/2022,1-1-2023</t>
  </si>
  <si>
    <t>9/6/2023,12-31-2023</t>
  </si>
  <si>
    <t>KBC, Shalom</t>
  </si>
  <si>
    <t>New Nant  Hlaing camp Total</t>
  </si>
  <si>
    <t>Shan Culutre camp Total</t>
  </si>
  <si>
    <t>KBC, SI, IRC, METTA, SHALOM</t>
  </si>
  <si>
    <t>KBC, UNICEF, SHALOM</t>
  </si>
  <si>
    <t>KBC, KMSS, UNICEF, SHALOM</t>
  </si>
  <si>
    <t>KBC, KMSS, IRC, UNICEF, SHALOM</t>
  </si>
  <si>
    <t>KBC, KMSS, IRC, METTA, UNICEF, WAINGMAW</t>
  </si>
  <si>
    <t>KACHIN STATE (2023 - Qtr 1 - 4W Analysis, as of 31 March 2023)</t>
  </si>
  <si>
    <t>NORTHERN SHAN STATE  (2023 - Qtr 1 - 4W Analysis, as of 31 March 2023)</t>
  </si>
  <si>
    <t># of TLS/CFS/THF with functional water points or water provision supported by WASH partners during the reporting period</t>
  </si>
  <si>
    <t># People access to functional water points or water provision supported by WASH partners in TLS/CFS/THF_HRP5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</si>
</sst>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96">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2"/>
      <name val="Calibri"/>
      <family val="2"/>
      <scheme val="minor"/>
    </font>
    <font>
      <sz val="12"/>
      <color theme="1"/>
      <name val="Calibri"/>
      <family val="2"/>
      <scheme val="minor"/>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i/>
      <sz val="12"/>
      <color theme="1"/>
      <name val="Calibri"/>
      <family val="2"/>
      <scheme val="minor"/>
    </font>
    <font>
      <sz val="11"/>
      <color theme="1"/>
      <name val="Calibri"/>
      <family val="2"/>
      <scheme val="minor"/>
    </font>
    <font>
      <sz val="11"/>
      <color theme="4" tint="-0.249977111117893"/>
      <name val="Calibri"/>
      <family val="2"/>
      <scheme val="minor"/>
    </font>
    <font>
      <b/>
      <sz val="10"/>
      <color theme="0"/>
      <name val="Calibri"/>
      <family val="2"/>
      <scheme val="minor"/>
    </font>
    <font>
      <sz val="10"/>
      <color rgb="FF000000"/>
      <name val="Calibri"/>
      <family val="2"/>
    </font>
    <font>
      <b/>
      <sz val="11"/>
      <name val="Calibri"/>
      <family val="2"/>
      <scheme val="minor"/>
    </font>
    <font>
      <sz val="9"/>
      <color theme="1"/>
      <name val="Corbel"/>
      <family val="2"/>
    </font>
    <font>
      <sz val="12"/>
      <color theme="1"/>
      <name val="Calibri"/>
      <family val="2"/>
      <scheme val="minor"/>
    </font>
    <font>
      <sz val="12"/>
      <color theme="0"/>
      <name val="Calibri"/>
      <family val="2"/>
      <scheme val="minor"/>
    </font>
    <font>
      <sz val="12"/>
      <name val="Calibri"/>
      <family val="2"/>
      <scheme val="minor"/>
    </font>
    <font>
      <b/>
      <sz val="12"/>
      <color rgb="FFFF0000"/>
      <name val="Times New Roman"/>
      <family val="2"/>
    </font>
    <font>
      <b/>
      <sz val="12"/>
      <color rgb="FFFF0000"/>
      <name val="Times New Roman"/>
      <family val="1"/>
    </font>
    <font>
      <sz val="12"/>
      <color theme="4" tint="-0.249977111117893"/>
      <name val="Calibri"/>
      <family val="2"/>
      <scheme val="minor"/>
    </font>
    <font>
      <sz val="11"/>
      <color theme="1"/>
      <name val="Calibri"/>
      <family val="2"/>
      <scheme val="minor"/>
    </font>
    <font>
      <b/>
      <sz val="10"/>
      <color theme="0"/>
      <name val="Arial"/>
      <family val="2"/>
    </font>
    <font>
      <sz val="10"/>
      <color theme="1"/>
      <name val="Arial"/>
      <family val="2"/>
    </font>
    <font>
      <sz val="11"/>
      <color theme="1"/>
      <name val="Calibri"/>
      <family val="2"/>
      <scheme val="minor"/>
    </font>
    <font>
      <sz val="10"/>
      <color rgb="FF000000"/>
      <name val="Calibri"/>
      <family val="2"/>
    </font>
    <font>
      <b/>
      <sz val="9"/>
      <name val="Corbel"/>
      <family val="2"/>
    </font>
    <font>
      <sz val="10"/>
      <color theme="0"/>
      <name val="Crobel"/>
    </font>
    <font>
      <b/>
      <sz val="12"/>
      <name val="Times New Roman"/>
      <family val="2"/>
    </font>
    <font>
      <sz val="12"/>
      <name val="Times New Roman"/>
      <family val="2"/>
    </font>
    <font>
      <sz val="12"/>
      <name val="Times New Roman"/>
      <family val="1"/>
    </font>
    <font>
      <sz val="12"/>
      <color theme="0"/>
      <name val="Times New Roman"/>
      <family val="1"/>
    </font>
    <font>
      <sz val="11"/>
      <color theme="1"/>
      <name val="Calibri"/>
      <family val="2"/>
      <scheme val="minor"/>
    </font>
    <font>
      <b/>
      <sz val="11"/>
      <color theme="1"/>
      <name val="Calibri"/>
      <family val="2"/>
      <scheme val="minor"/>
    </font>
    <font>
      <sz val="11"/>
      <color theme="4" tint="-0.249977111117893"/>
      <name val="Calibri"/>
      <family val="2"/>
      <scheme val="minor"/>
    </font>
    <font>
      <b/>
      <sz val="11"/>
      <color rgb="FF000000"/>
      <name val="Calibri"/>
      <family val="2"/>
    </font>
    <font>
      <i/>
      <sz val="12"/>
      <color theme="0"/>
      <name val="Calibri"/>
      <family val="2"/>
      <scheme val="minor"/>
    </font>
    <font>
      <sz val="14"/>
      <name val="Calibri"/>
      <family val="2"/>
      <scheme val="minor"/>
    </font>
    <font>
      <sz val="10"/>
      <color rgb="FF2C2C2C"/>
      <name val="Corbel"/>
    </font>
    <font>
      <sz val="9"/>
      <color indexed="81"/>
      <name val="Tahoma"/>
    </font>
    <font>
      <b/>
      <sz val="9"/>
      <color indexed="81"/>
      <name val="Tahoma"/>
    </font>
    <font>
      <sz val="11"/>
      <color theme="1"/>
      <name val="Calibri"/>
      <scheme val="minor"/>
    </font>
    <font>
      <b/>
      <sz val="11"/>
      <color theme="1"/>
      <name val="Calibri"/>
      <scheme val="minor"/>
    </font>
    <font>
      <sz val="11"/>
      <color theme="4" tint="-0.249977111117893"/>
      <name val="Calibri"/>
      <scheme val="minor"/>
    </font>
    <font>
      <b/>
      <sz val="11"/>
      <color theme="1" tint="0.499984740745262"/>
      <name val="Calibri"/>
      <scheme val="minor"/>
    </font>
    <font>
      <sz val="11"/>
      <color rgb="FF000000"/>
      <name val="Calibri"/>
      <family val="2"/>
      <scheme val="minor"/>
    </font>
    <font>
      <sz val="12"/>
      <color theme="1"/>
      <name val="Calibri"/>
      <scheme val="minor"/>
    </font>
    <font>
      <sz val="12"/>
      <color theme="0"/>
      <name val="Calibri"/>
      <scheme val="minor"/>
    </font>
    <font>
      <sz val="12"/>
      <name val="Calibri"/>
      <scheme val="minor"/>
    </font>
    <font>
      <b/>
      <sz val="11"/>
      <color theme="0"/>
      <name val="Calibri"/>
      <scheme val="minor"/>
    </font>
  </fonts>
  <fills count="66">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8" tint="0.39997558519241921"/>
        <bgColor theme="8" tint="0.39997558519241921"/>
      </patternFill>
    </fill>
    <fill>
      <patternFill patternType="solid">
        <fgColor rgb="FFF7FECE"/>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4" tint="0.79998168889431442"/>
        <bgColor indexed="65"/>
      </patternFill>
    </fill>
    <fill>
      <patternFill patternType="solid">
        <fgColor rgb="FFDB7B18"/>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B3B5"/>
        <bgColor indexed="64"/>
      </patternFill>
    </fill>
    <fill>
      <patternFill patternType="solid">
        <fgColor rgb="FFFF0000"/>
        <bgColor theme="4" tint="0.79998168889431442"/>
      </patternFill>
    </fill>
    <fill>
      <patternFill patternType="solid">
        <fgColor rgb="FFFFFF00"/>
        <bgColor rgb="FF000000"/>
      </patternFill>
    </fill>
    <fill>
      <patternFill patternType="solid">
        <fgColor rgb="FF92D050"/>
        <bgColor rgb="FF000000"/>
      </patternFill>
    </fill>
    <fill>
      <patternFill patternType="solid">
        <fgColor theme="0" tint="-0.249977111117893"/>
        <bgColor theme="0" tint="-0.249977111117893"/>
      </patternFill>
    </fill>
  </fills>
  <borders count="214">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right style="thin">
        <color theme="4"/>
      </right>
      <top style="double">
        <color theme="4"/>
      </top>
      <bottom/>
      <diagonal/>
    </border>
    <border>
      <left style="thin">
        <color theme="4"/>
      </left>
      <right style="thin">
        <color theme="4"/>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right/>
      <top/>
      <bottom style="thin">
        <color theme="8" tint="0.39997558519241921"/>
      </bottom>
      <diagonal/>
    </border>
    <border>
      <left/>
      <right/>
      <top/>
      <bottom style="thin">
        <color theme="5" tint="0.39997558519241921"/>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thin">
        <color theme="4"/>
      </right>
      <top/>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thin">
        <color rgb="FF0070C0"/>
      </left>
      <right style="double">
        <color rgb="FFFF0000"/>
      </right>
      <top style="thin">
        <color rgb="FF0070C0"/>
      </top>
      <bottom style="thin">
        <color rgb="FF0070C0"/>
      </bottom>
      <diagonal/>
    </border>
    <border>
      <left style="medium">
        <color rgb="FFFFFFFF"/>
      </left>
      <right/>
      <top/>
      <bottom/>
      <diagonal/>
    </border>
    <border>
      <left/>
      <right/>
      <top/>
      <bottom style="medium">
        <color rgb="FFFFFFFF"/>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rgb="FFDB7B18"/>
      </right>
      <top style="thin">
        <color rgb="FFDB7B18"/>
      </top>
      <bottom style="thin">
        <color rgb="FFDB7B18"/>
      </bottom>
      <diagonal/>
    </border>
    <border>
      <left style="thin">
        <color rgb="FFDB7B18"/>
      </left>
      <right style="thin">
        <color rgb="FFDB7B18"/>
      </right>
      <top style="thin">
        <color rgb="FFDB7B18"/>
      </top>
      <bottom style="thin">
        <color rgb="FFDB7B18"/>
      </bottom>
      <diagonal/>
    </border>
    <border>
      <left style="thin">
        <color rgb="FFDB7B18"/>
      </left>
      <right style="medium">
        <color indexed="64"/>
      </right>
      <top style="thin">
        <color rgb="FFDB7B18"/>
      </top>
      <bottom style="thin">
        <color rgb="FFDB7B18"/>
      </bottom>
      <diagonal/>
    </border>
    <border>
      <left/>
      <right/>
      <top style="double">
        <color rgb="FFFF0000"/>
      </top>
      <bottom style="thin">
        <color rgb="FF0070C0"/>
      </bottom>
      <diagonal/>
    </border>
    <border>
      <left/>
      <right/>
      <top/>
      <bottom style="double">
        <color rgb="FFFF0000"/>
      </bottom>
      <diagonal/>
    </border>
    <border>
      <left/>
      <right style="medium">
        <color rgb="FF0070C0"/>
      </right>
      <top style="double">
        <color rgb="FFFF0000"/>
      </top>
      <bottom style="thin">
        <color rgb="FF0070C0"/>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theme="6"/>
      </left>
      <right style="thin">
        <color theme="6"/>
      </right>
      <top style="thin">
        <color theme="6"/>
      </top>
      <bottom style="thin">
        <color theme="6"/>
      </bottom>
      <diagonal/>
    </border>
    <border>
      <left style="medium">
        <color rgb="FF0070C0"/>
      </left>
      <right/>
      <top style="thin">
        <color rgb="FF0070C0"/>
      </top>
      <bottom style="thin">
        <color rgb="FF0070C0"/>
      </bottom>
      <diagonal/>
    </border>
    <border>
      <left style="medium">
        <color rgb="FF0070C0"/>
      </left>
      <right/>
      <top style="medium">
        <color rgb="FF0070C0"/>
      </top>
      <bottom/>
      <diagonal/>
    </border>
    <border>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thin">
        <color rgb="FF0070C0"/>
      </left>
      <right style="double">
        <color rgb="FFFF0000"/>
      </right>
      <top style="double">
        <color rgb="FFFF0000"/>
      </top>
      <bottom style="thin">
        <color rgb="FF0070C0"/>
      </bottom>
      <diagonal/>
    </border>
    <border>
      <left style="medium">
        <color rgb="FF0070C0"/>
      </left>
      <right style="double">
        <color rgb="FFFF0000"/>
      </right>
      <top style="thin">
        <color rgb="FF0070C0"/>
      </top>
      <bottom style="thin">
        <color rgb="FF0070C0"/>
      </bottom>
      <diagonal/>
    </border>
    <border>
      <left style="thin">
        <color rgb="FF0070C0"/>
      </left>
      <right style="medium">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thin">
        <color theme="4" tint="0.39994506668294322"/>
      </left>
      <right style="thin">
        <color theme="4"/>
      </right>
      <top/>
      <bottom style="thin">
        <color theme="4"/>
      </bottom>
      <diagonal/>
    </border>
    <border>
      <left style="thin">
        <color theme="4" tint="0.39994506668294322"/>
      </left>
      <right style="thin">
        <color theme="4" tint="0.39994506668294322"/>
      </right>
      <top/>
      <bottom style="thin">
        <color theme="4"/>
      </bottom>
      <diagonal/>
    </border>
    <border>
      <left style="thin">
        <color rgb="FF0070C0"/>
      </left>
      <right style="thin">
        <color rgb="FF0070C0"/>
      </right>
      <top style="thin">
        <color rgb="FF0070C0"/>
      </top>
      <bottom style="double">
        <color rgb="FFFF0000"/>
      </bottom>
      <diagonal/>
    </border>
    <border>
      <left/>
      <right style="medium">
        <color rgb="FF0070C0"/>
      </right>
      <top style="thin">
        <color rgb="FF0070C0"/>
      </top>
      <bottom style="double">
        <color rgb="FFFF0000"/>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9" tint="0.79998168889431442"/>
      </top>
      <bottom style="thin">
        <color theme="9" tint="0.39997558519241921"/>
      </bottom>
      <diagonal/>
    </border>
    <border>
      <left/>
      <right/>
      <top style="thin">
        <color theme="9" tint="0.79998168889431442"/>
      </top>
      <bottom style="thin">
        <color theme="9" tint="0.79998168889431442"/>
      </bottom>
      <diagonal/>
    </border>
    <border>
      <left/>
      <right/>
      <top style="thin">
        <color theme="9" tint="0.39997558519241921"/>
      </top>
      <bottom style="thin">
        <color theme="9" tint="0.39997558519241921"/>
      </bottom>
      <diagonal/>
    </border>
    <border>
      <left/>
      <right/>
      <top style="thin">
        <color theme="9" tint="0.39997558519241921"/>
      </top>
      <bottom style="thin">
        <color theme="9" tint="0.79998168889431442"/>
      </bottom>
      <diagonal/>
    </border>
    <border>
      <left/>
      <right/>
      <top style="thin">
        <color theme="9" tint="0.79998168889431442"/>
      </top>
      <bottom style="thin">
        <color theme="9"/>
      </bottom>
      <diagonal/>
    </border>
    <border>
      <left/>
      <right/>
      <top style="thin">
        <color theme="9" tint="0.39997558519241921"/>
      </top>
      <bottom/>
      <diagonal/>
    </border>
    <border>
      <left/>
      <right/>
      <top style="thin">
        <color theme="9" tint="0.79998168889431442"/>
      </top>
      <bottom/>
      <diagonal/>
    </border>
    <border>
      <left style="thin">
        <color theme="4" tint="0.59999389629810485"/>
      </left>
      <right style="thin">
        <color theme="4"/>
      </right>
      <top style="thin">
        <color theme="4" tint="0.59999389629810485"/>
      </top>
      <bottom style="thin">
        <color theme="0"/>
      </bottom>
      <diagonal/>
    </border>
    <border>
      <left style="thin">
        <color theme="0" tint="-0.24994659260841701"/>
      </left>
      <right/>
      <top/>
      <bottom/>
      <diagonal/>
    </border>
    <border>
      <left/>
      <right style="thin">
        <color theme="0" tint="-0.24994659260841701"/>
      </right>
      <top/>
      <bottom/>
      <diagonal/>
    </border>
    <border>
      <left/>
      <right style="thin">
        <color rgb="FF0070C0"/>
      </right>
      <top/>
      <bottom style="thin">
        <color rgb="FF0070C0"/>
      </bottom>
      <diagonal/>
    </border>
    <border>
      <left style="thin">
        <color rgb="FF0070C0"/>
      </left>
      <right style="thin">
        <color rgb="FF0070C0"/>
      </right>
      <top/>
      <bottom style="thin">
        <color rgb="FF0070C0"/>
      </bottom>
      <diagonal/>
    </border>
    <border>
      <left style="thin">
        <color rgb="FF0070C0"/>
      </left>
      <right/>
      <top/>
      <bottom style="thin">
        <color rgb="FF0070C0"/>
      </bottom>
      <diagonal/>
    </border>
    <border>
      <left style="thin">
        <color rgb="FF0070C0"/>
      </left>
      <right style="thin">
        <color rgb="FF0070C0"/>
      </right>
      <top style="thin">
        <color rgb="FF0070C0"/>
      </top>
      <bottom/>
      <diagonal/>
    </border>
    <border>
      <left style="double">
        <color rgb="FF0070C0"/>
      </left>
      <right style="thin">
        <color rgb="FF0070C0"/>
      </right>
      <top style="double">
        <color rgb="FF0070C0"/>
      </top>
      <bottom style="thin">
        <color rgb="FF0070C0"/>
      </bottom>
      <diagonal/>
    </border>
    <border>
      <left style="thin">
        <color rgb="FF0070C0"/>
      </left>
      <right style="thin">
        <color rgb="FF0070C0"/>
      </right>
      <top style="double">
        <color rgb="FF0070C0"/>
      </top>
      <bottom style="thin">
        <color rgb="FF0070C0"/>
      </bottom>
      <diagonal/>
    </border>
    <border>
      <left style="thin">
        <color rgb="FF0070C0"/>
      </left>
      <right style="double">
        <color rgb="FF0070C0"/>
      </right>
      <top style="double">
        <color rgb="FF0070C0"/>
      </top>
      <bottom style="thin">
        <color rgb="FF0070C0"/>
      </bottom>
      <diagonal/>
    </border>
    <border>
      <left style="double">
        <color rgb="FF0070C0"/>
      </left>
      <right style="thin">
        <color rgb="FF0070C0"/>
      </right>
      <top style="thin">
        <color rgb="FF0070C0"/>
      </top>
      <bottom style="thin">
        <color rgb="FF0070C0"/>
      </bottom>
      <diagonal/>
    </border>
    <border>
      <left style="thin">
        <color rgb="FF0070C0"/>
      </left>
      <right style="double">
        <color rgb="FF0070C0"/>
      </right>
      <top style="thin">
        <color rgb="FF0070C0"/>
      </top>
      <bottom style="thin">
        <color rgb="FF0070C0"/>
      </bottom>
      <diagonal/>
    </border>
    <border>
      <left style="double">
        <color rgb="FF0070C0"/>
      </left>
      <right style="thin">
        <color rgb="FF0070C0"/>
      </right>
      <top style="double">
        <color rgb="FF0070C0"/>
      </top>
      <bottom style="double">
        <color rgb="FF0070C0"/>
      </bottom>
      <diagonal/>
    </border>
    <border>
      <left style="thin">
        <color rgb="FF0070C0"/>
      </left>
      <right style="thin">
        <color rgb="FF0070C0"/>
      </right>
      <top style="double">
        <color rgb="FF0070C0"/>
      </top>
      <bottom style="double">
        <color rgb="FF0070C0"/>
      </bottom>
      <diagonal/>
    </border>
    <border>
      <left style="thin">
        <color rgb="FF0070C0"/>
      </left>
      <right style="double">
        <color rgb="FF0070C0"/>
      </right>
      <top style="double">
        <color rgb="FF0070C0"/>
      </top>
      <bottom style="double">
        <color rgb="FF0070C0"/>
      </bottom>
      <diagonal/>
    </border>
    <border>
      <left style="thin">
        <color theme="0" tint="-0.24994659260841701"/>
      </left>
      <right style="thin">
        <color theme="0" tint="-0.24994659260841701"/>
      </right>
      <top/>
      <bottom/>
      <diagonal/>
    </border>
    <border>
      <left style="double">
        <color rgb="FF0070C0"/>
      </left>
      <right style="thin">
        <color rgb="FF0070C0"/>
      </right>
      <top style="thin">
        <color rgb="FF0070C0"/>
      </top>
      <bottom/>
      <diagonal/>
    </border>
    <border>
      <left style="thin">
        <color rgb="FF0070C0"/>
      </left>
      <right style="double">
        <color rgb="FF0070C0"/>
      </right>
      <top style="thin">
        <color rgb="FF0070C0"/>
      </top>
      <bottom/>
      <diagonal/>
    </border>
    <border>
      <left style="thin">
        <color rgb="FF0070C0"/>
      </left>
      <right/>
      <top/>
      <bottom/>
      <diagonal/>
    </border>
    <border>
      <left style="double">
        <color rgb="FF0070C0"/>
      </left>
      <right style="dashed">
        <color rgb="FF0070C0"/>
      </right>
      <top style="double">
        <color rgb="FF0070C0"/>
      </top>
      <bottom style="dashed">
        <color rgb="FF0070C0"/>
      </bottom>
      <diagonal/>
    </border>
    <border>
      <left style="dashed">
        <color rgb="FF0070C0"/>
      </left>
      <right style="dashed">
        <color rgb="FF0070C0"/>
      </right>
      <top style="double">
        <color rgb="FF0070C0"/>
      </top>
      <bottom style="dashed">
        <color rgb="FF0070C0"/>
      </bottom>
      <diagonal/>
    </border>
    <border>
      <left style="dashed">
        <color rgb="FF0070C0"/>
      </left>
      <right style="double">
        <color rgb="FF0070C0"/>
      </right>
      <top style="double">
        <color rgb="FF0070C0"/>
      </top>
      <bottom style="dashed">
        <color rgb="FF0070C0"/>
      </bottom>
      <diagonal/>
    </border>
    <border>
      <left style="double">
        <color rgb="FF0070C0"/>
      </left>
      <right style="dashed">
        <color rgb="FF0070C0"/>
      </right>
      <top style="dashed">
        <color rgb="FF0070C0"/>
      </top>
      <bottom style="dashed">
        <color rgb="FF0070C0"/>
      </bottom>
      <diagonal/>
    </border>
    <border>
      <left style="dashed">
        <color rgb="FF0070C0"/>
      </left>
      <right style="dashed">
        <color rgb="FF0070C0"/>
      </right>
      <top style="dashed">
        <color rgb="FF0070C0"/>
      </top>
      <bottom style="dashed">
        <color rgb="FF0070C0"/>
      </bottom>
      <diagonal/>
    </border>
    <border>
      <left style="dashed">
        <color rgb="FF0070C0"/>
      </left>
      <right style="double">
        <color rgb="FF0070C0"/>
      </right>
      <top style="dashed">
        <color rgb="FF0070C0"/>
      </top>
      <bottom style="dashed">
        <color rgb="FF0070C0"/>
      </bottom>
      <diagonal/>
    </border>
    <border>
      <left style="double">
        <color rgb="FF0070C0"/>
      </left>
      <right style="dashed">
        <color rgb="FF0070C0"/>
      </right>
      <top style="dashed">
        <color rgb="FF0070C0"/>
      </top>
      <bottom style="double">
        <color rgb="FF0070C0"/>
      </bottom>
      <diagonal/>
    </border>
    <border>
      <left style="dashed">
        <color rgb="FF0070C0"/>
      </left>
      <right style="dashed">
        <color rgb="FF0070C0"/>
      </right>
      <top style="dashed">
        <color rgb="FF0070C0"/>
      </top>
      <bottom style="double">
        <color rgb="FF0070C0"/>
      </bottom>
      <diagonal/>
    </border>
    <border>
      <left style="dashed">
        <color rgb="FF0070C0"/>
      </left>
      <right style="double">
        <color rgb="FF0070C0"/>
      </right>
      <top style="dashed">
        <color rgb="FF0070C0"/>
      </top>
      <bottom style="double">
        <color rgb="FF0070C0"/>
      </bottom>
      <diagonal/>
    </border>
    <border>
      <left style="thin">
        <color rgb="FF8EA9DB"/>
      </left>
      <right style="thin">
        <color rgb="FF8EA9DB"/>
      </right>
      <top style="thin">
        <color rgb="FF8EA9DB"/>
      </top>
      <bottom style="thin">
        <color rgb="FF8EA9DB"/>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4" tint="0.59999389629810485"/>
      </left>
      <right/>
      <top style="thin">
        <color theme="4" tint="0.59999389629810485"/>
      </top>
      <bottom style="thin">
        <color theme="4" tint="0.59999389629810485"/>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145">
    <xf numFmtId="0" fontId="0" fillId="0" borderId="0"/>
    <xf numFmtId="9" fontId="34" fillId="0" borderId="0" applyFont="0" applyFill="0" applyBorder="0" applyAlignment="0" applyProtection="0"/>
    <xf numFmtId="0" fontId="35" fillId="0" borderId="0"/>
    <xf numFmtId="9"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5" fillId="0" borderId="0" applyFont="0" applyFill="0" applyBorder="0" applyAlignment="0" applyProtection="0"/>
    <xf numFmtId="166" fontId="35" fillId="0" borderId="0"/>
    <xf numFmtId="0" fontId="61" fillId="0" borderId="0"/>
    <xf numFmtId="0" fontId="33" fillId="0" borderId="0"/>
    <xf numFmtId="9" fontId="33" fillId="0" borderId="0" applyFont="0" applyFill="0" applyBorder="0" applyAlignment="0" applyProtection="0"/>
    <xf numFmtId="0" fontId="74" fillId="0" borderId="26" applyNumberFormat="0" applyFill="0" applyAlignment="0" applyProtection="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166" fontId="31" fillId="0" borderId="0"/>
    <xf numFmtId="0" fontId="32" fillId="0" borderId="0"/>
    <xf numFmtId="9" fontId="32" fillId="0" borderId="0" applyFont="0" applyFill="0" applyBorder="0" applyAlignment="0" applyProtection="0"/>
    <xf numFmtId="0" fontId="61" fillId="0" borderId="0"/>
    <xf numFmtId="0" fontId="34" fillId="0" borderId="0"/>
    <xf numFmtId="0" fontId="65" fillId="24" borderId="0" applyNumberFormat="0" applyBorder="0" applyAlignment="0" applyProtection="0"/>
    <xf numFmtId="0" fontId="66" fillId="25" borderId="0" applyNumberFormat="0" applyBorder="0" applyAlignment="0" applyProtection="0"/>
    <xf numFmtId="0" fontId="30" fillId="0" borderId="0"/>
    <xf numFmtId="9" fontId="30" fillId="0" borderId="0" applyFont="0" applyFill="0" applyBorder="0" applyAlignment="0" applyProtection="0"/>
    <xf numFmtId="43" fontId="30" fillId="0" borderId="0" applyFont="0" applyFill="0" applyBorder="0" applyAlignment="0" applyProtection="0"/>
    <xf numFmtId="166" fontId="30" fillId="0" borderId="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166" fontId="30"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166" fontId="26"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166" fontId="26" fillId="0" borderId="0"/>
    <xf numFmtId="0" fontId="134" fillId="0" borderId="0"/>
    <xf numFmtId="43" fontId="138" fillId="0" borderId="0" applyFont="0" applyFill="0" applyBorder="0" applyAlignment="0" applyProtection="0"/>
    <xf numFmtId="9" fontId="135" fillId="0" borderId="0" applyFont="0" applyFill="0" applyBorder="0" applyAlignment="0" applyProtection="0"/>
    <xf numFmtId="9" fontId="138"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8" fillId="0" borderId="0" applyFont="0" applyFill="0" applyBorder="0" applyAlignment="0" applyProtection="0"/>
    <xf numFmtId="43" fontId="135" fillId="0" borderId="0" applyFont="0" applyFill="0" applyBorder="0" applyAlignment="0" applyProtection="0"/>
    <xf numFmtId="0" fontId="135" fillId="0" borderId="0"/>
    <xf numFmtId="166" fontId="135" fillId="0" borderId="0"/>
    <xf numFmtId="166" fontId="135" fillId="0" borderId="0"/>
    <xf numFmtId="0" fontId="65" fillId="46" borderId="0" applyNumberFormat="0" applyBorder="0" applyAlignment="0" applyProtection="0"/>
    <xf numFmtId="0" fontId="66" fillId="47" borderId="0" applyNumberFormat="0" applyBorder="0" applyAlignment="0" applyProtection="0"/>
    <xf numFmtId="43" fontId="136"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7" fillId="0" borderId="26" applyNumberFormat="0" applyFill="0" applyAlignment="0" applyProtection="0"/>
    <xf numFmtId="166" fontId="135" fillId="0" borderId="0"/>
    <xf numFmtId="166" fontId="135" fillId="0" borderId="0"/>
    <xf numFmtId="0" fontId="138" fillId="0" borderId="0"/>
    <xf numFmtId="166" fontId="135" fillId="0" borderId="0"/>
    <xf numFmtId="166"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9" fontId="135" fillId="0" borderId="0" applyFont="0" applyFill="0" applyBorder="0" applyAlignment="0" applyProtection="0"/>
    <xf numFmtId="9" fontId="138"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0" fontId="136" fillId="0" borderId="0"/>
    <xf numFmtId="0" fontId="15" fillId="57"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43" fontId="134" fillId="0" borderId="0" applyFont="0" applyFill="0" applyBorder="0" applyAlignment="0" applyProtection="0"/>
    <xf numFmtId="9" fontId="14" fillId="0" borderId="0" applyFont="0" applyFill="0" applyBorder="0" applyAlignment="0" applyProtection="0"/>
    <xf numFmtId="9" fontId="1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34" fillId="0" borderId="0" applyFont="0" applyFill="0" applyBorder="0" applyAlignment="0" applyProtection="0"/>
    <xf numFmtId="43" fontId="14" fillId="0" borderId="0" applyFont="0" applyFill="0" applyBorder="0" applyAlignment="0" applyProtection="0"/>
    <xf numFmtId="0" fontId="14" fillId="0" borderId="0"/>
    <xf numFmtId="166" fontId="14" fillId="0" borderId="0"/>
    <xf numFmtId="166"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66" fontId="14" fillId="0" borderId="0"/>
    <xf numFmtId="166" fontId="14" fillId="0" borderId="0"/>
    <xf numFmtId="0" fontId="13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3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57" borderId="0" applyNumberFormat="0" applyBorder="0" applyAlignment="0" applyProtection="0"/>
    <xf numFmtId="0" fontId="8" fillId="0" borderId="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cellStyleXfs>
  <cellXfs count="1164">
    <xf numFmtId="0" fontId="0" fillId="0" borderId="0" xfId="0"/>
    <xf numFmtId="0" fontId="38" fillId="2" borderId="1" xfId="0" applyFont="1" applyFill="1" applyBorder="1" applyAlignment="1">
      <alignment horizontal="left" vertical="center" readingOrder="1"/>
    </xf>
    <xf numFmtId="0" fontId="38" fillId="5" borderId="2" xfId="0" applyFont="1" applyFill="1" applyBorder="1" applyAlignment="1">
      <alignment horizontal="left" vertical="center" readingOrder="1"/>
    </xf>
    <xf numFmtId="0" fontId="38" fillId="8" borderId="2" xfId="0" applyFont="1" applyFill="1" applyBorder="1" applyAlignment="1">
      <alignment horizontal="left" vertical="center" readingOrder="1"/>
    </xf>
    <xf numFmtId="0" fontId="38" fillId="8" borderId="3" xfId="0" applyFont="1" applyFill="1" applyBorder="1" applyAlignment="1">
      <alignment horizontal="left" vertical="center" readingOrder="1"/>
    </xf>
    <xf numFmtId="0" fontId="38" fillId="9" borderId="2" xfId="0" applyFont="1" applyFill="1" applyBorder="1" applyAlignment="1">
      <alignment horizontal="left" vertical="center" readingOrder="1"/>
    </xf>
    <xf numFmtId="0" fontId="39" fillId="3" borderId="1" xfId="0" applyFont="1" applyFill="1" applyBorder="1" applyAlignment="1">
      <alignment horizontal="left" vertical="center" readingOrder="1"/>
    </xf>
    <xf numFmtId="0" fontId="39" fillId="4" borderId="2" xfId="0" applyFont="1" applyFill="1" applyBorder="1" applyAlignment="1">
      <alignment horizontal="left" vertical="center" readingOrder="1"/>
    </xf>
    <xf numFmtId="0" fontId="39" fillId="3" borderId="2" xfId="0" applyFont="1" applyFill="1" applyBorder="1" applyAlignment="1">
      <alignment horizontal="left" vertical="center" readingOrder="1"/>
    </xf>
    <xf numFmtId="0" fontId="39" fillId="3" borderId="3" xfId="0" applyFont="1" applyFill="1" applyBorder="1" applyAlignment="1">
      <alignment horizontal="left" vertical="center" readingOrder="1"/>
    </xf>
    <xf numFmtId="14" fontId="39" fillId="3" borderId="2" xfId="0" applyNumberFormat="1" applyFont="1" applyFill="1" applyBorder="1" applyAlignment="1">
      <alignment horizontal="left" vertical="center" readingOrder="1"/>
    </xf>
    <xf numFmtId="14" fontId="39" fillId="6" borderId="2" xfId="0" applyNumberFormat="1" applyFont="1" applyFill="1" applyBorder="1" applyAlignment="1">
      <alignment horizontal="left" vertical="center" readingOrder="1"/>
    </xf>
    <xf numFmtId="0" fontId="39" fillId="7" borderId="2" xfId="0" applyFont="1" applyFill="1" applyBorder="1" applyAlignment="1">
      <alignment horizontal="left" vertical="center" readingOrder="1"/>
    </xf>
    <xf numFmtId="0" fontId="42" fillId="7" borderId="2" xfId="0" applyFont="1" applyFill="1" applyBorder="1" applyAlignment="1">
      <alignment horizontal="left" vertical="top" wrapText="1" readingOrder="1"/>
    </xf>
    <xf numFmtId="14" fontId="42" fillId="6" borderId="1" xfId="0" applyNumberFormat="1" applyFont="1" applyFill="1" applyBorder="1" applyAlignment="1">
      <alignment horizontal="left" vertical="top" wrapText="1" readingOrder="1"/>
    </xf>
    <xf numFmtId="9" fontId="39" fillId="3" borderId="2" xfId="1" applyFont="1" applyFill="1" applyBorder="1" applyAlignment="1">
      <alignment horizontal="left" vertical="center" readingOrder="1"/>
    </xf>
    <xf numFmtId="9" fontId="39" fillId="6" borderId="1" xfId="1" applyFont="1" applyFill="1" applyBorder="1" applyAlignment="1">
      <alignment horizontal="left" vertical="top" wrapText="1" readingOrder="1"/>
    </xf>
    <xf numFmtId="0" fontId="47" fillId="0" borderId="0" xfId="0" applyFont="1"/>
    <xf numFmtId="0" fontId="45" fillId="0" borderId="0" xfId="0" applyFont="1"/>
    <xf numFmtId="0" fontId="50" fillId="0" borderId="0" xfId="0" applyFont="1" applyAlignment="1"/>
    <xf numFmtId="0" fontId="50" fillId="0" borderId="0" xfId="0" applyFont="1" applyFill="1" applyAlignment="1"/>
    <xf numFmtId="166" fontId="35" fillId="13" borderId="0" xfId="8" applyFill="1"/>
    <xf numFmtId="166" fontId="35" fillId="13" borderId="0" xfId="8" applyFill="1" applyAlignment="1">
      <alignment horizontal="center" vertical="center"/>
    </xf>
    <xf numFmtId="166" fontId="35" fillId="20" borderId="8" xfId="8" applyFill="1" applyBorder="1"/>
    <xf numFmtId="166" fontId="35" fillId="20" borderId="0" xfId="8" applyFill="1" applyBorder="1"/>
    <xf numFmtId="166" fontId="35" fillId="20" borderId="9" xfId="8" applyFill="1" applyBorder="1"/>
    <xf numFmtId="166" fontId="44" fillId="20" borderId="0" xfId="8" applyFont="1" applyFill="1" applyBorder="1"/>
    <xf numFmtId="166" fontId="35" fillId="20" borderId="10" xfId="8" applyFill="1" applyBorder="1"/>
    <xf numFmtId="166" fontId="35" fillId="20" borderId="11" xfId="8" applyFill="1" applyBorder="1"/>
    <xf numFmtId="166" fontId="35" fillId="20" borderId="12" xfId="8" applyFill="1" applyBorder="1"/>
    <xf numFmtId="0" fontId="39" fillId="0" borderId="0" xfId="0" applyFont="1" applyFill="1" applyBorder="1" applyAlignment="1">
      <alignment horizontal="left" vertical="center" readingOrder="1"/>
    </xf>
    <xf numFmtId="9" fontId="50" fillId="0" borderId="0" xfId="0" applyNumberFormat="1" applyFont="1" applyFill="1" applyAlignment="1"/>
    <xf numFmtId="9" fontId="50" fillId="0" borderId="0" xfId="1" applyFont="1" applyFill="1" applyAlignment="1"/>
    <xf numFmtId="1" fontId="50" fillId="0" borderId="0" xfId="0" applyNumberFormat="1" applyFont="1" applyFill="1" applyAlignment="1"/>
    <xf numFmtId="0" fontId="48" fillId="22" borderId="2" xfId="0" applyNumberFormat="1" applyFont="1" applyFill="1" applyBorder="1" applyAlignment="1">
      <alignment horizontal="left" vertical="center" readingOrder="1"/>
    </xf>
    <xf numFmtId="14" fontId="50" fillId="0" borderId="0" xfId="0" applyNumberFormat="1" applyFont="1" applyFill="1" applyAlignment="1"/>
    <xf numFmtId="0" fontId="50" fillId="0" borderId="0" xfId="0" applyFont="1" applyFill="1" applyAlignment="1">
      <alignment horizontal="left"/>
    </xf>
    <xf numFmtId="1" fontId="50" fillId="0" borderId="0" xfId="1" applyNumberFormat="1" applyFont="1" applyFill="1" applyAlignment="1"/>
    <xf numFmtId="1" fontId="50" fillId="0" borderId="0" xfId="0" applyNumberFormat="1" applyFont="1" applyFill="1" applyAlignment="1">
      <alignment horizontal="left"/>
    </xf>
    <xf numFmtId="0" fontId="48" fillId="22" borderId="13" xfId="0" applyNumberFormat="1" applyFont="1" applyFill="1" applyBorder="1" applyAlignment="1">
      <alignment horizontal="left" vertical="center" readingOrder="1"/>
    </xf>
    <xf numFmtId="0" fontId="39" fillId="3" borderId="0" xfId="0" applyFont="1" applyFill="1" applyBorder="1" applyAlignment="1">
      <alignment horizontal="left" vertical="center" readingOrder="1"/>
    </xf>
    <xf numFmtId="0" fontId="39" fillId="0" borderId="1" xfId="0" applyFont="1" applyFill="1" applyBorder="1" applyAlignment="1">
      <alignment horizontal="left" vertical="center" readingOrder="1"/>
    </xf>
    <xf numFmtId="14" fontId="39" fillId="3" borderId="18" xfId="0" applyNumberFormat="1" applyFont="1" applyFill="1" applyBorder="1" applyAlignment="1">
      <alignment horizontal="left" vertical="center" readingOrder="1"/>
    </xf>
    <xf numFmtId="0" fontId="47" fillId="0" borderId="0" xfId="0" applyNumberFormat="1" applyFont="1"/>
    <xf numFmtId="1" fontId="47" fillId="0" borderId="0" xfId="0" applyNumberFormat="1" applyFont="1"/>
    <xf numFmtId="0" fontId="47" fillId="0" borderId="0" xfId="0" applyFont="1" applyAlignment="1">
      <alignment wrapText="1" readingOrder="1"/>
    </xf>
    <xf numFmtId="0" fontId="39" fillId="7" borderId="0" xfId="0" applyFont="1" applyFill="1" applyBorder="1" applyAlignment="1">
      <alignment horizontal="left" vertical="center" readingOrder="1"/>
    </xf>
    <xf numFmtId="0" fontId="38" fillId="9" borderId="15" xfId="0" applyFont="1" applyFill="1" applyBorder="1" applyAlignment="1">
      <alignment horizontal="left" vertical="center" readingOrder="1"/>
    </xf>
    <xf numFmtId="0" fontId="39" fillId="7" borderId="15" xfId="0" applyFont="1" applyFill="1" applyBorder="1" applyAlignment="1">
      <alignment horizontal="left" vertical="center" readingOrder="1"/>
    </xf>
    <xf numFmtId="0" fontId="63" fillId="2" borderId="1" xfId="0" applyFont="1" applyFill="1" applyBorder="1" applyAlignment="1">
      <alignment horizontal="left" vertical="center" readingOrder="1"/>
    </xf>
    <xf numFmtId="14" fontId="64" fillId="6" borderId="2" xfId="0" applyNumberFormat="1" applyFont="1" applyFill="1" applyBorder="1" applyAlignment="1">
      <alignment horizontal="left" vertical="center" readingOrder="1"/>
    </xf>
    <xf numFmtId="14" fontId="63" fillId="6" borderId="1" xfId="0" applyNumberFormat="1" applyFont="1" applyFill="1" applyBorder="1" applyAlignment="1">
      <alignment horizontal="left" vertical="top" wrapText="1" readingOrder="1"/>
    </xf>
    <xf numFmtId="0" fontId="64" fillId="3" borderId="2" xfId="0" applyFont="1" applyFill="1" applyBorder="1" applyAlignment="1">
      <alignment horizontal="left" vertical="center" readingOrder="1"/>
    </xf>
    <xf numFmtId="0" fontId="64" fillId="7" borderId="2" xfId="0" applyFont="1" applyFill="1" applyBorder="1" applyAlignment="1">
      <alignment horizontal="left" vertical="center" readingOrder="1"/>
    </xf>
    <xf numFmtId="0" fontId="64" fillId="7" borderId="2" xfId="0" applyFont="1" applyFill="1" applyBorder="1" applyAlignment="1">
      <alignment horizontal="left" vertical="top" wrapText="1" readingOrder="1"/>
    </xf>
    <xf numFmtId="0" fontId="39" fillId="3" borderId="16" xfId="0" applyFont="1" applyFill="1" applyBorder="1" applyAlignment="1">
      <alignment horizontal="left" vertical="center" readingOrder="1"/>
    </xf>
    <xf numFmtId="0" fontId="42" fillId="7" borderId="15" xfId="0" applyFont="1" applyFill="1" applyBorder="1" applyAlignment="1">
      <alignment horizontal="left" vertical="top" wrapText="1" readingOrder="1"/>
    </xf>
    <xf numFmtId="0" fontId="39" fillId="3" borderId="15" xfId="0" applyFont="1" applyFill="1" applyBorder="1" applyAlignment="1">
      <alignment horizontal="left" vertical="center" readingOrder="1"/>
    </xf>
    <xf numFmtId="0" fontId="72" fillId="0" borderId="0" xfId="0" applyFont="1"/>
    <xf numFmtId="0" fontId="72" fillId="0" borderId="0" xfId="0" applyFont="1" applyAlignment="1">
      <alignment wrapText="1"/>
    </xf>
    <xf numFmtId="164" fontId="72" fillId="0" borderId="0" xfId="0" applyNumberFormat="1" applyFont="1"/>
    <xf numFmtId="0" fontId="45" fillId="0" borderId="21" xfId="0" applyFont="1" applyFill="1" applyBorder="1"/>
    <xf numFmtId="0" fontId="45" fillId="0" borderId="25" xfId="0" applyFont="1" applyFill="1" applyBorder="1"/>
    <xf numFmtId="0" fontId="45" fillId="0" borderId="23" xfId="0" applyFont="1" applyFill="1" applyBorder="1"/>
    <xf numFmtId="0" fontId="45" fillId="0" borderId="0" xfId="0" applyFont="1" applyBorder="1"/>
    <xf numFmtId="0" fontId="64" fillId="0" borderId="0" xfId="0" applyFont="1"/>
    <xf numFmtId="0" fontId="64" fillId="0" borderId="0" xfId="0" applyFont="1" applyAlignment="1"/>
    <xf numFmtId="0" fontId="47" fillId="0" borderId="0" xfId="0" applyNumberFormat="1" applyFont="1" applyAlignment="1">
      <alignment wrapText="1"/>
    </xf>
    <xf numFmtId="0" fontId="47" fillId="0" borderId="0" xfId="0" applyFont="1" applyFill="1"/>
    <xf numFmtId="14" fontId="54" fillId="16" borderId="0" xfId="0" applyNumberFormat="1" applyFont="1" applyFill="1" applyBorder="1" applyAlignment="1">
      <alignment horizontal="left"/>
    </xf>
    <xf numFmtId="9" fontId="76" fillId="23" borderId="0" xfId="0" applyNumberFormat="1" applyFont="1" applyFill="1" applyBorder="1" applyAlignment="1">
      <alignment vertical="center"/>
    </xf>
    <xf numFmtId="1" fontId="76" fillId="23" borderId="0" xfId="0" applyNumberFormat="1" applyFont="1" applyFill="1" applyBorder="1" applyAlignment="1">
      <alignment vertical="center"/>
    </xf>
    <xf numFmtId="0" fontId="73" fillId="0" borderId="29" xfId="0" applyFont="1" applyBorder="1" applyAlignment="1">
      <alignment horizontal="center" vertical="center"/>
    </xf>
    <xf numFmtId="0" fontId="79" fillId="0" borderId="30" xfId="0" applyFont="1" applyBorder="1" applyAlignment="1">
      <alignment horizontal="center" vertical="center" wrapText="1"/>
    </xf>
    <xf numFmtId="0" fontId="47" fillId="0" borderId="0" xfId="0" applyFont="1" applyFill="1" applyBorder="1" applyAlignment="1">
      <alignment horizontal="left"/>
    </xf>
    <xf numFmtId="0" fontId="78" fillId="8" borderId="22" xfId="0" applyFont="1" applyFill="1" applyBorder="1" applyAlignment="1">
      <alignment horizontal="center" vertical="center" wrapText="1"/>
    </xf>
    <xf numFmtId="0" fontId="78" fillId="36" borderId="22" xfId="0" applyFont="1" applyFill="1" applyBorder="1" applyAlignment="1">
      <alignment horizontal="center" vertical="center" wrapText="1"/>
    </xf>
    <xf numFmtId="0" fontId="0" fillId="0" borderId="22" xfId="0" applyBorder="1"/>
    <xf numFmtId="0" fontId="72" fillId="0" borderId="22" xfId="0" applyFont="1" applyBorder="1"/>
    <xf numFmtId="0" fontId="78" fillId="14" borderId="22" xfId="0" applyFont="1" applyFill="1" applyBorder="1" applyAlignment="1">
      <alignment horizontal="center" vertical="center" wrapText="1"/>
    </xf>
    <xf numFmtId="0" fontId="0" fillId="37" borderId="22" xfId="0" applyFill="1" applyBorder="1"/>
    <xf numFmtId="164" fontId="78" fillId="14" borderId="22" xfId="4" applyNumberFormat="1" applyFont="1" applyFill="1" applyBorder="1" applyAlignment="1">
      <alignment horizontal="right" vertical="center"/>
    </xf>
    <xf numFmtId="164" fontId="78" fillId="8" borderId="22" xfId="4" applyNumberFormat="1" applyFont="1" applyFill="1" applyBorder="1" applyAlignment="1">
      <alignment horizontal="right" vertical="center"/>
    </xf>
    <xf numFmtId="164" fontId="78" fillId="36" borderId="22" xfId="4" applyNumberFormat="1" applyFont="1" applyFill="1" applyBorder="1" applyAlignment="1">
      <alignment horizontal="right" vertical="center"/>
    </xf>
    <xf numFmtId="164" fontId="78" fillId="14" borderId="22" xfId="4" applyNumberFormat="1" applyFont="1" applyFill="1" applyBorder="1" applyAlignment="1">
      <alignment horizontal="center" vertical="center" wrapText="1"/>
    </xf>
    <xf numFmtId="164" fontId="78" fillId="36" borderId="22" xfId="4" applyNumberFormat="1" applyFont="1" applyFill="1" applyBorder="1" applyAlignment="1">
      <alignment horizontal="center" vertical="center" wrapText="1"/>
    </xf>
    <xf numFmtId="166" fontId="31" fillId="20" borderId="0" xfId="8" applyFont="1" applyFill="1" applyBorder="1"/>
    <xf numFmtId="0" fontId="72" fillId="0" borderId="0" xfId="0" applyFont="1" applyAlignment="1">
      <alignment horizontal="center" vertical="center" wrapText="1"/>
    </xf>
    <xf numFmtId="0" fontId="0" fillId="0" borderId="0" xfId="0" applyFill="1"/>
    <xf numFmtId="14" fontId="47" fillId="0" borderId="0" xfId="0" applyNumberFormat="1" applyFont="1"/>
    <xf numFmtId="165" fontId="47" fillId="0" borderId="0" xfId="0" applyNumberFormat="1" applyFont="1"/>
    <xf numFmtId="0" fontId="83" fillId="8" borderId="0" xfId="0" applyFont="1" applyFill="1"/>
    <xf numFmtId="0" fontId="83" fillId="38" borderId="0" xfId="0" applyFont="1" applyFill="1"/>
    <xf numFmtId="0" fontId="31" fillId="0" borderId="0" xfId="0" applyFont="1"/>
    <xf numFmtId="0" fontId="44" fillId="0" borderId="0" xfId="0" applyFont="1"/>
    <xf numFmtId="0" fontId="31" fillId="0" borderId="0" xfId="0" applyFont="1" applyAlignment="1">
      <alignment horizontal="left"/>
    </xf>
    <xf numFmtId="9" fontId="31" fillId="0" borderId="0" xfId="0" applyNumberFormat="1" applyFont="1"/>
    <xf numFmtId="0" fontId="31" fillId="0" borderId="0" xfId="0" applyNumberFormat="1" applyFont="1"/>
    <xf numFmtId="0" fontId="31" fillId="0" borderId="0" xfId="0" applyFont="1" applyAlignment="1">
      <alignment wrapText="1"/>
    </xf>
    <xf numFmtId="164" fontId="31" fillId="0" borderId="0" xfId="0" applyNumberFormat="1" applyFont="1"/>
    <xf numFmtId="0" fontId="85" fillId="0" borderId="0" xfId="0" applyFont="1"/>
    <xf numFmtId="0" fontId="84" fillId="14" borderId="0" xfId="0" applyFont="1" applyFill="1"/>
    <xf numFmtId="1" fontId="31" fillId="0" borderId="0" xfId="0" applyNumberFormat="1" applyFont="1"/>
    <xf numFmtId="0" fontId="31" fillId="0" borderId="0" xfId="0" applyFont="1" applyFill="1"/>
    <xf numFmtId="0" fontId="31" fillId="0" borderId="0" xfId="0" applyFont="1" applyFill="1" applyBorder="1" applyAlignment="1">
      <alignment horizontal="left"/>
    </xf>
    <xf numFmtId="0" fontId="31" fillId="0" borderId="0" xfId="0" applyNumberFormat="1" applyFont="1" applyFill="1" applyBorder="1"/>
    <xf numFmtId="9" fontId="31" fillId="0" borderId="0" xfId="0" applyNumberFormat="1" applyFont="1" applyFill="1"/>
    <xf numFmtId="0" fontId="31" fillId="0" borderId="0" xfId="0" applyNumberFormat="1" applyFont="1" applyFill="1"/>
    <xf numFmtId="0" fontId="31" fillId="17" borderId="27" xfId="0" applyFont="1" applyFill="1" applyBorder="1"/>
    <xf numFmtId="164" fontId="85" fillId="0" borderId="0" xfId="0" applyNumberFormat="1" applyFont="1"/>
    <xf numFmtId="0" fontId="31" fillId="19" borderId="0" xfId="0" applyFont="1" applyFill="1"/>
    <xf numFmtId="1" fontId="31" fillId="0" borderId="0" xfId="4" applyNumberFormat="1" applyFont="1"/>
    <xf numFmtId="0" fontId="31" fillId="34" borderId="0" xfId="0" applyFont="1" applyFill="1"/>
    <xf numFmtId="0" fontId="44" fillId="10" borderId="0" xfId="0" applyFont="1" applyFill="1"/>
    <xf numFmtId="0" fontId="86" fillId="0" borderId="37" xfId="0" applyFont="1" applyBorder="1" applyAlignment="1">
      <alignment horizontal="left"/>
    </xf>
    <xf numFmtId="0" fontId="86" fillId="0" borderId="34" xfId="0" applyFont="1" applyBorder="1" applyAlignment="1">
      <alignment horizontal="left"/>
    </xf>
    <xf numFmtId="0" fontId="83" fillId="8" borderId="0" xfId="0" applyFont="1" applyFill="1" applyAlignment="1">
      <alignment horizontal="left"/>
    </xf>
    <xf numFmtId="9" fontId="83" fillId="8" borderId="0" xfId="0" applyNumberFormat="1" applyFont="1" applyFill="1"/>
    <xf numFmtId="0" fontId="83" fillId="8" borderId="0" xfId="0" applyNumberFormat="1" applyFont="1" applyFill="1"/>
    <xf numFmtId="0" fontId="81" fillId="0" borderId="0" xfId="0" applyFont="1"/>
    <xf numFmtId="0" fontId="75" fillId="0" borderId="0" xfId="0" applyFont="1"/>
    <xf numFmtId="0" fontId="84" fillId="29" borderId="43" xfId="0" applyFont="1" applyFill="1" applyBorder="1" applyAlignment="1">
      <alignment horizontal="left" vertical="center" wrapText="1"/>
    </xf>
    <xf numFmtId="164" fontId="44" fillId="0" borderId="44" xfId="4" applyNumberFormat="1" applyFont="1" applyBorder="1"/>
    <xf numFmtId="164" fontId="44" fillId="0" borderId="45" xfId="4" applyNumberFormat="1" applyFont="1" applyBorder="1"/>
    <xf numFmtId="164" fontId="87" fillId="0" borderId="46" xfId="4" applyNumberFormat="1" applyFont="1" applyBorder="1" applyAlignment="1">
      <alignment horizontal="left" wrapText="1"/>
    </xf>
    <xf numFmtId="164" fontId="87" fillId="0" borderId="41" xfId="4" applyNumberFormat="1" applyFont="1" applyBorder="1" applyAlignment="1">
      <alignment horizontal="left" wrapText="1"/>
    </xf>
    <xf numFmtId="164" fontId="87" fillId="0" borderId="47" xfId="4" applyNumberFormat="1" applyFont="1" applyBorder="1" applyAlignment="1">
      <alignment horizontal="left" wrapText="1"/>
    </xf>
    <xf numFmtId="0" fontId="87" fillId="0" borderId="48" xfId="0" applyFont="1" applyBorder="1" applyAlignment="1">
      <alignment horizontal="left"/>
    </xf>
    <xf numFmtId="0" fontId="87" fillId="0" borderId="49" xfId="0" applyNumberFormat="1" applyFont="1" applyBorder="1"/>
    <xf numFmtId="0" fontId="87" fillId="0" borderId="50" xfId="0" applyNumberFormat="1" applyFont="1" applyBorder="1"/>
    <xf numFmtId="0" fontId="84" fillId="29" borderId="42" xfId="0" applyFont="1" applyFill="1" applyBorder="1"/>
    <xf numFmtId="0" fontId="87" fillId="0" borderId="0" xfId="0" applyFont="1" applyBorder="1" applyAlignment="1">
      <alignment horizontal="left"/>
    </xf>
    <xf numFmtId="0" fontId="87" fillId="0" borderId="0" xfId="0" applyNumberFormat="1" applyFont="1" applyBorder="1"/>
    <xf numFmtId="0" fontId="87" fillId="0" borderId="52" xfId="0" applyFont="1" applyBorder="1"/>
    <xf numFmtId="0" fontId="87" fillId="0" borderId="52" xfId="0" applyFont="1" applyBorder="1" applyAlignment="1">
      <alignment horizontal="left"/>
    </xf>
    <xf numFmtId="0" fontId="87" fillId="0" borderId="52" xfId="0" applyNumberFormat="1" applyFont="1" applyBorder="1"/>
    <xf numFmtId="0" fontId="31" fillId="0" borderId="51" xfId="0" applyFont="1" applyBorder="1" applyAlignment="1">
      <alignment horizontal="left"/>
    </xf>
    <xf numFmtId="0" fontId="31" fillId="0" borderId="51" xfId="0" applyNumberFormat="1" applyFont="1" applyBorder="1"/>
    <xf numFmtId="0" fontId="31" fillId="0" borderId="55" xfId="0" applyFont="1" applyBorder="1" applyAlignment="1">
      <alignment horizontal="left"/>
    </xf>
    <xf numFmtId="0" fontId="31" fillId="0" borderId="55" xfId="0" applyNumberFormat="1" applyFont="1" applyBorder="1"/>
    <xf numFmtId="0" fontId="31" fillId="0" borderId="56" xfId="0" applyNumberFormat="1" applyFont="1" applyBorder="1"/>
    <xf numFmtId="0" fontId="31" fillId="0" borderId="57" xfId="0" applyNumberFormat="1" applyFont="1" applyBorder="1"/>
    <xf numFmtId="0" fontId="88" fillId="39" borderId="53" xfId="0" applyFont="1" applyFill="1" applyBorder="1"/>
    <xf numFmtId="0" fontId="88" fillId="9" borderId="0" xfId="0" applyFont="1" applyFill="1"/>
    <xf numFmtId="0" fontId="84" fillId="32" borderId="0" xfId="0" applyFont="1" applyFill="1"/>
    <xf numFmtId="0" fontId="83" fillId="14" borderId="0" xfId="0" applyFont="1" applyFill="1"/>
    <xf numFmtId="0" fontId="83" fillId="9" borderId="0" xfId="0" applyFont="1" applyFill="1"/>
    <xf numFmtId="0" fontId="81" fillId="34" borderId="0" xfId="0" applyFont="1" applyFill="1"/>
    <xf numFmtId="0" fontId="83" fillId="32" borderId="0" xfId="0" applyFont="1" applyFill="1"/>
    <xf numFmtId="0" fontId="81" fillId="10" borderId="0" xfId="0" applyFont="1" applyFill="1"/>
    <xf numFmtId="0" fontId="90" fillId="0" borderId="0" xfId="0" applyFont="1"/>
    <xf numFmtId="0" fontId="31" fillId="31" borderId="0" xfId="0" applyFont="1" applyFill="1" applyBorder="1" applyAlignment="1">
      <alignment horizontal="left" vertical="center"/>
    </xf>
    <xf numFmtId="0" fontId="54" fillId="21" borderId="0" xfId="1" applyNumberFormat="1" applyFont="1" applyFill="1" applyBorder="1" applyAlignment="1">
      <alignment horizontal="center"/>
    </xf>
    <xf numFmtId="0" fontId="54" fillId="21" borderId="0" xfId="0" applyNumberFormat="1" applyFont="1" applyFill="1" applyBorder="1" applyAlignment="1">
      <alignment horizontal="center"/>
    </xf>
    <xf numFmtId="0" fontId="72" fillId="0" borderId="0" xfId="0" applyFont="1" applyFill="1"/>
    <xf numFmtId="0" fontId="91" fillId="26" borderId="58" xfId="0" applyFont="1" applyFill="1" applyBorder="1"/>
    <xf numFmtId="0" fontId="83" fillId="41" borderId="0" xfId="0" applyFont="1" applyFill="1" applyAlignment="1">
      <alignment vertical="center"/>
    </xf>
    <xf numFmtId="164" fontId="72" fillId="0" borderId="0" xfId="4" applyNumberFormat="1" applyFont="1"/>
    <xf numFmtId="0" fontId="94" fillId="0" borderId="0" xfId="0" applyFont="1"/>
    <xf numFmtId="164" fontId="78" fillId="8" borderId="22" xfId="4" applyNumberFormat="1" applyFont="1" applyFill="1" applyBorder="1" applyAlignment="1">
      <alignment horizontal="center" vertical="center" wrapText="1"/>
    </xf>
    <xf numFmtId="0" fontId="97" fillId="0" borderId="0" xfId="0" applyFont="1"/>
    <xf numFmtId="49" fontId="96" fillId="0" borderId="0" xfId="20" applyNumberFormat="1" applyFont="1" applyFill="1" applyBorder="1" applyAlignment="1">
      <alignment horizontal="left" vertical="center" wrapText="1"/>
    </xf>
    <xf numFmtId="0" fontId="94" fillId="0" borderId="25" xfId="0" applyFont="1" applyBorder="1"/>
    <xf numFmtId="0" fontId="94" fillId="31" borderId="25" xfId="0" applyFont="1" applyFill="1" applyBorder="1"/>
    <xf numFmtId="0" fontId="31" fillId="0" borderId="0" xfId="0" applyFont="1" applyFill="1" applyBorder="1" applyAlignment="1">
      <alignment horizontal="left" vertical="center"/>
    </xf>
    <xf numFmtId="0" fontId="45" fillId="0" borderId="0" xfId="21" applyFont="1" applyAlignment="1">
      <alignment horizontal="left" vertical="center"/>
    </xf>
    <xf numFmtId="0" fontId="67" fillId="26" borderId="62" xfId="21" applyFont="1" applyFill="1" applyBorder="1" applyAlignment="1">
      <alignment horizontal="center" vertical="center"/>
    </xf>
    <xf numFmtId="0" fontId="46" fillId="18" borderId="62" xfId="18" applyFont="1" applyFill="1" applyBorder="1" applyAlignment="1">
      <alignment horizontal="left" vertical="center" wrapText="1" readingOrder="1"/>
    </xf>
    <xf numFmtId="1" fontId="46" fillId="18" borderId="62" xfId="18" applyNumberFormat="1" applyFont="1" applyFill="1" applyBorder="1" applyAlignment="1">
      <alignment horizontal="left" vertical="center" wrapText="1" readingOrder="1"/>
    </xf>
    <xf numFmtId="9" fontId="46" fillId="18" borderId="62" xfId="18" applyNumberFormat="1" applyFont="1" applyFill="1" applyBorder="1" applyAlignment="1">
      <alignment horizontal="left" vertical="center" wrapText="1" readingOrder="1"/>
    </xf>
    <xf numFmtId="1" fontId="46" fillId="7" borderId="62" xfId="18" applyNumberFormat="1" applyFont="1" applyFill="1" applyBorder="1" applyAlignment="1">
      <alignment horizontal="left" vertical="center" wrapText="1" readingOrder="1"/>
    </xf>
    <xf numFmtId="0" fontId="34" fillId="0" borderId="0" xfId="21" applyAlignment="1">
      <alignment vertical="top" wrapText="1"/>
    </xf>
    <xf numFmtId="0" fontId="59" fillId="0" borderId="0" xfId="21" applyFont="1" applyAlignment="1">
      <alignment vertical="top" wrapText="1"/>
    </xf>
    <xf numFmtId="0" fontId="34" fillId="0" borderId="0" xfId="21" applyAlignment="1">
      <alignment wrapText="1"/>
    </xf>
    <xf numFmtId="0" fontId="40" fillId="12" borderId="4" xfId="21" applyFont="1" applyFill="1" applyBorder="1" applyAlignment="1">
      <alignment vertical="top" wrapText="1"/>
    </xf>
    <xf numFmtId="0" fontId="43" fillId="10" borderId="4" xfId="21" applyFont="1" applyFill="1" applyBorder="1" applyAlignment="1">
      <alignment horizontal="left" vertical="top" wrapText="1"/>
    </xf>
    <xf numFmtId="0" fontId="43" fillId="10" borderId="4" xfId="21" applyFont="1" applyFill="1" applyBorder="1" applyAlignment="1">
      <alignment horizontal="left" vertical="center" wrapText="1"/>
    </xf>
    <xf numFmtId="0" fontId="41" fillId="7" borderId="4" xfId="21" applyFont="1" applyFill="1" applyBorder="1" applyAlignment="1">
      <alignment vertical="top" wrapText="1"/>
    </xf>
    <xf numFmtId="0" fontId="41" fillId="11" borderId="4" xfId="21" applyFont="1" applyFill="1" applyBorder="1" applyAlignment="1">
      <alignment vertical="top" wrapText="1"/>
    </xf>
    <xf numFmtId="9" fontId="34" fillId="0" borderId="0" xfId="21" applyNumberFormat="1" applyAlignment="1">
      <alignment vertical="top" wrapText="1"/>
    </xf>
    <xf numFmtId="0" fontId="38" fillId="44" borderId="62" xfId="21" applyNumberFormat="1" applyFont="1" applyFill="1" applyBorder="1" applyAlignment="1">
      <alignment horizontal="center" vertical="center"/>
    </xf>
    <xf numFmtId="0" fontId="38" fillId="2" borderId="62" xfId="21" applyNumberFormat="1" applyFont="1" applyFill="1" applyBorder="1" applyAlignment="1">
      <alignment horizontal="center" vertical="center"/>
    </xf>
    <xf numFmtId="0" fontId="38" fillId="37" borderId="62" xfId="21" applyNumberFormat="1" applyFont="1" applyFill="1" applyBorder="1" applyAlignment="1">
      <alignment horizontal="center" vertical="center"/>
    </xf>
    <xf numFmtId="1" fontId="71" fillId="18" borderId="14" xfId="0" applyNumberFormat="1" applyFont="1" applyFill="1" applyBorder="1" applyAlignment="1">
      <alignment horizontal="left" vertical="top" wrapText="1" readingOrder="1"/>
    </xf>
    <xf numFmtId="0" fontId="38" fillId="38" borderId="62" xfId="21" applyNumberFormat="1" applyFont="1" applyFill="1" applyBorder="1" applyAlignment="1">
      <alignment horizontal="center" vertical="center"/>
    </xf>
    <xf numFmtId="0" fontId="71" fillId="27" borderId="62" xfId="21" applyNumberFormat="1" applyFont="1" applyFill="1" applyBorder="1" applyAlignment="1">
      <alignment horizontal="center" vertical="center" wrapText="1"/>
    </xf>
    <xf numFmtId="14" fontId="70" fillId="12" borderId="62" xfId="18" applyNumberFormat="1" applyFont="1" applyFill="1" applyBorder="1" applyAlignment="1">
      <alignment horizontal="center" vertical="center" wrapText="1"/>
    </xf>
    <xf numFmtId="14" fontId="70" fillId="22" borderId="62" xfId="18" applyNumberFormat="1" applyFont="1" applyFill="1" applyBorder="1" applyAlignment="1">
      <alignment horizontal="center" vertical="center" wrapText="1"/>
    </xf>
    <xf numFmtId="1" fontId="69" fillId="7" borderId="62" xfId="18" applyNumberFormat="1" applyFont="1" applyFill="1" applyBorder="1" applyAlignment="1">
      <alignment horizontal="center" vertical="center" wrapText="1"/>
    </xf>
    <xf numFmtId="0" fontId="69" fillId="7" borderId="62" xfId="18" applyFont="1" applyFill="1" applyBorder="1" applyAlignment="1">
      <alignment horizontal="center" vertical="center" wrapText="1"/>
    </xf>
    <xf numFmtId="0" fontId="69" fillId="7" borderId="0" xfId="18" applyFont="1" applyFill="1" applyBorder="1" applyAlignment="1">
      <alignment horizontal="center" vertical="center" wrapText="1"/>
    </xf>
    <xf numFmtId="0" fontId="38" fillId="9" borderId="62" xfId="21" applyNumberFormat="1" applyFont="1" applyFill="1" applyBorder="1" applyAlignment="1">
      <alignment horizontal="center" vertical="center"/>
    </xf>
    <xf numFmtId="14" fontId="39" fillId="17" borderId="62" xfId="18" applyNumberFormat="1" applyFont="1" applyFill="1" applyBorder="1" applyAlignment="1">
      <alignment horizontal="center" vertical="center" wrapText="1" readingOrder="1"/>
    </xf>
    <xf numFmtId="1" fontId="69" fillId="7" borderId="62" xfId="19" applyNumberFormat="1" applyFont="1" applyFill="1" applyBorder="1" applyAlignment="1">
      <alignment horizontal="center" vertical="center" wrapText="1"/>
    </xf>
    <xf numFmtId="1" fontId="71" fillId="7" borderId="62" xfId="18" applyNumberFormat="1" applyFont="1" applyFill="1" applyBorder="1" applyAlignment="1">
      <alignment horizontal="center" vertical="center" wrapText="1"/>
    </xf>
    <xf numFmtId="14" fontId="70" fillId="7" borderId="62" xfId="18" applyNumberFormat="1" applyFont="1" applyFill="1" applyBorder="1" applyAlignment="1">
      <alignment horizontal="center" vertical="center" wrapText="1"/>
    </xf>
    <xf numFmtId="0" fontId="70" fillId="7" borderId="62" xfId="18" applyFont="1" applyFill="1" applyBorder="1" applyAlignment="1">
      <alignment horizontal="center" vertical="center" wrapText="1"/>
    </xf>
    <xf numFmtId="0" fontId="54" fillId="14" borderId="0" xfId="0" applyFont="1" applyFill="1" applyBorder="1" applyAlignment="1"/>
    <xf numFmtId="1" fontId="54" fillId="8" borderId="0" xfId="0" applyNumberFormat="1" applyFont="1" applyFill="1" applyBorder="1" applyAlignment="1"/>
    <xf numFmtId="0" fontId="38" fillId="9" borderId="66" xfId="21" applyNumberFormat="1" applyFont="1" applyFill="1" applyBorder="1" applyAlignment="1">
      <alignment horizontal="center" vertical="center"/>
    </xf>
    <xf numFmtId="0" fontId="38" fillId="14" borderId="65" xfId="21" applyNumberFormat="1" applyFont="1" applyFill="1" applyBorder="1" applyAlignment="1">
      <alignment horizontal="center" vertical="center"/>
    </xf>
    <xf numFmtId="0" fontId="103" fillId="37" borderId="62" xfId="21" applyNumberFormat="1" applyFont="1" applyFill="1" applyBorder="1" applyAlignment="1">
      <alignment horizontal="left" vertical="center"/>
    </xf>
    <xf numFmtId="0" fontId="38" fillId="6" borderId="62" xfId="21" applyNumberFormat="1" applyFont="1" applyFill="1" applyBorder="1" applyAlignment="1">
      <alignment horizontal="center" vertical="center"/>
    </xf>
    <xf numFmtId="0" fontId="103" fillId="6" borderId="62" xfId="21" applyNumberFormat="1" applyFont="1" applyFill="1" applyBorder="1" applyAlignment="1">
      <alignment horizontal="left" vertical="center"/>
    </xf>
    <xf numFmtId="14" fontId="70" fillId="17" borderId="14" xfId="0" applyNumberFormat="1" applyFont="1" applyFill="1" applyBorder="1" applyAlignment="1">
      <alignment horizontal="left" vertical="top" wrapText="1" readingOrder="1"/>
    </xf>
    <xf numFmtId="0" fontId="71" fillId="18" borderId="14" xfId="0" applyFont="1" applyFill="1" applyBorder="1" applyAlignment="1">
      <alignment horizontal="left" vertical="top" wrapText="1" readingOrder="1"/>
    </xf>
    <xf numFmtId="0" fontId="71" fillId="22" borderId="19" xfId="0" applyNumberFormat="1" applyFont="1" applyFill="1" applyBorder="1" applyAlignment="1">
      <alignment horizontal="left" vertical="top" wrapText="1" readingOrder="1"/>
    </xf>
    <xf numFmtId="0" fontId="71" fillId="22" borderId="20" xfId="0" applyNumberFormat="1" applyFont="1" applyFill="1" applyBorder="1" applyAlignment="1">
      <alignment horizontal="left" vertical="top" wrapText="1" readingOrder="1"/>
    </xf>
    <xf numFmtId="0" fontId="71" fillId="22" borderId="2" xfId="0" applyNumberFormat="1" applyFont="1" applyFill="1" applyBorder="1" applyAlignment="1">
      <alignment horizontal="left" vertical="center" wrapText="1" readingOrder="1"/>
    </xf>
    <xf numFmtId="0" fontId="69" fillId="0" borderId="0" xfId="0" applyFont="1" applyAlignment="1">
      <alignment vertical="top" wrapText="1"/>
    </xf>
    <xf numFmtId="0" fontId="104" fillId="18" borderId="62" xfId="18" applyFont="1" applyFill="1" applyBorder="1" applyAlignment="1">
      <alignment horizontal="left" vertical="center" wrapText="1" readingOrder="1"/>
    </xf>
    <xf numFmtId="1" fontId="104" fillId="18" borderId="62" xfId="18" applyNumberFormat="1" applyFont="1" applyFill="1" applyBorder="1" applyAlignment="1">
      <alignment horizontal="left" vertical="center" wrapText="1" readingOrder="1"/>
    </xf>
    <xf numFmtId="0" fontId="105" fillId="18" borderId="62" xfId="18" applyFont="1" applyFill="1" applyBorder="1" applyAlignment="1">
      <alignment horizontal="left" vertical="center" wrapText="1" readingOrder="1"/>
    </xf>
    <xf numFmtId="0" fontId="104" fillId="18" borderId="62" xfId="18" applyFont="1" applyFill="1" applyBorder="1" applyAlignment="1">
      <alignment horizontal="left" vertical="center" wrapText="1"/>
    </xf>
    <xf numFmtId="1" fontId="105" fillId="18" borderId="62" xfId="18" applyNumberFormat="1" applyFont="1" applyFill="1" applyBorder="1" applyAlignment="1">
      <alignment horizontal="left" vertical="center" wrapText="1" readingOrder="1"/>
    </xf>
    <xf numFmtId="1" fontId="105" fillId="7" borderId="62" xfId="18" applyNumberFormat="1" applyFont="1" applyFill="1" applyBorder="1" applyAlignment="1">
      <alignment horizontal="left" vertical="center" wrapText="1" readingOrder="1"/>
    </xf>
    <xf numFmtId="0" fontId="104" fillId="28" borderId="62" xfId="18" applyFont="1" applyFill="1" applyBorder="1" applyAlignment="1">
      <alignment horizontal="left" vertical="center" wrapText="1"/>
    </xf>
    <xf numFmtId="14" fontId="105" fillId="7" borderId="62" xfId="18" applyNumberFormat="1" applyFont="1" applyFill="1" applyBorder="1" applyAlignment="1">
      <alignment horizontal="left" vertical="center" wrapText="1" readingOrder="1"/>
    </xf>
    <xf numFmtId="0" fontId="105" fillId="11" borderId="62" xfId="19" applyNumberFormat="1" applyFont="1" applyFill="1" applyBorder="1" applyAlignment="1">
      <alignment horizontal="left" vertical="center" wrapText="1" readingOrder="1"/>
    </xf>
    <xf numFmtId="1" fontId="105" fillId="11" borderId="62" xfId="18" applyNumberFormat="1" applyFont="1" applyFill="1" applyBorder="1" applyAlignment="1">
      <alignment horizontal="left" vertical="center" wrapText="1" readingOrder="1"/>
    </xf>
    <xf numFmtId="0" fontId="104" fillId="30" borderId="62" xfId="19" applyNumberFormat="1" applyFont="1" applyFill="1" applyBorder="1" applyAlignment="1">
      <alignment horizontal="left" vertical="center" wrapText="1" readingOrder="1"/>
    </xf>
    <xf numFmtId="14" fontId="105" fillId="17" borderId="62" xfId="18" applyNumberFormat="1" applyFont="1" applyFill="1" applyBorder="1" applyAlignment="1">
      <alignment horizontal="left" vertical="center" wrapText="1" readingOrder="1"/>
    </xf>
    <xf numFmtId="0" fontId="107" fillId="16" borderId="62" xfId="18" applyFont="1" applyFill="1" applyBorder="1" applyAlignment="1">
      <alignment horizontal="center" vertical="center" wrapText="1"/>
    </xf>
    <xf numFmtId="0" fontId="110" fillId="22" borderId="13" xfId="0" applyNumberFormat="1" applyFont="1" applyFill="1" applyBorder="1" applyAlignment="1">
      <alignment horizontal="left" vertical="center" wrapText="1" readingOrder="1"/>
    </xf>
    <xf numFmtId="0" fontId="110" fillId="22" borderId="2" xfId="0" applyNumberFormat="1" applyFont="1" applyFill="1" applyBorder="1" applyAlignment="1">
      <alignment horizontal="left" vertical="center" wrapText="1" readingOrder="1"/>
    </xf>
    <xf numFmtId="0" fontId="108" fillId="0" borderId="0" xfId="0" applyFont="1" applyAlignment="1"/>
    <xf numFmtId="14" fontId="46" fillId="18" borderId="62" xfId="18" applyNumberFormat="1" applyFont="1" applyFill="1" applyBorder="1" applyAlignment="1">
      <alignment horizontal="left" vertical="center" wrapText="1" readingOrder="1"/>
    </xf>
    <xf numFmtId="0" fontId="46" fillId="10" borderId="62" xfId="18" applyFont="1" applyFill="1" applyBorder="1" applyAlignment="1">
      <alignment horizontal="left" vertical="center" wrapText="1"/>
    </xf>
    <xf numFmtId="14" fontId="104" fillId="18" borderId="62" xfId="18" applyNumberFormat="1" applyFont="1" applyFill="1" applyBorder="1" applyAlignment="1">
      <alignment horizontal="left" vertical="center" wrapText="1" readingOrder="1"/>
    </xf>
    <xf numFmtId="9" fontId="46" fillId="11" borderId="62" xfId="18" applyNumberFormat="1" applyFont="1" applyFill="1" applyBorder="1" applyAlignment="1">
      <alignment horizontal="left" vertical="center" wrapText="1" readingOrder="1"/>
    </xf>
    <xf numFmtId="1" fontId="46" fillId="18" borderId="62" xfId="19" applyNumberFormat="1" applyFont="1" applyFill="1" applyBorder="1" applyAlignment="1">
      <alignment horizontal="left" vertical="center" wrapText="1" readingOrder="1"/>
    </xf>
    <xf numFmtId="0" fontId="111" fillId="22" borderId="13" xfId="0" applyNumberFormat="1" applyFont="1" applyFill="1" applyBorder="1" applyAlignment="1">
      <alignment horizontal="left" vertical="center" wrapText="1" readingOrder="1"/>
    </xf>
    <xf numFmtId="0" fontId="111" fillId="22" borderId="2" xfId="0" applyNumberFormat="1" applyFont="1" applyFill="1" applyBorder="1" applyAlignment="1">
      <alignment horizontal="left" vertical="center" wrapText="1" readingOrder="1"/>
    </xf>
    <xf numFmtId="0" fontId="118" fillId="0" borderId="0" xfId="0" applyFont="1" applyAlignment="1"/>
    <xf numFmtId="0" fontId="38" fillId="2" borderId="62" xfId="21" applyNumberFormat="1" applyFont="1" applyFill="1" applyBorder="1" applyAlignment="1">
      <alignment horizontal="center" vertical="center" wrapText="1"/>
    </xf>
    <xf numFmtId="0" fontId="38" fillId="6" borderId="62" xfId="21" applyNumberFormat="1" applyFont="1" applyFill="1" applyBorder="1" applyAlignment="1">
      <alignment horizontal="center" vertical="center" wrapText="1"/>
    </xf>
    <xf numFmtId="0" fontId="38" fillId="37" borderId="62" xfId="21" applyNumberFormat="1" applyFont="1" applyFill="1" applyBorder="1" applyAlignment="1">
      <alignment horizontal="center" vertical="center" wrapText="1"/>
    </xf>
    <xf numFmtId="0" fontId="38" fillId="44" borderId="62" xfId="21" applyNumberFormat="1" applyFont="1" applyFill="1" applyBorder="1" applyAlignment="1">
      <alignment horizontal="center" vertical="center" wrapText="1"/>
    </xf>
    <xf numFmtId="0" fontId="38" fillId="14" borderId="65" xfId="21" applyNumberFormat="1" applyFont="1" applyFill="1" applyBorder="1" applyAlignment="1">
      <alignment horizontal="center" vertical="center" wrapText="1"/>
    </xf>
    <xf numFmtId="0" fontId="38" fillId="38" borderId="62" xfId="21" applyNumberFormat="1" applyFont="1" applyFill="1" applyBorder="1" applyAlignment="1">
      <alignment horizontal="center" vertical="center" wrapText="1"/>
    </xf>
    <xf numFmtId="0" fontId="38" fillId="9" borderId="62" xfId="21" applyNumberFormat="1" applyFont="1" applyFill="1" applyBorder="1" applyAlignment="1">
      <alignment horizontal="center" vertical="center" wrapText="1"/>
    </xf>
    <xf numFmtId="0" fontId="48" fillId="22" borderId="13" xfId="0" applyNumberFormat="1" applyFont="1" applyFill="1" applyBorder="1" applyAlignment="1">
      <alignment horizontal="left" vertical="center" wrapText="1" readingOrder="1"/>
    </xf>
    <xf numFmtId="0" fontId="48" fillId="22" borderId="2" xfId="0" applyNumberFormat="1" applyFont="1" applyFill="1" applyBorder="1" applyAlignment="1">
      <alignment horizontal="left" vertical="center" wrapText="1" readingOrder="1"/>
    </xf>
    <xf numFmtId="0" fontId="50" fillId="0" borderId="0" xfId="0" applyFont="1" applyAlignment="1">
      <alignment wrapText="1"/>
    </xf>
    <xf numFmtId="0" fontId="120" fillId="0" borderId="0" xfId="18" applyFont="1" applyAlignment="1">
      <alignment horizontal="left" vertical="center"/>
    </xf>
    <xf numFmtId="0" fontId="46" fillId="0" borderId="0" xfId="21" applyFont="1" applyAlignment="1">
      <alignment horizontal="left" vertical="center"/>
    </xf>
    <xf numFmtId="0" fontId="48" fillId="16" borderId="62" xfId="21" applyFont="1" applyFill="1" applyBorder="1" applyAlignment="1">
      <alignment horizontal="center" vertical="center" wrapText="1"/>
    </xf>
    <xf numFmtId="0" fontId="48" fillId="16" borderId="62" xfId="18" applyFont="1" applyFill="1" applyBorder="1" applyAlignment="1">
      <alignment horizontal="center" vertical="center" wrapText="1"/>
    </xf>
    <xf numFmtId="0" fontId="120" fillId="0" borderId="0" xfId="18" applyFont="1" applyAlignment="1">
      <alignment horizontal="center" vertical="center"/>
    </xf>
    <xf numFmtId="14" fontId="46" fillId="17" borderId="62" xfId="18" applyNumberFormat="1" applyFont="1" applyFill="1" applyBorder="1" applyAlignment="1">
      <alignment horizontal="left" vertical="center" wrapText="1" readingOrder="1"/>
    </xf>
    <xf numFmtId="1" fontId="46" fillId="18" borderId="65" xfId="19" applyNumberFormat="1" applyFont="1" applyFill="1" applyBorder="1" applyAlignment="1">
      <alignment horizontal="left" vertical="center" wrapText="1" readingOrder="1"/>
    </xf>
    <xf numFmtId="0" fontId="46" fillId="18" borderId="65" xfId="18" applyFont="1" applyFill="1" applyBorder="1" applyAlignment="1">
      <alignment horizontal="left" vertical="center" wrapText="1" readingOrder="1"/>
    </xf>
    <xf numFmtId="1" fontId="46" fillId="18" borderId="65" xfId="18" applyNumberFormat="1" applyFont="1" applyFill="1" applyBorder="1" applyAlignment="1">
      <alignment horizontal="left" vertical="center" wrapText="1" readingOrder="1"/>
    </xf>
    <xf numFmtId="0" fontId="46" fillId="10" borderId="65" xfId="18" applyFont="1" applyFill="1" applyBorder="1" applyAlignment="1">
      <alignment horizontal="left" vertical="center" wrapText="1"/>
    </xf>
    <xf numFmtId="0" fontId="46" fillId="28" borderId="62" xfId="18" applyFont="1" applyFill="1" applyBorder="1" applyAlignment="1">
      <alignment horizontal="left" vertical="center" wrapText="1"/>
    </xf>
    <xf numFmtId="1" fontId="46" fillId="7" borderId="62" xfId="19" applyNumberFormat="1" applyFont="1" applyFill="1" applyBorder="1" applyAlignment="1">
      <alignment horizontal="left" vertical="center" wrapText="1" readingOrder="1"/>
    </xf>
    <xf numFmtId="14" fontId="46" fillId="7" borderId="62" xfId="18" applyNumberFormat="1" applyFont="1" applyFill="1" applyBorder="1" applyAlignment="1">
      <alignment horizontal="left" vertical="center" wrapText="1"/>
    </xf>
    <xf numFmtId="14" fontId="46" fillId="7" borderId="62" xfId="18" applyNumberFormat="1" applyFont="1" applyFill="1" applyBorder="1" applyAlignment="1">
      <alignment horizontal="left" vertical="center" wrapText="1" readingOrder="1"/>
    </xf>
    <xf numFmtId="0" fontId="46" fillId="7" borderId="62" xfId="18" applyFont="1" applyFill="1" applyBorder="1" applyAlignment="1">
      <alignment horizontal="left" vertical="center" wrapText="1"/>
    </xf>
    <xf numFmtId="0" fontId="46" fillId="7" borderId="62" xfId="18" applyFont="1" applyFill="1" applyBorder="1" applyAlignment="1">
      <alignment horizontal="left" vertical="center" wrapText="1" readingOrder="1"/>
    </xf>
    <xf numFmtId="0" fontId="46" fillId="11" borderId="62" xfId="19" applyNumberFormat="1" applyFont="1" applyFill="1" applyBorder="1" applyAlignment="1">
      <alignment horizontal="left" vertical="center" wrapText="1" readingOrder="1"/>
    </xf>
    <xf numFmtId="0" fontId="46" fillId="30" borderId="62" xfId="19" applyNumberFormat="1" applyFont="1" applyFill="1" applyBorder="1" applyAlignment="1">
      <alignment horizontal="left" vertical="center" wrapText="1" readingOrder="1"/>
    </xf>
    <xf numFmtId="1" fontId="46" fillId="11" borderId="62" xfId="18" applyNumberFormat="1" applyFont="1" applyFill="1" applyBorder="1" applyAlignment="1">
      <alignment horizontal="left" vertical="center" wrapText="1" readingOrder="1"/>
    </xf>
    <xf numFmtId="0" fontId="46" fillId="30" borderId="62" xfId="18" applyFont="1" applyFill="1" applyBorder="1" applyAlignment="1">
      <alignment horizontal="left" vertical="center" wrapText="1"/>
    </xf>
    <xf numFmtId="9" fontId="46" fillId="11" borderId="65" xfId="18" applyNumberFormat="1" applyFont="1" applyFill="1" applyBorder="1" applyAlignment="1">
      <alignment horizontal="left" vertical="center" wrapText="1" readingOrder="1"/>
    </xf>
    <xf numFmtId="0" fontId="46" fillId="30" borderId="65" xfId="18" applyFont="1" applyFill="1" applyBorder="1" applyAlignment="1">
      <alignment horizontal="left" vertical="center" wrapText="1"/>
    </xf>
    <xf numFmtId="0" fontId="71" fillId="0" borderId="0" xfId="18" applyFont="1" applyAlignment="1">
      <alignment horizontal="left" vertical="center"/>
    </xf>
    <xf numFmtId="0" fontId="46" fillId="0" borderId="0" xfId="18" applyFont="1" applyAlignment="1">
      <alignment horizontal="left" vertical="center"/>
    </xf>
    <xf numFmtId="0" fontId="122" fillId="0" borderId="0" xfId="18" applyFont="1" applyAlignment="1">
      <alignment horizontal="left" vertical="center"/>
    </xf>
    <xf numFmtId="0" fontId="122" fillId="0" borderId="0" xfId="18" applyFont="1" applyAlignment="1">
      <alignment horizontal="center" vertical="center"/>
    </xf>
    <xf numFmtId="0" fontId="106" fillId="0" borderId="0" xfId="18" applyFont="1" applyAlignment="1">
      <alignment horizontal="left" vertical="center"/>
    </xf>
    <xf numFmtId="0" fontId="104" fillId="0" borderId="0" xfId="18" applyFont="1" applyAlignment="1">
      <alignment horizontal="left" vertical="center"/>
    </xf>
    <xf numFmtId="0" fontId="105" fillId="0" borderId="0" xfId="18" applyFont="1" applyAlignment="1">
      <alignment horizontal="left" vertical="center"/>
    </xf>
    <xf numFmtId="0" fontId="38" fillId="9" borderId="0" xfId="21" applyNumberFormat="1" applyFont="1" applyFill="1" applyBorder="1" applyAlignment="1">
      <alignment horizontal="center" vertical="center"/>
    </xf>
    <xf numFmtId="14" fontId="39" fillId="17" borderId="62" xfId="18" applyNumberFormat="1" applyFont="1" applyFill="1" applyBorder="1" applyAlignment="1">
      <alignment horizontal="center" vertical="center" wrapText="1"/>
    </xf>
    <xf numFmtId="14" fontId="39" fillId="7" borderId="62" xfId="18" applyNumberFormat="1" applyFont="1" applyFill="1" applyBorder="1" applyAlignment="1">
      <alignment horizontal="center" vertical="center" wrapText="1"/>
    </xf>
    <xf numFmtId="14" fontId="39" fillId="27" borderId="62" xfId="18" applyNumberFormat="1" applyFont="1" applyFill="1" applyBorder="1" applyAlignment="1">
      <alignment horizontal="center" vertical="center" wrapText="1"/>
    </xf>
    <xf numFmtId="14" fontId="39" fillId="22" borderId="62" xfId="18" applyNumberFormat="1" applyFont="1" applyFill="1" applyBorder="1" applyAlignment="1">
      <alignment horizontal="center" vertical="center" wrapText="1"/>
    </xf>
    <xf numFmtId="14" fontId="39" fillId="17" borderId="67" xfId="18" applyNumberFormat="1" applyFont="1" applyFill="1" applyBorder="1" applyAlignment="1">
      <alignment horizontal="center" vertical="center" wrapText="1"/>
    </xf>
    <xf numFmtId="0" fontId="38" fillId="9" borderId="67" xfId="21" applyNumberFormat="1" applyFont="1" applyFill="1" applyBorder="1" applyAlignment="1">
      <alignment horizontal="center" vertical="center" wrapText="1"/>
    </xf>
    <xf numFmtId="1" fontId="102" fillId="18" borderId="0" xfId="0" applyNumberFormat="1" applyFont="1" applyFill="1" applyBorder="1" applyAlignment="1">
      <alignment vertical="top" wrapText="1"/>
    </xf>
    <xf numFmtId="0" fontId="102" fillId="18" borderId="68" xfId="0" applyFont="1" applyFill="1" applyBorder="1" applyAlignment="1">
      <alignment vertical="top" wrapText="1"/>
    </xf>
    <xf numFmtId="0" fontId="102" fillId="18" borderId="69" xfId="0" applyFont="1" applyFill="1" applyBorder="1" applyAlignment="1">
      <alignment vertical="top" wrapText="1"/>
    </xf>
    <xf numFmtId="1" fontId="112" fillId="18" borderId="72" xfId="0" applyNumberFormat="1" applyFont="1" applyFill="1" applyBorder="1" applyAlignment="1">
      <alignment vertical="top" wrapText="1"/>
    </xf>
    <xf numFmtId="0" fontId="112" fillId="18" borderId="72" xfId="0" applyFont="1" applyFill="1" applyBorder="1" applyAlignment="1">
      <alignment vertical="top" wrapText="1"/>
    </xf>
    <xf numFmtId="0" fontId="124" fillId="5" borderId="72" xfId="0" applyFont="1" applyFill="1" applyBorder="1" applyAlignment="1">
      <alignment horizontal="center" vertical="center" wrapText="1"/>
    </xf>
    <xf numFmtId="1" fontId="112" fillId="18" borderId="73" xfId="0" applyNumberFormat="1" applyFont="1" applyFill="1" applyBorder="1" applyAlignment="1">
      <alignment vertical="top" wrapText="1"/>
    </xf>
    <xf numFmtId="0" fontId="124" fillId="5" borderId="73" xfId="0" applyFont="1" applyFill="1" applyBorder="1" applyAlignment="1">
      <alignment horizontal="center" vertical="center" wrapText="1"/>
    </xf>
    <xf numFmtId="0" fontId="112" fillId="18" borderId="74" xfId="0" applyFont="1" applyFill="1" applyBorder="1" applyAlignment="1">
      <alignment vertical="top" wrapText="1"/>
    </xf>
    <xf numFmtId="1" fontId="112" fillId="18" borderId="75" xfId="0" applyNumberFormat="1" applyFont="1" applyFill="1" applyBorder="1" applyAlignment="1">
      <alignment vertical="top" wrapText="1"/>
    </xf>
    <xf numFmtId="0" fontId="102" fillId="18" borderId="76" xfId="0" applyFont="1" applyFill="1" applyBorder="1" applyAlignment="1">
      <alignment vertical="top" wrapText="1"/>
    </xf>
    <xf numFmtId="0" fontId="102" fillId="18" borderId="77" xfId="0" applyFont="1" applyFill="1" applyBorder="1" applyAlignment="1">
      <alignment vertical="top" wrapText="1"/>
    </xf>
    <xf numFmtId="1" fontId="102" fillId="18" borderId="78" xfId="0" applyNumberFormat="1" applyFont="1" applyFill="1" applyBorder="1" applyAlignment="1">
      <alignment vertical="top" wrapText="1"/>
    </xf>
    <xf numFmtId="0" fontId="124" fillId="5" borderId="79" xfId="0" applyFont="1" applyFill="1" applyBorder="1" applyAlignment="1">
      <alignment horizontal="center" vertical="center" wrapText="1"/>
    </xf>
    <xf numFmtId="0" fontId="102" fillId="18" borderId="70" xfId="0" applyFont="1" applyFill="1" applyBorder="1" applyAlignment="1">
      <alignment vertical="top" wrapText="1"/>
    </xf>
    <xf numFmtId="1" fontId="112" fillId="18" borderId="79" xfId="0" applyNumberFormat="1" applyFont="1" applyFill="1" applyBorder="1" applyAlignment="1">
      <alignment vertical="top" wrapText="1"/>
    </xf>
    <xf numFmtId="1" fontId="125" fillId="18" borderId="72" xfId="0" applyNumberFormat="1" applyFont="1" applyFill="1" applyBorder="1" applyAlignment="1">
      <alignment vertical="top" wrapText="1"/>
    </xf>
    <xf numFmtId="1" fontId="125" fillId="18" borderId="79" xfId="0" applyNumberFormat="1" applyFont="1" applyFill="1" applyBorder="1" applyAlignment="1">
      <alignment vertical="top" wrapText="1"/>
    </xf>
    <xf numFmtId="1" fontId="102" fillId="5" borderId="71" xfId="0" applyNumberFormat="1" applyFont="1" applyFill="1" applyBorder="1" applyAlignment="1">
      <alignment vertical="top" wrapText="1"/>
    </xf>
    <xf numFmtId="0" fontId="49" fillId="5" borderId="72" xfId="0" applyFont="1" applyFill="1" applyBorder="1" applyAlignment="1">
      <alignment vertical="center" wrapText="1"/>
    </xf>
    <xf numFmtId="0" fontId="102" fillId="18" borderId="72" xfId="0" applyFont="1" applyFill="1" applyBorder="1" applyAlignment="1">
      <alignment vertical="top" wrapText="1"/>
    </xf>
    <xf numFmtId="9" fontId="102" fillId="18" borderId="72" xfId="0" applyNumberFormat="1" applyFont="1" applyFill="1" applyBorder="1" applyAlignment="1">
      <alignment vertical="top" wrapText="1"/>
    </xf>
    <xf numFmtId="0" fontId="49" fillId="5" borderId="79" xfId="0" applyFont="1" applyFill="1" applyBorder="1" applyAlignment="1">
      <alignment vertical="center" wrapText="1"/>
    </xf>
    <xf numFmtId="1" fontId="102" fillId="18" borderId="79" xfId="0" applyNumberFormat="1" applyFont="1" applyFill="1" applyBorder="1" applyAlignment="1">
      <alignment vertical="top" wrapText="1"/>
    </xf>
    <xf numFmtId="1" fontId="112" fillId="18" borderId="74" xfId="0" applyNumberFormat="1" applyFont="1" applyFill="1" applyBorder="1" applyAlignment="1">
      <alignment vertical="top" wrapText="1"/>
    </xf>
    <xf numFmtId="0" fontId="49" fillId="5" borderId="74" xfId="0" applyFont="1" applyFill="1" applyBorder="1" applyAlignment="1">
      <alignment vertical="center" wrapText="1"/>
    </xf>
    <xf numFmtId="1" fontId="102" fillId="18" borderId="84" xfId="0" applyNumberFormat="1" applyFont="1" applyFill="1" applyBorder="1" applyAlignment="1">
      <alignment vertical="top" wrapText="1"/>
    </xf>
    <xf numFmtId="0" fontId="112" fillId="18" borderId="75" xfId="0" applyFont="1" applyFill="1" applyBorder="1" applyAlignment="1">
      <alignment vertical="top" wrapText="1"/>
    </xf>
    <xf numFmtId="1" fontId="102" fillId="18" borderId="80" xfId="0" applyNumberFormat="1" applyFont="1" applyFill="1" applyBorder="1" applyAlignment="1">
      <alignment vertical="top" wrapText="1"/>
    </xf>
    <xf numFmtId="0" fontId="112" fillId="6" borderId="72" xfId="0" applyFont="1" applyFill="1" applyBorder="1" applyAlignment="1">
      <alignment vertical="top" wrapText="1"/>
    </xf>
    <xf numFmtId="1" fontId="112" fillId="6" borderId="72" xfId="0" applyNumberFormat="1" applyFont="1" applyFill="1" applyBorder="1" applyAlignment="1">
      <alignment vertical="top" wrapText="1"/>
    </xf>
    <xf numFmtId="1" fontId="114" fillId="6" borderId="72" xfId="0" applyNumberFormat="1" applyFont="1" applyFill="1" applyBorder="1" applyAlignment="1">
      <alignment vertical="top" wrapText="1"/>
    </xf>
    <xf numFmtId="0" fontId="49" fillId="8" borderId="72" xfId="0" applyFont="1" applyFill="1" applyBorder="1" applyAlignment="1">
      <alignment vertical="center" wrapText="1"/>
    </xf>
    <xf numFmtId="1" fontId="49" fillId="8" borderId="72" xfId="0" applyNumberFormat="1" applyFont="1" applyFill="1" applyBorder="1" applyAlignment="1">
      <alignment vertical="center" wrapText="1"/>
    </xf>
    <xf numFmtId="1" fontId="54" fillId="8" borderId="72" xfId="0" applyNumberFormat="1" applyFont="1" applyFill="1" applyBorder="1" applyAlignment="1">
      <alignment vertical="center" wrapText="1"/>
    </xf>
    <xf numFmtId="0" fontId="102" fillId="6" borderId="72" xfId="0" applyFont="1" applyFill="1" applyBorder="1" applyAlignment="1">
      <alignment vertical="top" wrapText="1"/>
    </xf>
    <xf numFmtId="1" fontId="112" fillId="6" borderId="79" xfId="0" applyNumberFormat="1" applyFont="1" applyFill="1" applyBorder="1" applyAlignment="1">
      <alignment vertical="top" wrapText="1"/>
    </xf>
    <xf numFmtId="0" fontId="49" fillId="8" borderId="79" xfId="0" applyFont="1" applyFill="1" applyBorder="1" applyAlignment="1">
      <alignment vertical="center" wrapText="1"/>
    </xf>
    <xf numFmtId="1" fontId="102" fillId="6" borderId="79" xfId="0" applyNumberFormat="1" applyFont="1" applyFill="1" applyBorder="1" applyAlignment="1">
      <alignment vertical="top" wrapText="1"/>
    </xf>
    <xf numFmtId="0" fontId="112" fillId="6" borderId="73" xfId="0" applyFont="1" applyFill="1" applyBorder="1" applyAlignment="1">
      <alignment vertical="top" wrapText="1"/>
    </xf>
    <xf numFmtId="0" fontId="49" fillId="8" borderId="73" xfId="0" applyFont="1" applyFill="1" applyBorder="1" applyAlignment="1">
      <alignment vertical="center" wrapText="1"/>
    </xf>
    <xf numFmtId="0" fontId="102" fillId="6" borderId="73" xfId="0" applyFont="1" applyFill="1" applyBorder="1" applyAlignment="1">
      <alignment vertical="top" wrapText="1"/>
    </xf>
    <xf numFmtId="1" fontId="112" fillId="6" borderId="74" xfId="0" applyNumberFormat="1" applyFont="1" applyFill="1" applyBorder="1" applyAlignment="1">
      <alignment vertical="top" wrapText="1"/>
    </xf>
    <xf numFmtId="0" fontId="112" fillId="6" borderId="75" xfId="0" applyFont="1" applyFill="1" applyBorder="1" applyAlignment="1">
      <alignment vertical="top" wrapText="1"/>
    </xf>
    <xf numFmtId="0" fontId="49" fillId="8" borderId="74" xfId="0" applyFont="1" applyFill="1" applyBorder="1" applyAlignment="1">
      <alignment vertical="center" wrapText="1"/>
    </xf>
    <xf numFmtId="0" fontId="49" fillId="8" borderId="75" xfId="0" applyFont="1" applyFill="1" applyBorder="1" applyAlignment="1">
      <alignment vertical="center" wrapText="1"/>
    </xf>
    <xf numFmtId="1" fontId="102" fillId="6" borderId="76" xfId="0" applyNumberFormat="1" applyFont="1" applyFill="1" applyBorder="1" applyAlignment="1">
      <alignment vertical="top" wrapText="1"/>
    </xf>
    <xf numFmtId="0" fontId="102" fillId="6" borderId="78" xfId="0" applyFont="1" applyFill="1" applyBorder="1" applyAlignment="1">
      <alignment vertical="top" wrapText="1"/>
    </xf>
    <xf numFmtId="1" fontId="112" fillId="9" borderId="72" xfId="0" applyNumberFormat="1" applyFont="1" applyFill="1" applyBorder="1" applyAlignment="1">
      <alignment vertical="top" wrapText="1"/>
    </xf>
    <xf numFmtId="1" fontId="55" fillId="9" borderId="72" xfId="1" applyNumberFormat="1" applyFont="1" applyFill="1" applyBorder="1" applyAlignment="1">
      <alignment vertical="center"/>
    </xf>
    <xf numFmtId="1" fontId="49" fillId="9" borderId="72" xfId="0" applyNumberFormat="1" applyFont="1" applyFill="1" applyBorder="1" applyAlignment="1">
      <alignment vertical="center" wrapText="1"/>
    </xf>
    <xf numFmtId="1" fontId="109" fillId="9" borderId="72" xfId="0" applyNumberFormat="1" applyFont="1" applyFill="1" applyBorder="1" applyAlignment="1">
      <alignment vertical="top" wrapText="1"/>
    </xf>
    <xf numFmtId="1" fontId="109" fillId="9" borderId="72" xfId="0" applyNumberFormat="1" applyFont="1" applyFill="1" applyBorder="1" applyAlignment="1">
      <alignment vertical="top"/>
    </xf>
    <xf numFmtId="1" fontId="55" fillId="9" borderId="72" xfId="1" applyNumberFormat="1" applyFont="1" applyFill="1" applyBorder="1" applyAlignment="1">
      <alignment vertical="center" wrapText="1"/>
    </xf>
    <xf numFmtId="1" fontId="57" fillId="9" borderId="72" xfId="0" applyNumberFormat="1" applyFont="1" applyFill="1" applyBorder="1" applyAlignment="1">
      <alignment horizontal="center" vertical="center" wrapText="1"/>
    </xf>
    <xf numFmtId="1" fontId="102" fillId="9" borderId="72" xfId="0" applyNumberFormat="1" applyFont="1" applyFill="1" applyBorder="1" applyAlignment="1">
      <alignment vertical="top" wrapText="1"/>
    </xf>
    <xf numFmtId="1" fontId="102" fillId="19" borderId="72" xfId="0" applyNumberFormat="1" applyFont="1" applyFill="1" applyBorder="1" applyAlignment="1">
      <alignment vertical="top" wrapText="1"/>
    </xf>
    <xf numFmtId="1" fontId="116" fillId="9" borderId="72" xfId="0" applyNumberFormat="1" applyFont="1" applyFill="1" applyBorder="1" applyAlignment="1">
      <alignment vertical="top" wrapText="1"/>
    </xf>
    <xf numFmtId="9" fontId="112" fillId="9" borderId="79" xfId="1" applyNumberFormat="1" applyFont="1" applyFill="1" applyBorder="1" applyAlignment="1">
      <alignment vertical="top" wrapText="1"/>
    </xf>
    <xf numFmtId="9" fontId="49" fillId="9" borderId="79" xfId="1" applyFont="1" applyFill="1" applyBorder="1" applyAlignment="1">
      <alignment vertical="center" wrapText="1"/>
    </xf>
    <xf numFmtId="9" fontId="109" fillId="9" borderId="79" xfId="1" applyNumberFormat="1" applyFont="1" applyFill="1" applyBorder="1" applyAlignment="1">
      <alignment vertical="top" wrapText="1"/>
    </xf>
    <xf numFmtId="1" fontId="57" fillId="9" borderId="79" xfId="0" applyNumberFormat="1" applyFont="1" applyFill="1" applyBorder="1" applyAlignment="1">
      <alignment horizontal="center" vertical="center" wrapText="1"/>
    </xf>
    <xf numFmtId="1" fontId="102" fillId="19" borderId="79" xfId="0" applyNumberFormat="1" applyFont="1" applyFill="1" applyBorder="1" applyAlignment="1">
      <alignment vertical="top" wrapText="1"/>
    </xf>
    <xf numFmtId="1" fontId="112" fillId="9" borderId="73" xfId="0" applyNumberFormat="1" applyFont="1" applyFill="1" applyBorder="1" applyAlignment="1">
      <alignment vertical="top" wrapText="1"/>
    </xf>
    <xf numFmtId="1" fontId="49" fillId="9" borderId="73" xfId="0" applyNumberFormat="1" applyFont="1" applyFill="1" applyBorder="1" applyAlignment="1">
      <alignment vertical="center" wrapText="1"/>
    </xf>
    <xf numFmtId="1" fontId="109" fillId="9" borderId="73" xfId="0" applyNumberFormat="1" applyFont="1" applyFill="1" applyBorder="1" applyAlignment="1">
      <alignment vertical="top" wrapText="1"/>
    </xf>
    <xf numFmtId="1" fontId="57" fillId="9" borderId="73" xfId="0" applyNumberFormat="1" applyFont="1" applyFill="1" applyBorder="1" applyAlignment="1">
      <alignment horizontal="center" vertical="center" wrapText="1"/>
    </xf>
    <xf numFmtId="1" fontId="102" fillId="19" borderId="73" xfId="0" applyNumberFormat="1" applyFont="1" applyFill="1" applyBorder="1" applyAlignment="1">
      <alignment vertical="top" wrapText="1"/>
    </xf>
    <xf numFmtId="9" fontId="49" fillId="9" borderId="93" xfId="1" applyFont="1" applyFill="1" applyBorder="1" applyAlignment="1">
      <alignment vertical="center" wrapText="1"/>
    </xf>
    <xf numFmtId="9" fontId="109" fillId="9" borderId="93" xfId="1" applyNumberFormat="1" applyFont="1" applyFill="1" applyBorder="1" applyAlignment="1">
      <alignment vertical="top" wrapText="1"/>
    </xf>
    <xf numFmtId="9" fontId="112" fillId="9" borderId="93" xfId="1" applyNumberFormat="1" applyFont="1" applyFill="1" applyBorder="1" applyAlignment="1">
      <alignment vertical="top" wrapText="1"/>
    </xf>
    <xf numFmtId="1" fontId="57" fillId="9" borderId="93" xfId="0" applyNumberFormat="1" applyFont="1" applyFill="1" applyBorder="1" applyAlignment="1">
      <alignment horizontal="center" vertical="center" wrapText="1"/>
    </xf>
    <xf numFmtId="9" fontId="102" fillId="9" borderId="94" xfId="0" applyNumberFormat="1" applyFont="1" applyFill="1" applyBorder="1" applyAlignment="1">
      <alignment vertical="top" wrapText="1"/>
    </xf>
    <xf numFmtId="1" fontId="102" fillId="5" borderId="72" xfId="0" applyNumberFormat="1" applyFont="1" applyFill="1" applyBorder="1" applyAlignment="1">
      <alignment horizontal="center" vertical="center" wrapText="1"/>
    </xf>
    <xf numFmtId="0" fontId="102" fillId="8" borderId="72" xfId="0" applyFont="1" applyFill="1" applyBorder="1" applyAlignment="1">
      <alignment horizontal="center" vertical="center" wrapText="1"/>
    </xf>
    <xf numFmtId="1" fontId="102" fillId="9" borderId="72" xfId="0" applyNumberFormat="1" applyFont="1" applyFill="1" applyBorder="1" applyAlignment="1">
      <alignment horizontal="center" vertical="center" wrapText="1"/>
    </xf>
    <xf numFmtId="0" fontId="72" fillId="45" borderId="0" xfId="0" applyFont="1" applyFill="1"/>
    <xf numFmtId="0" fontId="0" fillId="45" borderId="0" xfId="0" applyFill="1"/>
    <xf numFmtId="0" fontId="51" fillId="45" borderId="0" xfId="0" applyFont="1" applyFill="1"/>
    <xf numFmtId="1" fontId="47" fillId="0" borderId="0" xfId="0" applyNumberFormat="1" applyFont="1" applyFill="1" applyBorder="1" applyAlignment="1">
      <alignment wrapText="1"/>
    </xf>
    <xf numFmtId="0" fontId="47" fillId="0" borderId="0" xfId="0" applyFont="1" applyFill="1" applyAlignment="1">
      <alignment wrapText="1"/>
    </xf>
    <xf numFmtId="0" fontId="47" fillId="0" borderId="0" xfId="0" applyNumberFormat="1" applyFont="1" applyFill="1" applyAlignment="1">
      <alignment wrapText="1"/>
    </xf>
    <xf numFmtId="0" fontId="0" fillId="0" borderId="0" xfId="0"/>
    <xf numFmtId="14" fontId="39" fillId="3" borderId="2" xfId="0" applyNumberFormat="1" applyFont="1" applyFill="1" applyBorder="1" applyAlignment="1">
      <alignment horizontal="left" vertical="center" readingOrder="1"/>
    </xf>
    <xf numFmtId="0" fontId="0" fillId="0" borderId="0" xfId="0" pivotButton="1"/>
    <xf numFmtId="0" fontId="47" fillId="0" borderId="0" xfId="0" applyFont="1" applyFill="1"/>
    <xf numFmtId="0" fontId="0" fillId="0" borderId="0" xfId="0" applyFill="1"/>
    <xf numFmtId="1" fontId="62" fillId="0" borderId="0" xfId="0" applyNumberFormat="1" applyFont="1" applyFill="1" applyBorder="1" applyAlignment="1">
      <alignment horizontal="left" vertical="center" readingOrder="1"/>
    </xf>
    <xf numFmtId="0" fontId="72" fillId="0" borderId="0" xfId="0" pivotButton="1" applyFont="1"/>
    <xf numFmtId="0" fontId="51" fillId="0" borderId="0" xfId="0" applyFont="1" applyFill="1"/>
    <xf numFmtId="0" fontId="72" fillId="0" borderId="0" xfId="0" applyFont="1" applyBorder="1"/>
    <xf numFmtId="0" fontId="126" fillId="26" borderId="0" xfId="0" applyFont="1" applyFill="1"/>
    <xf numFmtId="164" fontId="72" fillId="0" borderId="0" xfId="0" applyNumberFormat="1" applyFont="1" applyFill="1"/>
    <xf numFmtId="1" fontId="102" fillId="19" borderId="0" xfId="0" applyNumberFormat="1" applyFont="1" applyFill="1" applyBorder="1" applyAlignment="1">
      <alignment vertical="top" wrapText="1"/>
    </xf>
    <xf numFmtId="0" fontId="31" fillId="0" borderId="0" xfId="0" pivotButton="1" applyFont="1"/>
    <xf numFmtId="0" fontId="31" fillId="0" borderId="0" xfId="0" pivotButton="1" applyFont="1" applyAlignment="1">
      <alignment wrapText="1"/>
    </xf>
    <xf numFmtId="0" fontId="128" fillId="0" borderId="0" xfId="0" applyFont="1" applyAlignment="1">
      <alignment wrapText="1"/>
    </xf>
    <xf numFmtId="0" fontId="129" fillId="40" borderId="0" xfId="0" applyFont="1" applyFill="1" applyAlignment="1">
      <alignment wrapText="1"/>
    </xf>
    <xf numFmtId="0" fontId="129" fillId="40" borderId="0" xfId="0" applyFont="1" applyFill="1" applyAlignment="1"/>
    <xf numFmtId="0" fontId="29" fillId="0" borderId="0" xfId="0" applyFont="1" applyFill="1"/>
    <xf numFmtId="0" fontId="85" fillId="0" borderId="0" xfId="0" applyFont="1" applyFill="1"/>
    <xf numFmtId="0" fontId="84" fillId="0" borderId="0" xfId="0" applyFont="1" applyFill="1" applyAlignment="1">
      <alignment wrapText="1"/>
    </xf>
    <xf numFmtId="0" fontId="129" fillId="0" borderId="0" xfId="0" applyFont="1" applyFill="1" applyAlignment="1">
      <alignment wrapText="1"/>
    </xf>
    <xf numFmtId="0" fontId="49" fillId="8" borderId="72" xfId="0" applyFont="1" applyFill="1" applyBorder="1" applyAlignment="1">
      <alignment horizontal="center" vertical="center" wrapText="1"/>
    </xf>
    <xf numFmtId="0" fontId="130" fillId="39" borderId="54" xfId="0" applyFont="1" applyFill="1" applyBorder="1"/>
    <xf numFmtId="0" fontId="96" fillId="0" borderId="0" xfId="0" applyFont="1" applyFill="1" applyAlignment="1">
      <alignment vertical="center"/>
    </xf>
    <xf numFmtId="0" fontId="47" fillId="9" borderId="0" xfId="0" applyFont="1" applyFill="1"/>
    <xf numFmtId="0" fontId="77" fillId="0" borderId="0" xfId="0" applyFont="1" applyFill="1"/>
    <xf numFmtId="0" fontId="77" fillId="0" borderId="0" xfId="0" applyNumberFormat="1" applyFont="1" applyFill="1" applyBorder="1"/>
    <xf numFmtId="0" fontId="44" fillId="0" borderId="35" xfId="0" applyFont="1" applyBorder="1" applyAlignment="1">
      <alignment horizontal="center" vertical="center" wrapText="1"/>
    </xf>
    <xf numFmtId="0" fontId="44" fillId="0" borderId="36" xfId="0" applyFont="1" applyBorder="1" applyAlignment="1">
      <alignment horizontal="center" vertical="center" wrapText="1"/>
    </xf>
    <xf numFmtId="0" fontId="31" fillId="0" borderId="0" xfId="0" pivotButton="1" applyNumberFormat="1" applyFont="1" applyFill="1" applyBorder="1"/>
    <xf numFmtId="0" fontId="31" fillId="0" borderId="0" xfId="0" applyFont="1" applyAlignment="1">
      <alignment horizontal="center" vertical="center" wrapText="1"/>
    </xf>
    <xf numFmtId="0" fontId="44" fillId="0" borderId="33" xfId="0" applyFont="1" applyBorder="1" applyAlignment="1">
      <alignment horizontal="center" vertical="center" wrapText="1"/>
    </xf>
    <xf numFmtId="0" fontId="85" fillId="0" borderId="0" xfId="0" applyFont="1" applyAlignment="1">
      <alignment horizontal="center" vertical="center" wrapText="1"/>
    </xf>
    <xf numFmtId="14" fontId="39" fillId="3" borderId="0" xfId="0" applyNumberFormat="1" applyFont="1" applyFill="1" applyBorder="1" applyAlignment="1">
      <alignment horizontal="left" vertical="center" readingOrder="1"/>
    </xf>
    <xf numFmtId="1" fontId="47" fillId="0" borderId="23" xfId="0" applyNumberFormat="1" applyFont="1" applyFill="1" applyBorder="1"/>
    <xf numFmtId="0" fontId="90" fillId="0" borderId="0" xfId="0" pivotButton="1" applyFont="1"/>
    <xf numFmtId="1" fontId="57" fillId="9" borderId="0" xfId="0" applyNumberFormat="1" applyFont="1" applyFill="1" applyBorder="1" applyAlignment="1">
      <alignment horizontal="center" vertical="center" wrapText="1"/>
    </xf>
    <xf numFmtId="166" fontId="28" fillId="20" borderId="0" xfId="8" applyFont="1" applyFill="1" applyBorder="1"/>
    <xf numFmtId="0" fontId="132" fillId="0" borderId="0" xfId="0" applyFont="1" applyAlignment="1">
      <alignment horizontal="left"/>
    </xf>
    <xf numFmtId="9" fontId="132" fillId="0" borderId="0" xfId="0" applyNumberFormat="1" applyFont="1"/>
    <xf numFmtId="0" fontId="27" fillId="0" borderId="0" xfId="0" applyFont="1"/>
    <xf numFmtId="0" fontId="27" fillId="0" borderId="0" xfId="0" applyFont="1" applyAlignment="1">
      <alignment horizontal="left"/>
    </xf>
    <xf numFmtId="0" fontId="44" fillId="0" borderId="33" xfId="0" applyFont="1" applyBorder="1" applyAlignment="1">
      <alignment horizontal="left"/>
    </xf>
    <xf numFmtId="0" fontId="44" fillId="0" borderId="35" xfId="0" applyFont="1" applyBorder="1" applyAlignment="1">
      <alignment wrapText="1"/>
    </xf>
    <xf numFmtId="0" fontId="44" fillId="0" borderId="35" xfId="0" applyFont="1" applyBorder="1"/>
    <xf numFmtId="0" fontId="44" fillId="0" borderId="36" xfId="0" applyFont="1" applyBorder="1"/>
    <xf numFmtId="0" fontId="86" fillId="0" borderId="38" xfId="0" applyNumberFormat="1" applyFont="1" applyBorder="1"/>
    <xf numFmtId="0" fontId="86" fillId="0" borderId="39" xfId="0" applyNumberFormat="1" applyFont="1" applyBorder="1"/>
    <xf numFmtId="0" fontId="26" fillId="14" borderId="0" xfId="0" applyFont="1" applyFill="1" applyAlignment="1">
      <alignment horizontal="left"/>
    </xf>
    <xf numFmtId="164" fontId="26" fillId="14" borderId="0" xfId="0" applyNumberFormat="1" applyFont="1" applyFill="1"/>
    <xf numFmtId="9" fontId="26" fillId="14" borderId="0" xfId="0" applyNumberFormat="1" applyFont="1" applyFill="1"/>
    <xf numFmtId="0" fontId="83" fillId="0" borderId="0" xfId="0" applyFont="1" applyFill="1"/>
    <xf numFmtId="0" fontId="84" fillId="0" borderId="0" xfId="0" applyFont="1" applyFill="1"/>
    <xf numFmtId="0" fontId="26" fillId="0" borderId="0" xfId="0" applyFont="1" applyFill="1" applyAlignment="1">
      <alignment horizontal="left"/>
    </xf>
    <xf numFmtId="0" fontId="0" fillId="0" borderId="0" xfId="0" applyNumberFormat="1"/>
    <xf numFmtId="0" fontId="0" fillId="0" borderId="0" xfId="0"/>
    <xf numFmtId="14" fontId="39" fillId="3" borderId="2" xfId="0" applyNumberFormat="1" applyFont="1" applyFill="1" applyBorder="1" applyAlignment="1">
      <alignment horizontal="left" vertical="center" readingOrder="1"/>
    </xf>
    <xf numFmtId="0" fontId="39" fillId="0" borderId="0" xfId="0" applyFont="1" applyFill="1" applyBorder="1" applyAlignment="1">
      <alignment horizontal="left" vertical="center" readingOrder="1"/>
    </xf>
    <xf numFmtId="9" fontId="39" fillId="0" borderId="0" xfId="1" applyFont="1" applyFill="1" applyAlignment="1">
      <alignment horizontal="left" vertical="center" readingOrder="1"/>
    </xf>
    <xf numFmtId="1" fontId="39" fillId="0" borderId="0" xfId="1" applyNumberFormat="1" applyFont="1" applyFill="1" applyAlignment="1">
      <alignment horizontal="left" vertical="center" readingOrder="1"/>
    </xf>
    <xf numFmtId="0" fontId="39" fillId="0" borderId="0" xfId="1" applyNumberFormat="1" applyFont="1" applyFill="1" applyAlignment="1">
      <alignment horizontal="left" vertical="center" readingOrder="1"/>
    </xf>
    <xf numFmtId="0" fontId="0" fillId="0" borderId="0" xfId="0" pivotButton="1"/>
    <xf numFmtId="0" fontId="47" fillId="0" borderId="0" xfId="0" applyFont="1" applyFill="1"/>
    <xf numFmtId="1" fontId="39" fillId="0" borderId="0" xfId="0" applyNumberFormat="1" applyFont="1" applyFill="1" applyAlignment="1">
      <alignment horizontal="left" vertical="center" readingOrder="1"/>
    </xf>
    <xf numFmtId="0" fontId="47" fillId="0" borderId="0" xfId="0" applyFont="1" applyFill="1" applyBorder="1"/>
    <xf numFmtId="0" fontId="77" fillId="0" borderId="0" xfId="0" applyNumberFormat="1" applyFont="1" applyFill="1"/>
    <xf numFmtId="0" fontId="47" fillId="0" borderId="0" xfId="0" applyNumberFormat="1" applyFont="1" applyFill="1"/>
    <xf numFmtId="1" fontId="47" fillId="0" borderId="0" xfId="0" applyNumberFormat="1" applyFont="1" applyFill="1"/>
    <xf numFmtId="0" fontId="47" fillId="0" borderId="0" xfId="0" applyFont="1" applyFill="1" applyAlignment="1">
      <alignment wrapText="1" readingOrder="1"/>
    </xf>
    <xf numFmtId="0" fontId="47" fillId="0" borderId="17" xfId="0" applyFont="1" applyFill="1" applyBorder="1"/>
    <xf numFmtId="0" fontId="47" fillId="0" borderId="0" xfId="0" applyNumberFormat="1" applyFont="1" applyFill="1" applyBorder="1"/>
    <xf numFmtId="1" fontId="47" fillId="0" borderId="0" xfId="0" applyNumberFormat="1" applyFont="1" applyFill="1" applyBorder="1"/>
    <xf numFmtId="0" fontId="47" fillId="0" borderId="0" xfId="0" applyFont="1" applyFill="1" applyBorder="1" applyAlignment="1">
      <alignment wrapText="1" readingOrder="1"/>
    </xf>
    <xf numFmtId="0" fontId="0" fillId="0" borderId="0" xfId="0" applyFill="1"/>
    <xf numFmtId="0" fontId="47" fillId="0" borderId="0" xfId="0" applyNumberFormat="1" applyFont="1" applyFill="1" applyAlignment="1">
      <alignment wrapText="1" readingOrder="1"/>
    </xf>
    <xf numFmtId="0" fontId="47" fillId="0" borderId="0" xfId="0" applyNumberFormat="1" applyFont="1" applyFill="1" applyBorder="1" applyAlignment="1">
      <alignment wrapText="1" readingOrder="1"/>
    </xf>
    <xf numFmtId="0" fontId="62" fillId="0" borderId="0" xfId="0" applyFont="1" applyFill="1" applyBorder="1" applyAlignment="1">
      <alignment horizontal="left" vertical="center" readingOrder="1"/>
    </xf>
    <xf numFmtId="0" fontId="47" fillId="0" borderId="24" xfId="0" applyFont="1" applyFill="1" applyBorder="1"/>
    <xf numFmtId="0" fontId="47" fillId="0" borderId="23" xfId="0" applyFont="1" applyFill="1" applyBorder="1"/>
    <xf numFmtId="165" fontId="47" fillId="0" borderId="0" xfId="0" applyNumberFormat="1" applyFont="1" applyFill="1"/>
    <xf numFmtId="165" fontId="47" fillId="0" borderId="0" xfId="0" applyNumberFormat="1" applyFont="1" applyFill="1" applyBorder="1"/>
    <xf numFmtId="0" fontId="47" fillId="0" borderId="23" xfId="0" applyNumberFormat="1" applyFont="1" applyFill="1" applyBorder="1"/>
    <xf numFmtId="49" fontId="96" fillId="0" borderId="0" xfId="0" applyNumberFormat="1" applyFont="1" applyFill="1" applyBorder="1" applyAlignment="1">
      <alignment horizontal="left" vertical="center"/>
    </xf>
    <xf numFmtId="164" fontId="39" fillId="0" borderId="0" xfId="4" applyNumberFormat="1" applyFont="1" applyFill="1" applyAlignment="1">
      <alignment horizontal="left" vertical="center" readingOrder="1"/>
    </xf>
    <xf numFmtId="0" fontId="86" fillId="0" borderId="40" xfId="0" applyNumberFormat="1" applyFont="1" applyBorder="1"/>
    <xf numFmtId="0" fontId="44" fillId="0" borderId="95" xfId="0" applyNumberFormat="1" applyFont="1" applyBorder="1"/>
    <xf numFmtId="0" fontId="44" fillId="0" borderId="33" xfId="0" applyFont="1" applyBorder="1" applyAlignment="1">
      <alignment wrapText="1"/>
    </xf>
    <xf numFmtId="0" fontId="133" fillId="0" borderId="0" xfId="0" applyFont="1"/>
    <xf numFmtId="1" fontId="47" fillId="42" borderId="0" xfId="0" applyNumberFormat="1" applyFont="1" applyFill="1" applyBorder="1"/>
    <xf numFmtId="0" fontId="0" fillId="0" borderId="0" xfId="0" applyNumberFormat="1" applyFill="1"/>
    <xf numFmtId="0" fontId="39" fillId="0" borderId="23" xfId="42" applyFont="1" applyFill="1" applyBorder="1" applyAlignment="1">
      <alignment horizontal="left" vertical="center" readingOrder="1"/>
    </xf>
    <xf numFmtId="0" fontId="72" fillId="32" borderId="0" xfId="0" applyFont="1" applyFill="1" applyAlignment="1">
      <alignment vertical="center"/>
    </xf>
    <xf numFmtId="0" fontId="24" fillId="0" borderId="0" xfId="0" applyFont="1"/>
    <xf numFmtId="0" fontId="139" fillId="0" borderId="0" xfId="21" applyFont="1" applyAlignment="1">
      <alignment horizontal="left" vertical="center"/>
    </xf>
    <xf numFmtId="0" fontId="139" fillId="43" borderId="62" xfId="21" applyFont="1" applyFill="1" applyBorder="1" applyAlignment="1">
      <alignment horizontal="left" vertical="center"/>
    </xf>
    <xf numFmtId="0" fontId="139" fillId="26" borderId="62" xfId="21" applyFont="1" applyFill="1" applyBorder="1" applyAlignment="1">
      <alignment horizontal="left" vertical="center" wrapText="1"/>
    </xf>
    <xf numFmtId="0" fontId="139" fillId="43" borderId="63" xfId="21" applyFont="1" applyFill="1" applyBorder="1" applyAlignment="1">
      <alignment horizontal="left" vertical="center"/>
    </xf>
    <xf numFmtId="0" fontId="139" fillId="43" borderId="65" xfId="21" applyFont="1" applyFill="1" applyBorder="1" applyAlignment="1">
      <alignment horizontal="left" vertical="center"/>
    </xf>
    <xf numFmtId="0" fontId="140" fillId="0" borderId="0" xfId="0" applyFont="1"/>
    <xf numFmtId="0" fontId="91" fillId="26" borderId="58" xfId="0" applyFont="1" applyFill="1" applyBorder="1" applyAlignment="1">
      <alignment wrapText="1"/>
    </xf>
    <xf numFmtId="0" fontId="72" fillId="0" borderId="0" xfId="0" applyFont="1" applyFill="1" applyBorder="1" applyAlignment="1">
      <alignment wrapText="1"/>
    </xf>
    <xf numFmtId="0" fontId="0" fillId="0" borderId="0" xfId="0" applyAlignment="1">
      <alignment wrapText="1"/>
    </xf>
    <xf numFmtId="0" fontId="0" fillId="0" borderId="22" xfId="0" applyBorder="1" applyAlignment="1">
      <alignment wrapText="1"/>
    </xf>
    <xf numFmtId="0" fontId="72" fillId="0" borderId="22" xfId="0" applyFont="1" applyBorder="1" applyAlignment="1">
      <alignment wrapText="1"/>
    </xf>
    <xf numFmtId="0" fontId="0" fillId="37" borderId="22" xfId="0" applyFill="1" applyBorder="1" applyAlignment="1">
      <alignment wrapText="1"/>
    </xf>
    <xf numFmtId="164" fontId="78" fillId="14" borderId="22" xfId="4" applyNumberFormat="1" applyFont="1" applyFill="1" applyBorder="1" applyAlignment="1">
      <alignment vertical="center" wrapText="1"/>
    </xf>
    <xf numFmtId="9" fontId="85" fillId="0" borderId="0" xfId="1" applyFont="1"/>
    <xf numFmtId="0" fontId="88" fillId="48" borderId="0" xfId="0" applyFont="1" applyFill="1" applyBorder="1" applyAlignment="1">
      <alignment wrapText="1"/>
    </xf>
    <xf numFmtId="0" fontId="88" fillId="48" borderId="97" xfId="0" applyFont="1" applyFill="1" applyBorder="1" applyAlignment="1">
      <alignment wrapText="1"/>
    </xf>
    <xf numFmtId="0" fontId="0" fillId="0" borderId="98" xfId="0" applyFont="1" applyBorder="1" applyAlignment="1">
      <alignment wrapText="1"/>
    </xf>
    <xf numFmtId="0" fontId="88" fillId="39" borderId="99" xfId="0" applyFont="1" applyFill="1" applyBorder="1" applyAlignment="1">
      <alignment wrapText="1"/>
    </xf>
    <xf numFmtId="0" fontId="0" fillId="0" borderId="51" xfId="0" applyFont="1" applyBorder="1" applyAlignment="1">
      <alignment wrapText="1"/>
    </xf>
    <xf numFmtId="0" fontId="88" fillId="50" borderId="102" xfId="0" applyFont="1" applyFill="1" applyBorder="1" applyAlignment="1">
      <alignment wrapText="1"/>
    </xf>
    <xf numFmtId="0" fontId="88" fillId="51" borderId="103" xfId="0" applyFont="1" applyFill="1" applyBorder="1" applyAlignment="1">
      <alignment wrapText="1"/>
    </xf>
    <xf numFmtId="0" fontId="0" fillId="0" borderId="104" xfId="0" applyFont="1" applyBorder="1" applyAlignment="1">
      <alignment horizontal="left" vertical="center" wrapText="1"/>
    </xf>
    <xf numFmtId="0" fontId="77" fillId="42" borderId="0" xfId="0" applyFont="1" applyFill="1"/>
    <xf numFmtId="0" fontId="96" fillId="0" borderId="0" xfId="0" applyFont="1" applyFill="1" applyAlignment="1">
      <alignment horizontal="left" vertical="center" wrapText="1"/>
    </xf>
    <xf numFmtId="1" fontId="77" fillId="0" borderId="0" xfId="0" applyNumberFormat="1" applyFont="1" applyFill="1" applyBorder="1" applyAlignment="1">
      <alignment horizontal="left" vertical="center"/>
    </xf>
    <xf numFmtId="0" fontId="96" fillId="0" borderId="0" xfId="0" applyFont="1" applyFill="1" applyAlignment="1">
      <alignment horizontal="left" vertical="center"/>
    </xf>
    <xf numFmtId="1" fontId="68" fillId="7" borderId="62" xfId="18" applyNumberFormat="1" applyFont="1" applyFill="1" applyBorder="1" applyAlignment="1">
      <alignment horizontal="left" vertical="center" wrapText="1" readingOrder="1"/>
    </xf>
    <xf numFmtId="9" fontId="46" fillId="34" borderId="65" xfId="18" applyNumberFormat="1" applyFont="1" applyFill="1" applyBorder="1" applyAlignment="1">
      <alignment horizontal="left" vertical="center" wrapText="1" readingOrder="1"/>
    </xf>
    <xf numFmtId="9" fontId="46" fillId="52" borderId="65" xfId="18" applyNumberFormat="1" applyFont="1" applyFill="1" applyBorder="1" applyAlignment="1">
      <alignment horizontal="left" vertical="center" wrapText="1" readingOrder="1"/>
    </xf>
    <xf numFmtId="9" fontId="71" fillId="34" borderId="14" xfId="18" applyNumberFormat="1" applyFont="1" applyFill="1" applyBorder="1" applyAlignment="1">
      <alignment horizontal="left" vertical="center" wrapText="1" readingOrder="1"/>
    </xf>
    <xf numFmtId="9" fontId="124" fillId="16" borderId="65" xfId="18" applyNumberFormat="1" applyFont="1" applyFill="1" applyBorder="1" applyAlignment="1">
      <alignment horizontal="center" vertical="center" wrapText="1" readingOrder="1"/>
    </xf>
    <xf numFmtId="9" fontId="142" fillId="34" borderId="65" xfId="18" applyNumberFormat="1" applyFont="1" applyFill="1" applyBorder="1" applyAlignment="1">
      <alignment horizontal="left" vertical="center" wrapText="1" readingOrder="1"/>
    </xf>
    <xf numFmtId="0" fontId="0" fillId="0" borderId="0" xfId="0" applyAlignment="1">
      <alignment horizontal="left"/>
    </xf>
    <xf numFmtId="0" fontId="145" fillId="0" borderId="0" xfId="0" applyFont="1"/>
    <xf numFmtId="0" fontId="146" fillId="0" borderId="0" xfId="0" applyFont="1"/>
    <xf numFmtId="0" fontId="23" fillId="0" borderId="0" xfId="0" applyFont="1"/>
    <xf numFmtId="0" fontId="81" fillId="16" borderId="0" xfId="0" applyFont="1" applyFill="1"/>
    <xf numFmtId="0" fontId="44" fillId="16" borderId="0" xfId="0" applyFont="1" applyFill="1"/>
    <xf numFmtId="0" fontId="22" fillId="0" borderId="0" xfId="0" applyFont="1"/>
    <xf numFmtId="0" fontId="85" fillId="0" borderId="0" xfId="0" pivotButton="1" applyFont="1"/>
    <xf numFmtId="0" fontId="88" fillId="49" borderId="100" xfId="0" applyFont="1" applyFill="1" applyBorder="1"/>
    <xf numFmtId="0" fontId="88" fillId="49" borderId="101" xfId="0" applyFont="1" applyFill="1" applyBorder="1"/>
    <xf numFmtId="0" fontId="88" fillId="39" borderId="99" xfId="0" applyFont="1" applyFill="1" applyBorder="1" applyAlignment="1"/>
    <xf numFmtId="1" fontId="49" fillId="9" borderId="0" xfId="0" applyNumberFormat="1" applyFont="1" applyFill="1" applyBorder="1" applyAlignment="1">
      <alignment vertical="center" wrapText="1"/>
    </xf>
    <xf numFmtId="1" fontId="109" fillId="9" borderId="0" xfId="0" applyNumberFormat="1" applyFont="1" applyFill="1" applyBorder="1" applyAlignment="1">
      <alignment vertical="top" wrapText="1"/>
    </xf>
    <xf numFmtId="0" fontId="148" fillId="0" borderId="0" xfId="0" applyFont="1"/>
    <xf numFmtId="0" fontId="88" fillId="53" borderId="105" xfId="0" applyFont="1" applyFill="1" applyBorder="1"/>
    <xf numFmtId="0" fontId="88" fillId="53" borderId="106" xfId="0" applyFont="1" applyFill="1" applyBorder="1"/>
    <xf numFmtId="0" fontId="149" fillId="0" borderId="0" xfId="0" applyFont="1"/>
    <xf numFmtId="164" fontId="149" fillId="0" borderId="0" xfId="0" applyNumberFormat="1" applyFont="1"/>
    <xf numFmtId="9" fontId="149" fillId="0" borderId="0" xfId="0" applyNumberFormat="1" applyFont="1"/>
    <xf numFmtId="3" fontId="149" fillId="0" borderId="0" xfId="0" applyNumberFormat="1" applyFont="1"/>
    <xf numFmtId="0" fontId="21" fillId="19" borderId="0" xfId="0" applyFont="1" applyFill="1"/>
    <xf numFmtId="0" fontId="21" fillId="0" borderId="0" xfId="0" applyFont="1"/>
    <xf numFmtId="0" fontId="20" fillId="19" borderId="0" xfId="0" applyFont="1" applyFill="1"/>
    <xf numFmtId="0" fontId="48" fillId="42" borderId="0" xfId="21" applyFont="1" applyFill="1" applyAlignment="1">
      <alignment horizontal="left" vertical="center" indent="1" readingOrder="1"/>
    </xf>
    <xf numFmtId="0" fontId="46" fillId="17" borderId="0" xfId="18" applyFont="1" applyFill="1" applyAlignment="1">
      <alignment horizontal="left" vertical="center"/>
    </xf>
    <xf numFmtId="0" fontId="120" fillId="0" borderId="0" xfId="18" applyFont="1" applyAlignment="1">
      <alignment horizontal="left" vertical="center" textRotation="90"/>
    </xf>
    <xf numFmtId="0" fontId="48" fillId="16" borderId="62" xfId="21" applyFont="1" applyFill="1" applyBorder="1" applyAlignment="1">
      <alignment horizontal="center" vertical="center" textRotation="90" wrapText="1"/>
    </xf>
    <xf numFmtId="0" fontId="46" fillId="0" borderId="0" xfId="21" applyFont="1" applyAlignment="1">
      <alignment horizontal="left" vertical="center" textRotation="90"/>
    </xf>
    <xf numFmtId="0" fontId="48" fillId="42" borderId="0" xfId="21" applyFont="1" applyFill="1" applyAlignment="1">
      <alignment horizontal="center" vertical="center" readingOrder="1"/>
    </xf>
    <xf numFmtId="14" fontId="151" fillId="17" borderId="62" xfId="18" applyNumberFormat="1" applyFont="1" applyFill="1" applyBorder="1" applyAlignment="1">
      <alignment horizontal="center" vertical="center" wrapText="1"/>
    </xf>
    <xf numFmtId="14" fontId="151" fillId="7" borderId="62" xfId="18" applyNumberFormat="1" applyFont="1" applyFill="1" applyBorder="1" applyAlignment="1">
      <alignment horizontal="center" vertical="center" wrapText="1"/>
    </xf>
    <xf numFmtId="14" fontId="151" fillId="27" borderId="62" xfId="18" applyNumberFormat="1" applyFont="1" applyFill="1" applyBorder="1" applyAlignment="1">
      <alignment horizontal="center" vertical="center" wrapText="1"/>
    </xf>
    <xf numFmtId="14" fontId="151" fillId="22" borderId="62" xfId="18" applyNumberFormat="1" applyFont="1" applyFill="1" applyBorder="1" applyAlignment="1">
      <alignment horizontal="center" vertical="center" wrapText="1"/>
    </xf>
    <xf numFmtId="14" fontId="151" fillId="17" borderId="67" xfId="18" applyNumberFormat="1" applyFont="1" applyFill="1" applyBorder="1" applyAlignment="1">
      <alignment horizontal="center" vertical="center" wrapText="1"/>
    </xf>
    <xf numFmtId="9" fontId="108" fillId="34" borderId="65" xfId="18" applyNumberFormat="1" applyFont="1" applyFill="1" applyBorder="1" applyAlignment="1">
      <alignment horizontal="center" vertical="center" wrapText="1" readingOrder="1"/>
    </xf>
    <xf numFmtId="9" fontId="46" fillId="42" borderId="65" xfId="18" applyNumberFormat="1" applyFont="1" applyFill="1" applyBorder="1" applyAlignment="1">
      <alignment horizontal="left" vertical="center" wrapText="1" readingOrder="1"/>
    </xf>
    <xf numFmtId="0" fontId="41" fillId="34" borderId="4" xfId="21" applyFont="1" applyFill="1" applyBorder="1" applyAlignment="1">
      <alignment vertical="top" wrapText="1"/>
    </xf>
    <xf numFmtId="0" fontId="41" fillId="42" borderId="4" xfId="21" applyFont="1" applyFill="1" applyBorder="1" applyAlignment="1">
      <alignment vertical="top" wrapText="1"/>
    </xf>
    <xf numFmtId="0" fontId="48" fillId="7" borderId="62" xfId="18" applyFont="1" applyFill="1" applyBorder="1" applyAlignment="1">
      <alignment horizontal="left" vertical="center" wrapText="1" readingOrder="1"/>
    </xf>
    <xf numFmtId="0" fontId="46" fillId="18" borderId="62" xfId="18" applyFont="1" applyFill="1" applyBorder="1" applyAlignment="1">
      <alignment horizontal="center" vertical="center" wrapText="1" readingOrder="1"/>
    </xf>
    <xf numFmtId="1" fontId="46" fillId="18" borderId="62" xfId="18" applyNumberFormat="1" applyFont="1" applyFill="1" applyBorder="1" applyAlignment="1">
      <alignment horizontal="center" vertical="center" wrapText="1" readingOrder="1"/>
    </xf>
    <xf numFmtId="9" fontId="46" fillId="18" borderId="62" xfId="18" applyNumberFormat="1" applyFont="1" applyFill="1" applyBorder="1" applyAlignment="1">
      <alignment horizontal="center" vertical="center" wrapText="1" readingOrder="1"/>
    </xf>
    <xf numFmtId="14" fontId="46" fillId="18" borderId="62" xfId="18" applyNumberFormat="1" applyFont="1" applyFill="1" applyBorder="1" applyAlignment="1">
      <alignment horizontal="center" vertical="center" wrapText="1" readingOrder="1"/>
    </xf>
    <xf numFmtId="1" fontId="46" fillId="7" borderId="62" xfId="18" applyNumberFormat="1" applyFont="1" applyFill="1" applyBorder="1" applyAlignment="1">
      <alignment horizontal="center" vertical="center" wrapText="1" readingOrder="1"/>
    </xf>
    <xf numFmtId="1" fontId="46" fillId="7" borderId="62" xfId="19" applyNumberFormat="1" applyFont="1" applyFill="1" applyBorder="1" applyAlignment="1">
      <alignment horizontal="center" vertical="center" wrapText="1" readingOrder="1"/>
    </xf>
    <xf numFmtId="14" fontId="46" fillId="7" borderId="62" xfId="18" applyNumberFormat="1" applyFont="1" applyFill="1" applyBorder="1" applyAlignment="1">
      <alignment horizontal="center" vertical="center" wrapText="1"/>
    </xf>
    <xf numFmtId="0" fontId="46" fillId="7" borderId="62" xfId="18" applyFont="1" applyFill="1" applyBorder="1" applyAlignment="1">
      <alignment horizontal="center" vertical="center" wrapText="1"/>
    </xf>
    <xf numFmtId="0" fontId="46" fillId="7" borderId="62" xfId="18" applyFont="1" applyFill="1" applyBorder="1" applyAlignment="1">
      <alignment horizontal="center" vertical="center" wrapText="1" readingOrder="1"/>
    </xf>
    <xf numFmtId="0" fontId="48" fillId="7" borderId="62" xfId="18" applyFont="1" applyFill="1" applyBorder="1" applyAlignment="1">
      <alignment horizontal="center" vertical="center" wrapText="1" readingOrder="1"/>
    </xf>
    <xf numFmtId="0" fontId="46" fillId="11" borderId="62" xfId="19" applyNumberFormat="1" applyFont="1" applyFill="1" applyBorder="1" applyAlignment="1">
      <alignment horizontal="center" vertical="center" wrapText="1" readingOrder="1"/>
    </xf>
    <xf numFmtId="1" fontId="46" fillId="11" borderId="62" xfId="18" applyNumberFormat="1" applyFont="1" applyFill="1" applyBorder="1" applyAlignment="1">
      <alignment horizontal="center" vertical="center" wrapText="1" readingOrder="1"/>
    </xf>
    <xf numFmtId="9" fontId="46" fillId="11" borderId="62" xfId="18" applyNumberFormat="1" applyFont="1" applyFill="1" applyBorder="1" applyAlignment="1">
      <alignment horizontal="center" vertical="center" wrapText="1" readingOrder="1"/>
    </xf>
    <xf numFmtId="9" fontId="46" fillId="11" borderId="65" xfId="18" applyNumberFormat="1" applyFont="1" applyFill="1" applyBorder="1" applyAlignment="1">
      <alignment horizontal="center" vertical="center" wrapText="1" readingOrder="1"/>
    </xf>
    <xf numFmtId="9" fontId="46" fillId="34" borderId="65" xfId="18" applyNumberFormat="1" applyFont="1" applyFill="1" applyBorder="1" applyAlignment="1">
      <alignment horizontal="center" vertical="center" wrapText="1" readingOrder="1"/>
    </xf>
    <xf numFmtId="9" fontId="46" fillId="52" borderId="65" xfId="18" applyNumberFormat="1" applyFont="1" applyFill="1" applyBorder="1" applyAlignment="1">
      <alignment horizontal="center" vertical="center" wrapText="1" readingOrder="1"/>
    </xf>
    <xf numFmtId="0" fontId="123" fillId="18" borderId="62" xfId="18" applyFont="1" applyFill="1" applyBorder="1" applyAlignment="1">
      <alignment horizontal="center" vertical="center" wrapText="1" readingOrder="1"/>
    </xf>
    <xf numFmtId="1" fontId="123" fillId="18" borderId="62" xfId="18" applyNumberFormat="1" applyFont="1" applyFill="1" applyBorder="1" applyAlignment="1">
      <alignment horizontal="center" vertical="center" wrapText="1" readingOrder="1"/>
    </xf>
    <xf numFmtId="1" fontId="152" fillId="18" borderId="62" xfId="18" applyNumberFormat="1" applyFont="1" applyFill="1" applyBorder="1" applyAlignment="1">
      <alignment horizontal="center" vertical="center" wrapText="1" readingOrder="1"/>
    </xf>
    <xf numFmtId="1" fontId="123" fillId="7" borderId="62" xfId="18" applyNumberFormat="1" applyFont="1" applyFill="1" applyBorder="1" applyAlignment="1">
      <alignment horizontal="center" vertical="center" wrapText="1" readingOrder="1"/>
    </xf>
    <xf numFmtId="14" fontId="123" fillId="7" borderId="62" xfId="18" applyNumberFormat="1" applyFont="1" applyFill="1" applyBorder="1" applyAlignment="1">
      <alignment horizontal="center" vertical="center" wrapText="1" readingOrder="1"/>
    </xf>
    <xf numFmtId="0" fontId="123" fillId="11" borderId="62" xfId="19" applyNumberFormat="1" applyFont="1" applyFill="1" applyBorder="1" applyAlignment="1">
      <alignment horizontal="center" vertical="center" wrapText="1" readingOrder="1"/>
    </xf>
    <xf numFmtId="1" fontId="123" fillId="11" borderId="62" xfId="18" applyNumberFormat="1" applyFont="1" applyFill="1" applyBorder="1" applyAlignment="1">
      <alignment horizontal="center" vertical="center" wrapText="1" readingOrder="1"/>
    </xf>
    <xf numFmtId="0" fontId="109" fillId="8" borderId="72" xfId="0" applyFont="1" applyFill="1" applyBorder="1" applyAlignment="1">
      <alignment horizontal="center" vertical="center" wrapText="1"/>
    </xf>
    <xf numFmtId="1" fontId="109" fillId="9" borderId="72" xfId="0" applyNumberFormat="1" applyFont="1" applyFill="1" applyBorder="1" applyAlignment="1">
      <alignment horizontal="center" vertical="center"/>
    </xf>
    <xf numFmtId="1" fontId="153" fillId="9" borderId="72" xfId="0" applyNumberFormat="1" applyFont="1" applyFill="1" applyBorder="1" applyAlignment="1">
      <alignment horizontal="center" vertical="center"/>
    </xf>
    <xf numFmtId="0" fontId="49" fillId="8" borderId="79" xfId="0" applyFont="1" applyFill="1" applyBorder="1" applyAlignment="1">
      <alignment horizontal="center" vertical="center" wrapText="1"/>
    </xf>
    <xf numFmtId="0" fontId="48" fillId="2" borderId="62" xfId="21" applyFont="1" applyFill="1" applyBorder="1" applyAlignment="1">
      <alignment horizontal="left" vertical="center" indent="1" readingOrder="1"/>
    </xf>
    <xf numFmtId="0" fontId="46" fillId="0" borderId="62" xfId="18" applyFont="1" applyBorder="1" applyAlignment="1">
      <alignment horizontal="left" vertical="center" wrapText="1"/>
    </xf>
    <xf numFmtId="0" fontId="48" fillId="14" borderId="62" xfId="21" applyFont="1" applyFill="1" applyBorder="1" applyAlignment="1">
      <alignment horizontal="left" vertical="center" indent="1" readingOrder="1"/>
    </xf>
    <xf numFmtId="0" fontId="139" fillId="14" borderId="62" xfId="21" applyFont="1" applyFill="1" applyBorder="1" applyAlignment="1">
      <alignment horizontal="left" vertical="center" wrapText="1"/>
    </xf>
    <xf numFmtId="9" fontId="46" fillId="18" borderId="62" xfId="19" applyFont="1" applyFill="1" applyBorder="1" applyAlignment="1">
      <alignment horizontal="left" vertical="center" wrapText="1" readingOrder="1"/>
    </xf>
    <xf numFmtId="0" fontId="48" fillId="38" borderId="62" xfId="21" applyFont="1" applyFill="1" applyBorder="1" applyAlignment="1">
      <alignment horizontal="left" vertical="center" indent="1" readingOrder="1"/>
    </xf>
    <xf numFmtId="0" fontId="139" fillId="8" borderId="62" xfId="21" applyFont="1" applyFill="1" applyBorder="1" applyAlignment="1">
      <alignment horizontal="left" vertical="center" wrapText="1"/>
    </xf>
    <xf numFmtId="0" fontId="48" fillId="9" borderId="62" xfId="21" applyFont="1" applyFill="1" applyBorder="1" applyAlignment="1">
      <alignment horizontal="left" vertical="center" indent="1" readingOrder="1"/>
    </xf>
    <xf numFmtId="0" fontId="139" fillId="9" borderId="62" xfId="21" applyFont="1" applyFill="1" applyBorder="1" applyAlignment="1">
      <alignment horizontal="left" vertical="center" wrapText="1"/>
    </xf>
    <xf numFmtId="0" fontId="48" fillId="16" borderId="62" xfId="21" applyFont="1" applyFill="1" applyBorder="1" applyAlignment="1">
      <alignment horizontal="left" vertical="center" indent="1" readingOrder="1"/>
    </xf>
    <xf numFmtId="0" fontId="48" fillId="42" borderId="62" xfId="21" applyFont="1" applyFill="1" applyBorder="1" applyAlignment="1">
      <alignment horizontal="left" vertical="center" wrapText="1"/>
    </xf>
    <xf numFmtId="0" fontId="104" fillId="0" borderId="62" xfId="18" applyFont="1" applyBorder="1" applyAlignment="1">
      <alignment horizontal="left" vertical="center" wrapText="1"/>
    </xf>
    <xf numFmtId="0" fontId="46" fillId="18" borderId="62" xfId="18" applyFont="1" applyFill="1" applyBorder="1" applyAlignment="1">
      <alignment horizontal="center" vertical="center" wrapText="1"/>
    </xf>
    <xf numFmtId="1" fontId="54" fillId="8" borderId="79" xfId="0" applyNumberFormat="1" applyFont="1" applyFill="1" applyBorder="1" applyAlignment="1">
      <alignment vertical="center" wrapText="1"/>
    </xf>
    <xf numFmtId="9" fontId="46" fillId="34" borderId="0" xfId="18" applyNumberFormat="1" applyFont="1" applyFill="1" applyAlignment="1">
      <alignment horizontal="center" vertical="center" wrapText="1" readingOrder="1"/>
    </xf>
    <xf numFmtId="9" fontId="139" fillId="16" borderId="0" xfId="18" applyNumberFormat="1" applyFont="1" applyFill="1" applyAlignment="1">
      <alignment horizontal="center" vertical="center" wrapText="1" readingOrder="1"/>
    </xf>
    <xf numFmtId="164" fontId="71" fillId="34" borderId="0" xfId="4" applyNumberFormat="1" applyFont="1" applyFill="1" applyAlignment="1">
      <alignment horizontal="center" vertical="center" wrapText="1" readingOrder="1"/>
    </xf>
    <xf numFmtId="164" fontId="39" fillId="0" borderId="0" xfId="1" applyNumberFormat="1" applyFont="1" applyFill="1" applyAlignment="1">
      <alignment horizontal="left" vertical="center" readingOrder="1"/>
    </xf>
    <xf numFmtId="164" fontId="72" fillId="17" borderId="28" xfId="4" applyNumberFormat="1" applyFont="1" applyFill="1" applyBorder="1" applyAlignment="1">
      <alignment vertical="center" wrapText="1"/>
    </xf>
    <xf numFmtId="164" fontId="72" fillId="17" borderId="117" xfId="4" applyNumberFormat="1" applyFont="1" applyFill="1" applyBorder="1" applyAlignment="1">
      <alignment vertical="center" wrapText="1"/>
    </xf>
    <xf numFmtId="9" fontId="72" fillId="17" borderId="118" xfId="1" applyFont="1" applyFill="1" applyBorder="1" applyAlignment="1">
      <alignment vertical="center" wrapText="1"/>
    </xf>
    <xf numFmtId="0" fontId="127" fillId="2" borderId="22" xfId="0" applyFont="1" applyFill="1" applyBorder="1" applyAlignment="1">
      <alignment horizontal="center" vertical="center" wrapText="1"/>
    </xf>
    <xf numFmtId="0" fontId="127" fillId="42" borderId="22" xfId="0" applyFont="1" applyFill="1" applyBorder="1" applyAlignment="1">
      <alignment horizontal="center" vertical="center" wrapText="1"/>
    </xf>
    <xf numFmtId="164" fontId="72" fillId="16" borderId="22" xfId="4" applyNumberFormat="1" applyFont="1" applyFill="1" applyBorder="1" applyAlignment="1">
      <alignment vertical="center"/>
    </xf>
    <xf numFmtId="164" fontId="0" fillId="16" borderId="22" xfId="4" applyNumberFormat="1" applyFont="1" applyFill="1" applyBorder="1"/>
    <xf numFmtId="164" fontId="72" fillId="42" borderId="22" xfId="4" applyNumberFormat="1" applyFont="1" applyFill="1" applyBorder="1" applyAlignment="1">
      <alignment vertical="center"/>
    </xf>
    <xf numFmtId="164" fontId="0" fillId="16" borderId="22" xfId="4" applyNumberFormat="1" applyFont="1" applyFill="1" applyBorder="1" applyAlignment="1">
      <alignment vertical="center"/>
    </xf>
    <xf numFmtId="164" fontId="0" fillId="42" borderId="22" xfId="4" applyNumberFormat="1" applyFont="1" applyFill="1" applyBorder="1" applyAlignment="1">
      <alignment vertical="center"/>
    </xf>
    <xf numFmtId="164" fontId="0" fillId="16" borderId="22" xfId="4" applyNumberFormat="1" applyFont="1" applyFill="1" applyBorder="1" applyAlignment="1">
      <alignment horizontal="center" vertical="center"/>
    </xf>
    <xf numFmtId="164" fontId="0" fillId="42" borderId="22" xfId="4" applyNumberFormat="1" applyFont="1" applyFill="1" applyBorder="1" applyAlignment="1">
      <alignment horizontal="center" vertical="center"/>
    </xf>
    <xf numFmtId="0" fontId="19" fillId="32" borderId="0" xfId="0" applyFont="1" applyFill="1"/>
    <xf numFmtId="0" fontId="73" fillId="0" borderId="0" xfId="0" applyFont="1"/>
    <xf numFmtId="164" fontId="91" fillId="14" borderId="28" xfId="4" applyNumberFormat="1" applyFont="1" applyFill="1" applyBorder="1" applyAlignment="1">
      <alignment vertical="center" wrapText="1"/>
    </xf>
    <xf numFmtId="164" fontId="91" fillId="14" borderId="28" xfId="4" applyNumberFormat="1" applyFont="1" applyFill="1" applyBorder="1" applyAlignment="1">
      <alignment vertical="center"/>
    </xf>
    <xf numFmtId="164" fontId="72" fillId="10" borderId="28" xfId="4" applyNumberFormat="1" applyFont="1" applyFill="1" applyBorder="1" applyAlignment="1">
      <alignment vertical="center" wrapText="1"/>
    </xf>
    <xf numFmtId="164" fontId="72" fillId="10" borderId="28" xfId="4" applyNumberFormat="1" applyFont="1" applyFill="1" applyBorder="1" applyAlignment="1">
      <alignment vertical="center"/>
    </xf>
    <xf numFmtId="164" fontId="72" fillId="10" borderId="31" xfId="4" applyNumberFormat="1" applyFont="1" applyFill="1" applyBorder="1" applyAlignment="1">
      <alignment vertical="center"/>
    </xf>
    <xf numFmtId="9" fontId="72" fillId="10" borderId="31" xfId="1" applyFont="1" applyFill="1" applyBorder="1" applyAlignment="1">
      <alignment vertical="center"/>
    </xf>
    <xf numFmtId="164" fontId="72" fillId="7" borderId="28" xfId="4" applyNumberFormat="1" applyFont="1" applyFill="1" applyBorder="1" applyAlignment="1">
      <alignment vertical="center" wrapText="1"/>
    </xf>
    <xf numFmtId="164" fontId="72" fillId="7" borderId="28" xfId="4" applyNumberFormat="1" applyFont="1" applyFill="1" applyBorder="1" applyAlignment="1">
      <alignment vertical="center"/>
    </xf>
    <xf numFmtId="9" fontId="72" fillId="7" borderId="31" xfId="1" applyFont="1" applyFill="1" applyBorder="1" applyAlignment="1">
      <alignment vertical="center"/>
    </xf>
    <xf numFmtId="164" fontId="72" fillId="11" borderId="28" xfId="4" applyNumberFormat="1" applyFont="1" applyFill="1" applyBorder="1" applyAlignment="1">
      <alignment vertical="center" wrapText="1"/>
    </xf>
    <xf numFmtId="164" fontId="72" fillId="11" borderId="28" xfId="4" applyNumberFormat="1" applyFont="1" applyFill="1" applyBorder="1" applyAlignment="1">
      <alignment vertical="center"/>
    </xf>
    <xf numFmtId="9" fontId="72" fillId="11" borderId="31" xfId="1" applyFont="1" applyFill="1" applyBorder="1" applyAlignment="1">
      <alignment vertical="center"/>
    </xf>
    <xf numFmtId="9" fontId="91" fillId="14" borderId="31" xfId="1" applyFont="1" applyFill="1" applyBorder="1" applyAlignment="1">
      <alignment vertical="center"/>
    </xf>
    <xf numFmtId="164" fontId="91" fillId="8" borderId="28" xfId="4" applyNumberFormat="1" applyFont="1" applyFill="1" applyBorder="1" applyAlignment="1">
      <alignment vertical="center" wrapText="1"/>
    </xf>
    <xf numFmtId="164" fontId="91" fillId="8" borderId="28" xfId="4" applyNumberFormat="1" applyFont="1" applyFill="1" applyBorder="1" applyAlignment="1">
      <alignment vertical="center"/>
    </xf>
    <xf numFmtId="9" fontId="91" fillId="8" borderId="31" xfId="1" applyFont="1" applyFill="1" applyBorder="1" applyAlignment="1">
      <alignment vertical="center"/>
    </xf>
    <xf numFmtId="164" fontId="91" fillId="8" borderId="31" xfId="4" applyNumberFormat="1" applyFont="1" applyFill="1" applyBorder="1" applyAlignment="1">
      <alignment vertical="center"/>
    </xf>
    <xf numFmtId="0" fontId="154" fillId="0" borderId="0" xfId="0" applyFont="1"/>
    <xf numFmtId="164" fontId="91" fillId="9" borderId="28" xfId="4" applyNumberFormat="1" applyFont="1" applyFill="1" applyBorder="1" applyAlignment="1">
      <alignment vertical="center" wrapText="1"/>
    </xf>
    <xf numFmtId="164" fontId="91" fillId="9" borderId="28" xfId="4" applyNumberFormat="1" applyFont="1" applyFill="1" applyBorder="1" applyAlignment="1">
      <alignment vertical="center"/>
    </xf>
    <xf numFmtId="9" fontId="91" fillId="9" borderId="31" xfId="1" applyFont="1" applyFill="1" applyBorder="1" applyAlignment="1">
      <alignment vertical="center"/>
    </xf>
    <xf numFmtId="164" fontId="91" fillId="9" borderId="31" xfId="4" applyNumberFormat="1" applyFont="1" applyFill="1" applyBorder="1" applyAlignment="1">
      <alignment vertical="center"/>
    </xf>
    <xf numFmtId="164" fontId="73" fillId="42" borderId="28" xfId="4" applyNumberFormat="1" applyFont="1" applyFill="1" applyBorder="1" applyAlignment="1">
      <alignment vertical="center" wrapText="1"/>
    </xf>
    <xf numFmtId="9" fontId="73" fillId="42" borderId="118" xfId="1" applyFont="1" applyFill="1" applyBorder="1" applyAlignment="1">
      <alignment vertical="center" wrapText="1"/>
    </xf>
    <xf numFmtId="164" fontId="73" fillId="42" borderId="118" xfId="4" applyNumberFormat="1" applyFont="1" applyFill="1" applyBorder="1" applyAlignment="1">
      <alignment vertical="center" wrapText="1"/>
    </xf>
    <xf numFmtId="164" fontId="72" fillId="17" borderId="121" xfId="4" applyNumberFormat="1" applyFont="1" applyFill="1" applyBorder="1" applyAlignment="1">
      <alignment vertical="center" wrapText="1"/>
    </xf>
    <xf numFmtId="164" fontId="72" fillId="54" borderId="28" xfId="4" applyNumberFormat="1" applyFont="1" applyFill="1" applyBorder="1" applyAlignment="1">
      <alignment vertical="center" wrapText="1"/>
    </xf>
    <xf numFmtId="164" fontId="72" fillId="54" borderId="117" xfId="4" applyNumberFormat="1" applyFont="1" applyFill="1" applyBorder="1" applyAlignment="1">
      <alignment vertical="center" wrapText="1"/>
    </xf>
    <xf numFmtId="9" fontId="72" fillId="54" borderId="118" xfId="1" applyFont="1" applyFill="1" applyBorder="1" applyAlignment="1">
      <alignment vertical="center" wrapText="1"/>
    </xf>
    <xf numFmtId="0" fontId="18" fillId="17" borderId="27" xfId="0" applyFont="1" applyFill="1" applyBorder="1"/>
    <xf numFmtId="164" fontId="31" fillId="0" borderId="0" xfId="4" applyNumberFormat="1" applyFont="1"/>
    <xf numFmtId="0" fontId="18" fillId="17" borderId="27" xfId="0" applyFont="1" applyFill="1" applyBorder="1" applyAlignment="1">
      <alignment vertical="top"/>
    </xf>
    <xf numFmtId="0" fontId="88" fillId="53" borderId="125" xfId="0" applyFont="1" applyFill="1" applyBorder="1"/>
    <xf numFmtId="0" fontId="88" fillId="49" borderId="126" xfId="0" applyFont="1" applyFill="1" applyBorder="1"/>
    <xf numFmtId="9" fontId="39" fillId="0" borderId="0" xfId="1" applyNumberFormat="1" applyFont="1" applyFill="1" applyAlignment="1">
      <alignment horizontal="left" vertical="center" readingOrder="1"/>
    </xf>
    <xf numFmtId="0" fontId="17" fillId="17" borderId="27" xfId="0" applyFont="1" applyFill="1" applyBorder="1"/>
    <xf numFmtId="0" fontId="79" fillId="13" borderId="127" xfId="0" applyFont="1" applyFill="1" applyBorder="1" applyAlignment="1">
      <alignment horizontal="center" vertical="center" wrapText="1"/>
    </xf>
    <xf numFmtId="164" fontId="72" fillId="10" borderId="117" xfId="4" applyNumberFormat="1" applyFont="1" applyFill="1" applyBorder="1" applyAlignment="1">
      <alignment vertical="center"/>
    </xf>
    <xf numFmtId="164" fontId="72" fillId="7" borderId="117" xfId="4" applyNumberFormat="1" applyFont="1" applyFill="1" applyBorder="1" applyAlignment="1">
      <alignment vertical="center"/>
    </xf>
    <xf numFmtId="164" fontId="72" fillId="11" borderId="117" xfId="4" applyNumberFormat="1" applyFont="1" applyFill="1" applyBorder="1" applyAlignment="1">
      <alignment vertical="center"/>
    </xf>
    <xf numFmtId="164" fontId="73" fillId="42" borderId="117" xfId="4" applyNumberFormat="1" applyFont="1" applyFill="1" applyBorder="1" applyAlignment="1">
      <alignment vertical="center" wrapText="1"/>
    </xf>
    <xf numFmtId="0" fontId="80" fillId="13" borderId="128" xfId="0" applyFont="1" applyFill="1" applyBorder="1" applyAlignment="1">
      <alignment horizontal="center" vertical="center" wrapText="1"/>
    </xf>
    <xf numFmtId="0" fontId="156" fillId="0" borderId="37" xfId="0" applyFont="1" applyBorder="1" applyAlignment="1">
      <alignment horizontal="left"/>
    </xf>
    <xf numFmtId="0" fontId="156" fillId="0" borderId="34" xfId="0" applyFont="1" applyBorder="1" applyAlignment="1">
      <alignment horizontal="left"/>
    </xf>
    <xf numFmtId="0" fontId="156" fillId="0" borderId="129" xfId="0" applyFont="1" applyBorder="1" applyAlignment="1">
      <alignment horizontal="left"/>
    </xf>
    <xf numFmtId="0" fontId="155" fillId="0" borderId="0" xfId="0" applyFont="1" applyFill="1" applyBorder="1" applyAlignment="1">
      <alignment horizontal="left" vertical="center"/>
    </xf>
    <xf numFmtId="0" fontId="147" fillId="45" borderId="130" xfId="0" applyFont="1" applyFill="1" applyBorder="1" applyAlignment="1">
      <alignment horizontal="center" vertical="center" wrapText="1"/>
    </xf>
    <xf numFmtId="0" fontId="147" fillId="45" borderId="131" xfId="0" applyFont="1" applyFill="1" applyBorder="1" applyAlignment="1">
      <alignment horizontal="center" vertical="center" wrapText="1"/>
    </xf>
    <xf numFmtId="0" fontId="147" fillId="56" borderId="132" xfId="0" applyFont="1" applyFill="1" applyBorder="1" applyAlignment="1">
      <alignment horizontal="center" vertical="center" wrapText="1"/>
    </xf>
    <xf numFmtId="164" fontId="91" fillId="14" borderId="134" xfId="4" applyNumberFormat="1" applyFont="1" applyFill="1" applyBorder="1" applyAlignment="1">
      <alignment vertical="center"/>
    </xf>
    <xf numFmtId="164" fontId="0" fillId="0" borderId="0" xfId="4" applyNumberFormat="1" applyFont="1"/>
    <xf numFmtId="0" fontId="89" fillId="0" borderId="0" xfId="0" applyFont="1"/>
    <xf numFmtId="0" fontId="15" fillId="57" borderId="23" xfId="80" applyBorder="1" applyAlignment="1">
      <alignment horizontal="right" vertical="center"/>
    </xf>
    <xf numFmtId="0" fontId="160" fillId="0" borderId="137" xfId="0" applyFont="1" applyFill="1" applyBorder="1" applyAlignment="1">
      <alignment vertical="top" wrapText="1"/>
    </xf>
    <xf numFmtId="0" fontId="161" fillId="0" borderId="0" xfId="0" applyFont="1" applyFill="1"/>
    <xf numFmtId="164" fontId="162" fillId="0" borderId="0" xfId="0" applyNumberFormat="1" applyFont="1" applyFill="1"/>
    <xf numFmtId="164" fontId="161" fillId="0" borderId="0" xfId="0" applyNumberFormat="1" applyFont="1" applyFill="1"/>
    <xf numFmtId="164" fontId="163" fillId="0" borderId="0" xfId="0" applyNumberFormat="1" applyFont="1" applyFill="1"/>
    <xf numFmtId="0" fontId="0" fillId="0" borderId="0" xfId="0" applyAlignment="1">
      <alignment horizontal="center" vertical="center" wrapText="1"/>
    </xf>
    <xf numFmtId="0" fontId="165" fillId="0" borderId="0" xfId="0" applyFont="1"/>
    <xf numFmtId="164" fontId="165" fillId="0" borderId="0" xfId="0" applyNumberFormat="1" applyFont="1"/>
    <xf numFmtId="164" fontId="164" fillId="0" borderId="0" xfId="4" applyNumberFormat="1" applyFont="1"/>
    <xf numFmtId="164" fontId="80" fillId="0" borderId="0" xfId="4" applyNumberFormat="1" applyFont="1"/>
    <xf numFmtId="164" fontId="165" fillId="0" borderId="0" xfId="0" applyNumberFormat="1" applyFont="1" applyAlignment="1">
      <alignment wrapText="1"/>
    </xf>
    <xf numFmtId="0" fontId="0" fillId="0" borderId="4" xfId="0" applyBorder="1"/>
    <xf numFmtId="164" fontId="164" fillId="0" borderId="4" xfId="4" applyNumberFormat="1" applyFont="1" applyBorder="1"/>
    <xf numFmtId="164" fontId="80" fillId="0" borderId="4" xfId="4" applyNumberFormat="1" applyFont="1" applyBorder="1"/>
    <xf numFmtId="0" fontId="80" fillId="0" borderId="0" xfId="0" applyFont="1" applyBorder="1" applyAlignment="1">
      <alignment horizontal="center" vertical="center" wrapText="1"/>
    </xf>
    <xf numFmtId="0" fontId="0" fillId="0" borderId="0" xfId="0" applyBorder="1"/>
    <xf numFmtId="164" fontId="80" fillId="0" borderId="0" xfId="4" applyNumberFormat="1" applyFont="1" applyBorder="1"/>
    <xf numFmtId="0" fontId="78" fillId="14" borderId="22" xfId="0" applyFont="1" applyFill="1" applyBorder="1" applyAlignment="1">
      <alignment horizontal="center" vertical="center"/>
    </xf>
    <xf numFmtId="0" fontId="78" fillId="8" borderId="22" xfId="0" applyFont="1" applyFill="1" applyBorder="1" applyAlignment="1">
      <alignment horizontal="center" vertical="center"/>
    </xf>
    <xf numFmtId="0" fontId="78" fillId="9" borderId="22" xfId="0" applyFont="1" applyFill="1" applyBorder="1" applyAlignment="1">
      <alignment horizontal="center" vertical="center"/>
    </xf>
    <xf numFmtId="0" fontId="166" fillId="42" borderId="22" xfId="0" applyFont="1" applyFill="1" applyBorder="1" applyAlignment="1">
      <alignment vertical="center"/>
    </xf>
    <xf numFmtId="0" fontId="166" fillId="16" borderId="22" xfId="0" applyFont="1" applyFill="1" applyBorder="1" applyAlignment="1">
      <alignment vertical="center"/>
    </xf>
    <xf numFmtId="0" fontId="127" fillId="12" borderId="22" xfId="0" applyFont="1" applyFill="1" applyBorder="1" applyAlignment="1">
      <alignment horizontal="center" vertical="center" wrapText="1"/>
    </xf>
    <xf numFmtId="0" fontId="166" fillId="0" borderId="22" xfId="0" applyFont="1" applyBorder="1" applyAlignment="1">
      <alignment horizontal="center" vertical="center" wrapText="1"/>
    </xf>
    <xf numFmtId="0" fontId="167" fillId="0" borderId="0" xfId="0" applyFont="1"/>
    <xf numFmtId="0" fontId="13" fillId="19" borderId="0" xfId="0" applyFont="1" applyFill="1"/>
    <xf numFmtId="0" fontId="13" fillId="17" borderId="27" xfId="0" applyFont="1" applyFill="1" applyBorder="1"/>
    <xf numFmtId="164" fontId="72" fillId="7" borderId="31" xfId="4" applyNumberFormat="1" applyFont="1" applyFill="1" applyBorder="1" applyAlignment="1">
      <alignment vertical="center"/>
    </xf>
    <xf numFmtId="9" fontId="168" fillId="58" borderId="138" xfId="1" applyFont="1" applyFill="1" applyBorder="1" applyAlignment="1">
      <alignment horizontal="center" vertical="center" wrapText="1"/>
    </xf>
    <xf numFmtId="9" fontId="168" fillId="58" borderId="139" xfId="1" applyFont="1" applyFill="1" applyBorder="1" applyAlignment="1">
      <alignment horizontal="center" vertical="center" wrapText="1"/>
    </xf>
    <xf numFmtId="169" fontId="168" fillId="58" borderId="140" xfId="1" applyNumberFormat="1" applyFont="1" applyFill="1" applyBorder="1" applyAlignment="1">
      <alignment horizontal="center" vertical="center" wrapText="1"/>
    </xf>
    <xf numFmtId="9" fontId="169" fillId="0" borderId="141" xfId="1" applyFont="1" applyBorder="1" applyAlignment="1">
      <alignment horizontal="center"/>
    </xf>
    <xf numFmtId="9" fontId="169" fillId="0" borderId="142" xfId="1" applyFont="1" applyBorder="1" applyAlignment="1">
      <alignment horizontal="center"/>
    </xf>
    <xf numFmtId="169" fontId="169" fillId="0" borderId="143" xfId="1" applyNumberFormat="1" applyFont="1" applyBorder="1" applyAlignment="1">
      <alignment horizontal="center"/>
    </xf>
    <xf numFmtId="49" fontId="12" fillId="57" borderId="23" xfId="80" applyNumberFormat="1" applyFont="1" applyBorder="1" applyAlignment="1">
      <alignment horizontal="left" vertical="center"/>
    </xf>
    <xf numFmtId="1" fontId="47" fillId="42" borderId="23" xfId="0" applyNumberFormat="1" applyFont="1" applyFill="1" applyBorder="1"/>
    <xf numFmtId="0" fontId="44" fillId="59" borderId="59" xfId="0" applyFont="1" applyFill="1" applyBorder="1" applyAlignment="1">
      <alignment horizontal="left" vertical="center"/>
    </xf>
    <xf numFmtId="0" fontId="44" fillId="59" borderId="60" xfId="0" applyFont="1" applyFill="1" applyBorder="1" applyAlignment="1">
      <alignment vertical="center"/>
    </xf>
    <xf numFmtId="164" fontId="44" fillId="59" borderId="61" xfId="4" applyNumberFormat="1" applyFont="1" applyFill="1" applyBorder="1" applyAlignment="1">
      <alignment vertical="center"/>
    </xf>
    <xf numFmtId="0" fontId="72" fillId="0" borderId="0" xfId="0" applyFont="1" applyAlignment="1"/>
    <xf numFmtId="0" fontId="10" fillId="0" borderId="0" xfId="0" applyFont="1"/>
    <xf numFmtId="0" fontId="98" fillId="35" borderId="28" xfId="0" applyFont="1" applyFill="1" applyBorder="1" applyAlignment="1">
      <alignment horizontal="center" vertical="center" wrapText="1"/>
    </xf>
    <xf numFmtId="0" fontId="84" fillId="35" borderId="28" xfId="0" applyFont="1" applyFill="1" applyBorder="1" applyAlignment="1">
      <alignment horizontal="center" vertical="center" wrapText="1"/>
    </xf>
    <xf numFmtId="0" fontId="157" fillId="35" borderId="28" xfId="0" applyFont="1" applyFill="1" applyBorder="1" applyAlignment="1">
      <alignment horizontal="center" vertical="center" wrapText="1"/>
    </xf>
    <xf numFmtId="0" fontId="96" fillId="0" borderId="0" xfId="0" applyFont="1" applyBorder="1" applyAlignment="1">
      <alignment horizontal="left" vertical="center"/>
    </xf>
    <xf numFmtId="164" fontId="147" fillId="11" borderId="28" xfId="4" applyNumberFormat="1" applyFont="1" applyFill="1" applyBorder="1" applyAlignment="1">
      <alignment vertical="center" wrapText="1"/>
    </xf>
    <xf numFmtId="0" fontId="147" fillId="60" borderId="131" xfId="0" applyFont="1" applyFill="1" applyBorder="1" applyAlignment="1">
      <alignment horizontal="center" vertical="center" wrapText="1"/>
    </xf>
    <xf numFmtId="0" fontId="170" fillId="0" borderId="0" xfId="0" applyFont="1" applyFill="1" applyBorder="1" applyAlignment="1">
      <alignment horizontal="left" vertical="center"/>
    </xf>
    <xf numFmtId="0" fontId="147" fillId="60" borderId="144" xfId="0" applyFont="1" applyFill="1" applyBorder="1" applyAlignment="1">
      <alignment horizontal="center" vertical="center" wrapText="1"/>
    </xf>
    <xf numFmtId="0" fontId="147" fillId="45" borderId="0" xfId="0" applyFont="1" applyFill="1" applyBorder="1" applyAlignment="1">
      <alignment horizontal="center" vertical="center" wrapText="1"/>
    </xf>
    <xf numFmtId="0" fontId="147" fillId="60" borderId="0" xfId="0" applyFont="1" applyFill="1" applyBorder="1" applyAlignment="1">
      <alignment vertical="center" wrapText="1"/>
    </xf>
    <xf numFmtId="0" fontId="147" fillId="45" borderId="146" xfId="0" applyFont="1" applyFill="1" applyBorder="1" applyAlignment="1">
      <alignment horizontal="center" vertical="center" wrapText="1"/>
    </xf>
    <xf numFmtId="164" fontId="147" fillId="11" borderId="135" xfId="4" applyNumberFormat="1" applyFont="1" applyFill="1" applyBorder="1" applyAlignment="1">
      <alignment vertical="center"/>
    </xf>
    <xf numFmtId="164" fontId="147" fillId="11" borderId="135" xfId="4" applyNumberFormat="1" applyFont="1" applyFill="1" applyBorder="1" applyAlignment="1">
      <alignment vertical="center" wrapText="1"/>
    </xf>
    <xf numFmtId="164" fontId="73" fillId="54" borderId="135" xfId="4" applyNumberFormat="1" applyFont="1" applyFill="1" applyBorder="1" applyAlignment="1">
      <alignment vertical="center" wrapText="1"/>
    </xf>
    <xf numFmtId="164" fontId="91" fillId="14" borderId="135" xfId="4" applyNumberFormat="1" applyFont="1" applyFill="1" applyBorder="1" applyAlignment="1">
      <alignment vertical="center"/>
    </xf>
    <xf numFmtId="164" fontId="91" fillId="8" borderId="135" xfId="4" applyNumberFormat="1" applyFont="1" applyFill="1" applyBorder="1" applyAlignment="1">
      <alignment vertical="center"/>
    </xf>
    <xf numFmtId="9" fontId="72" fillId="0" borderId="0" xfId="1" applyFont="1"/>
    <xf numFmtId="9" fontId="85" fillId="0" borderId="0" xfId="0" applyNumberFormat="1" applyFont="1"/>
    <xf numFmtId="0" fontId="48" fillId="42" borderId="0" xfId="21" applyFont="1" applyFill="1" applyAlignment="1">
      <alignment horizontal="center" vertical="center" readingOrder="1"/>
    </xf>
    <xf numFmtId="0" fontId="48" fillId="38" borderId="0" xfId="0" applyFont="1" applyFill="1" applyAlignment="1">
      <alignment horizontal="center" vertical="center" wrapText="1"/>
    </xf>
    <xf numFmtId="9" fontId="46" fillId="52" borderId="0" xfId="18" applyNumberFormat="1" applyFont="1" applyFill="1" applyAlignment="1">
      <alignment horizontal="center" vertical="center" wrapText="1" readingOrder="1"/>
    </xf>
    <xf numFmtId="0" fontId="48" fillId="61" borderId="147" xfId="0" applyFont="1" applyFill="1" applyBorder="1" applyAlignment="1">
      <alignment vertical="top" wrapText="1"/>
    </xf>
    <xf numFmtId="0" fontId="46" fillId="38" borderId="0" xfId="0" applyFont="1" applyFill="1" applyAlignment="1">
      <alignment horizontal="center" vertical="center" wrapText="1"/>
    </xf>
    <xf numFmtId="168" fontId="39" fillId="0" borderId="0" xfId="4" applyNumberFormat="1" applyFont="1" applyFill="1" applyAlignment="1">
      <alignment horizontal="left" vertical="center" readingOrder="1"/>
    </xf>
    <xf numFmtId="0" fontId="172" fillId="61" borderId="147" xfId="0" applyFont="1" applyFill="1" applyBorder="1" applyAlignment="1">
      <alignment vertical="top" wrapText="1"/>
    </xf>
    <xf numFmtId="0" fontId="46" fillId="61" borderId="147" xfId="0" applyFont="1" applyFill="1" applyBorder="1" applyAlignment="1">
      <alignment vertical="top" wrapText="1"/>
    </xf>
    <xf numFmtId="0" fontId="46" fillId="38" borderId="149" xfId="0" applyFont="1" applyFill="1" applyBorder="1" applyAlignment="1">
      <alignment horizontal="left" vertical="center" wrapText="1"/>
    </xf>
    <xf numFmtId="0" fontId="46" fillId="38" borderId="150" xfId="0" applyFont="1" applyFill="1" applyBorder="1" applyAlignment="1">
      <alignment horizontal="center" vertical="center" wrapText="1"/>
    </xf>
    <xf numFmtId="0" fontId="46" fillId="61" borderId="150" xfId="0" applyFont="1" applyFill="1" applyBorder="1" applyAlignment="1">
      <alignment vertical="top" wrapText="1"/>
    </xf>
    <xf numFmtId="0" fontId="48" fillId="61" borderId="150" xfId="0" applyFont="1" applyFill="1" applyBorder="1" applyAlignment="1">
      <alignment vertical="top" wrapText="1"/>
    </xf>
    <xf numFmtId="164" fontId="147" fillId="11" borderId="134" xfId="4" applyNumberFormat="1" applyFont="1" applyFill="1" applyBorder="1" applyAlignment="1">
      <alignment vertical="center"/>
    </xf>
    <xf numFmtId="164" fontId="147" fillId="11" borderId="28" xfId="4" applyNumberFormat="1" applyFont="1" applyFill="1" applyBorder="1" applyAlignment="1">
      <alignment vertical="center"/>
    </xf>
    <xf numFmtId="0" fontId="147" fillId="45" borderId="145" xfId="0" applyFont="1" applyFill="1" applyBorder="1" applyAlignment="1">
      <alignment vertical="center" wrapText="1"/>
    </xf>
    <xf numFmtId="164" fontId="72" fillId="12" borderId="28" xfId="4" applyNumberFormat="1" applyFont="1" applyFill="1" applyBorder="1" applyAlignment="1">
      <alignment vertical="center" wrapText="1"/>
    </xf>
    <xf numFmtId="164" fontId="72" fillId="12" borderId="28" xfId="4" applyNumberFormat="1" applyFont="1" applyFill="1" applyBorder="1" applyAlignment="1">
      <alignment vertical="center"/>
    </xf>
    <xf numFmtId="164" fontId="72" fillId="12" borderId="117" xfId="4" applyNumberFormat="1" applyFont="1" applyFill="1" applyBorder="1" applyAlignment="1">
      <alignment vertical="center"/>
    </xf>
    <xf numFmtId="9" fontId="72" fillId="12" borderId="31" xfId="1" applyFont="1" applyFill="1" applyBorder="1" applyAlignment="1">
      <alignment vertical="center"/>
    </xf>
    <xf numFmtId="164" fontId="91" fillId="45" borderId="28" xfId="4" applyNumberFormat="1" applyFont="1" applyFill="1" applyBorder="1" applyAlignment="1">
      <alignment vertical="center" wrapText="1"/>
    </xf>
    <xf numFmtId="164" fontId="91" fillId="45" borderId="28" xfId="4" applyNumberFormat="1" applyFont="1" applyFill="1" applyBorder="1" applyAlignment="1">
      <alignment vertical="center"/>
    </xf>
    <xf numFmtId="9" fontId="91" fillId="45" borderId="31" xfId="1" applyFont="1" applyFill="1" applyBorder="1" applyAlignment="1">
      <alignment vertical="center"/>
    </xf>
    <xf numFmtId="164" fontId="91" fillId="45" borderId="31" xfId="4" applyNumberFormat="1" applyFont="1" applyFill="1" applyBorder="1" applyAlignment="1">
      <alignment vertical="center"/>
    </xf>
    <xf numFmtId="9" fontId="72" fillId="0" borderId="0" xfId="1" applyFont="1" applyAlignment="1">
      <alignment horizontal="center" vertical="center" wrapText="1"/>
    </xf>
    <xf numFmtId="164" fontId="72" fillId="0" borderId="0" xfId="1" applyNumberFormat="1" applyFont="1"/>
    <xf numFmtId="164" fontId="73" fillId="12" borderId="135" xfId="4" applyNumberFormat="1" applyFont="1" applyFill="1" applyBorder="1" applyAlignment="1">
      <alignment vertical="center" wrapText="1"/>
    </xf>
    <xf numFmtId="0" fontId="80" fillId="13" borderId="127" xfId="0" applyFont="1" applyFill="1" applyBorder="1" applyAlignment="1">
      <alignment horizontal="center" vertical="center" wrapText="1"/>
    </xf>
    <xf numFmtId="9" fontId="72" fillId="10" borderId="117" xfId="1" applyFont="1" applyFill="1" applyBorder="1" applyAlignment="1">
      <alignment vertical="center"/>
    </xf>
    <xf numFmtId="9" fontId="91" fillId="14" borderId="117" xfId="1" applyFont="1" applyFill="1" applyBorder="1" applyAlignment="1">
      <alignment vertical="center"/>
    </xf>
    <xf numFmtId="9" fontId="72" fillId="7" borderId="117" xfId="1" applyFont="1" applyFill="1" applyBorder="1" applyAlignment="1">
      <alignment vertical="center"/>
    </xf>
    <xf numFmtId="9" fontId="91" fillId="8" borderId="117" xfId="1" applyFont="1" applyFill="1" applyBorder="1" applyAlignment="1">
      <alignment vertical="center"/>
    </xf>
    <xf numFmtId="9" fontId="72" fillId="11" borderId="117" xfId="1" applyFont="1" applyFill="1" applyBorder="1" applyAlignment="1">
      <alignment vertical="center"/>
    </xf>
    <xf numFmtId="9" fontId="91" fillId="9" borderId="117" xfId="1" applyFont="1" applyFill="1" applyBorder="1" applyAlignment="1">
      <alignment vertical="center"/>
    </xf>
    <xf numFmtId="9" fontId="72" fillId="54" borderId="151" xfId="1" applyFont="1" applyFill="1" applyBorder="1" applyAlignment="1">
      <alignment vertical="center" wrapText="1"/>
    </xf>
    <xf numFmtId="9" fontId="73" fillId="42" borderId="151" xfId="1" applyFont="1" applyFill="1" applyBorder="1" applyAlignment="1">
      <alignment vertical="center" wrapText="1"/>
    </xf>
    <xf numFmtId="9" fontId="72" fillId="17" borderId="151" xfId="1" applyFont="1" applyFill="1" applyBorder="1" applyAlignment="1">
      <alignment vertical="center" wrapText="1"/>
    </xf>
    <xf numFmtId="9" fontId="72" fillId="12" borderId="117" xfId="1" applyFont="1" applyFill="1" applyBorder="1" applyAlignment="1">
      <alignment vertical="center"/>
    </xf>
    <xf numFmtId="9" fontId="91" fillId="45" borderId="117" xfId="1" applyFont="1" applyFill="1" applyBorder="1" applyAlignment="1">
      <alignment vertical="center"/>
    </xf>
    <xf numFmtId="0" fontId="79" fillId="33" borderId="156" xfId="0" applyFont="1" applyFill="1" applyBorder="1" applyAlignment="1">
      <alignment horizontal="center" vertical="center" wrapText="1"/>
    </xf>
    <xf numFmtId="0" fontId="79" fillId="33" borderId="157" xfId="0" applyFont="1" applyFill="1" applyBorder="1" applyAlignment="1">
      <alignment horizontal="center" vertical="center" wrapText="1"/>
    </xf>
    <xf numFmtId="0" fontId="79" fillId="33" borderId="131" xfId="0" applyFont="1" applyFill="1" applyBorder="1" applyAlignment="1">
      <alignment horizontal="center" vertical="center" wrapText="1"/>
    </xf>
    <xf numFmtId="0" fontId="80" fillId="13" borderId="158" xfId="0" applyFont="1" applyFill="1" applyBorder="1" applyAlignment="1">
      <alignment horizontal="center" vertical="center" wrapText="1"/>
    </xf>
    <xf numFmtId="164" fontId="72" fillId="10" borderId="133" xfId="4" applyNumberFormat="1" applyFont="1" applyFill="1" applyBorder="1" applyAlignment="1">
      <alignment vertical="center"/>
    </xf>
    <xf numFmtId="164" fontId="72" fillId="10" borderId="135" xfId="4" applyNumberFormat="1" applyFont="1" applyFill="1" applyBorder="1" applyAlignment="1">
      <alignment vertical="center"/>
    </xf>
    <xf numFmtId="164" fontId="72" fillId="7" borderId="133" xfId="4" applyNumberFormat="1" applyFont="1" applyFill="1" applyBorder="1" applyAlignment="1">
      <alignment vertical="center"/>
    </xf>
    <xf numFmtId="164" fontId="127" fillId="7" borderId="135" xfId="4" applyNumberFormat="1" applyFont="1" applyFill="1" applyBorder="1" applyAlignment="1">
      <alignment vertical="center"/>
    </xf>
    <xf numFmtId="164" fontId="91" fillId="8" borderId="133" xfId="4" applyNumberFormat="1" applyFont="1" applyFill="1" applyBorder="1" applyAlignment="1">
      <alignment vertical="center"/>
    </xf>
    <xf numFmtId="164" fontId="147" fillId="11" borderId="134" xfId="4" applyNumberFormat="1" applyFont="1" applyFill="1" applyBorder="1" applyAlignment="1">
      <alignment vertical="center" wrapText="1"/>
    </xf>
    <xf numFmtId="164" fontId="91" fillId="9" borderId="133" xfId="4" applyNumberFormat="1" applyFont="1" applyFill="1" applyBorder="1" applyAlignment="1">
      <alignment vertical="center"/>
    </xf>
    <xf numFmtId="164" fontId="91" fillId="9" borderId="135" xfId="4" applyNumberFormat="1" applyFont="1" applyFill="1" applyBorder="1" applyAlignment="1">
      <alignment vertical="center"/>
    </xf>
    <xf numFmtId="164" fontId="72" fillId="54" borderId="134" xfId="4" applyNumberFormat="1" applyFont="1" applyFill="1" applyBorder="1" applyAlignment="1">
      <alignment vertical="center" wrapText="1"/>
    </xf>
    <xf numFmtId="164" fontId="73" fillId="42" borderId="133" xfId="4" applyNumberFormat="1" applyFont="1" applyFill="1" applyBorder="1" applyAlignment="1">
      <alignment vertical="center" wrapText="1"/>
    </xf>
    <xf numFmtId="164" fontId="73" fillId="42" borderId="159" xfId="4" applyNumberFormat="1" applyFont="1" applyFill="1" applyBorder="1" applyAlignment="1">
      <alignment vertical="center" wrapText="1"/>
    </xf>
    <xf numFmtId="164" fontId="72" fillId="17" borderId="135" xfId="4" applyNumberFormat="1" applyFont="1" applyFill="1" applyBorder="1" applyAlignment="1">
      <alignment vertical="center" wrapText="1"/>
    </xf>
    <xf numFmtId="164" fontId="72" fillId="12" borderId="134" xfId="4" applyNumberFormat="1" applyFont="1" applyFill="1" applyBorder="1" applyAlignment="1">
      <alignment vertical="center" wrapText="1"/>
    </xf>
    <xf numFmtId="164" fontId="91" fillId="45" borderId="133" xfId="4" applyNumberFormat="1" applyFont="1" applyFill="1" applyBorder="1" applyAlignment="1">
      <alignment vertical="center"/>
    </xf>
    <xf numFmtId="164" fontId="91" fillId="45" borderId="135" xfId="4" applyNumberFormat="1" applyFont="1" applyFill="1" applyBorder="1" applyAlignment="1">
      <alignment vertical="center"/>
    </xf>
    <xf numFmtId="164" fontId="91" fillId="45" borderId="160" xfId="4" applyNumberFormat="1" applyFont="1" applyFill="1" applyBorder="1" applyAlignment="1">
      <alignment vertical="center"/>
    </xf>
    <xf numFmtId="164" fontId="91" fillId="45" borderId="161" xfId="4" applyNumberFormat="1" applyFont="1" applyFill="1" applyBorder="1" applyAlignment="1">
      <alignment vertical="center"/>
    </xf>
    <xf numFmtId="43" fontId="47" fillId="0" borderId="0" xfId="0" applyNumberFormat="1" applyFont="1"/>
    <xf numFmtId="0" fontId="31" fillId="17" borderId="27" xfId="0" applyFont="1" applyFill="1" applyBorder="1" applyAlignment="1">
      <alignment vertical="center" wrapText="1"/>
    </xf>
    <xf numFmtId="1" fontId="31" fillId="0" borderId="0" xfId="4" applyNumberFormat="1" applyFont="1" applyAlignment="1">
      <alignment vertical="center" wrapText="1"/>
    </xf>
    <xf numFmtId="0" fontId="31" fillId="0" borderId="0" xfId="0" applyFont="1" applyAlignment="1">
      <alignment vertical="center" wrapText="1"/>
    </xf>
    <xf numFmtId="1" fontId="31" fillId="0" borderId="0" xfId="0" applyNumberFormat="1" applyFont="1" applyAlignment="1">
      <alignment vertical="center" wrapText="1"/>
    </xf>
    <xf numFmtId="164" fontId="31" fillId="0" borderId="0" xfId="4" applyNumberFormat="1" applyFont="1" applyAlignment="1">
      <alignment vertical="center" wrapText="1"/>
    </xf>
    <xf numFmtId="0" fontId="7" fillId="17" borderId="27" xfId="0" applyFont="1" applyFill="1" applyBorder="1" applyAlignment="1">
      <alignment vertical="center" wrapText="1"/>
    </xf>
    <xf numFmtId="0" fontId="7" fillId="19" borderId="0" xfId="0" applyFont="1" applyFill="1"/>
    <xf numFmtId="164" fontId="86" fillId="0" borderId="38" xfId="0" applyNumberFormat="1" applyFont="1" applyBorder="1"/>
    <xf numFmtId="164" fontId="86" fillId="0" borderId="163" xfId="0" applyNumberFormat="1" applyFont="1" applyBorder="1"/>
    <xf numFmtId="164" fontId="86" fillId="0" borderId="162" xfId="0" applyNumberFormat="1" applyFont="1" applyBorder="1"/>
    <xf numFmtId="164" fontId="127" fillId="2" borderId="22" xfId="4" applyNumberFormat="1" applyFont="1" applyFill="1" applyBorder="1" applyAlignment="1">
      <alignment horizontal="center" vertical="center" wrapText="1"/>
    </xf>
    <xf numFmtId="2" fontId="72" fillId="0" borderId="0" xfId="1" applyNumberFormat="1" applyFont="1"/>
    <xf numFmtId="169" fontId="0" fillId="0" borderId="0" xfId="1" applyNumberFormat="1" applyFont="1"/>
    <xf numFmtId="169" fontId="72" fillId="0" borderId="0" xfId="1" applyNumberFormat="1" applyFont="1"/>
    <xf numFmtId="9" fontId="72" fillId="45" borderId="164" xfId="1" applyFont="1" applyFill="1" applyBorder="1" applyAlignment="1">
      <alignment vertical="center"/>
    </xf>
    <xf numFmtId="9" fontId="72" fillId="45" borderId="161" xfId="1" applyFont="1" applyFill="1" applyBorder="1" applyAlignment="1">
      <alignment vertical="center"/>
    </xf>
    <xf numFmtId="164" fontId="91" fillId="45" borderId="165" xfId="4" applyNumberFormat="1" applyFont="1" applyFill="1" applyBorder="1" applyAlignment="1">
      <alignment vertical="center"/>
    </xf>
    <xf numFmtId="0" fontId="39" fillId="0" borderId="0" xfId="42" applyFont="1" applyFill="1" applyBorder="1" applyAlignment="1">
      <alignment horizontal="left" vertical="center" readingOrder="1"/>
    </xf>
    <xf numFmtId="49" fontId="96" fillId="62" borderId="0" xfId="0" applyNumberFormat="1" applyFont="1" applyFill="1" applyBorder="1" applyAlignment="1">
      <alignment horizontal="left" vertical="center"/>
    </xf>
    <xf numFmtId="1" fontId="96" fillId="0" borderId="0" xfId="0" applyNumberFormat="1" applyFont="1" applyBorder="1" applyAlignment="1">
      <alignment horizontal="right" vertical="center"/>
    </xf>
    <xf numFmtId="0" fontId="47" fillId="0" borderId="23" xfId="0" applyNumberFormat="1" applyFont="1" applyFill="1" applyBorder="1" applyAlignment="1">
      <alignment wrapText="1"/>
    </xf>
    <xf numFmtId="9" fontId="79" fillId="0" borderId="154" xfId="1" applyNumberFormat="1" applyFont="1" applyBorder="1" applyAlignment="1">
      <alignment vertical="center" wrapText="1"/>
    </xf>
    <xf numFmtId="9" fontId="79" fillId="0" borderId="155" xfId="1" applyNumberFormat="1" applyFont="1" applyBorder="1" applyAlignment="1">
      <alignment vertical="center" wrapText="1"/>
    </xf>
    <xf numFmtId="9" fontId="0" fillId="0" borderId="0" xfId="1" applyFont="1" applyFill="1"/>
    <xf numFmtId="0" fontId="174" fillId="0" borderId="25" xfId="0" applyFont="1" applyFill="1" applyBorder="1"/>
    <xf numFmtId="0" fontId="176" fillId="0" borderId="0" xfId="0" applyFont="1" applyFill="1" applyBorder="1"/>
    <xf numFmtId="0" fontId="176" fillId="0" borderId="0" xfId="0" applyFont="1" applyFill="1"/>
    <xf numFmtId="0" fontId="176" fillId="0" borderId="173" xfId="0" applyFont="1" applyFill="1" applyBorder="1"/>
    <xf numFmtId="0" fontId="176" fillId="0" borderId="171" xfId="0" applyFont="1" applyFill="1" applyBorder="1"/>
    <xf numFmtId="0" fontId="176" fillId="0" borderId="172" xfId="0" applyFont="1" applyFill="1" applyBorder="1"/>
    <xf numFmtId="0" fontId="176" fillId="0" borderId="170" xfId="0" applyFont="1" applyFill="1" applyBorder="1"/>
    <xf numFmtId="0" fontId="176" fillId="0" borderId="25" xfId="0" applyFont="1" applyFill="1" applyBorder="1"/>
    <xf numFmtId="0" fontId="176" fillId="0" borderId="175" xfId="0" applyFont="1" applyFill="1" applyBorder="1"/>
    <xf numFmtId="0" fontId="177" fillId="0" borderId="168" xfId="0" applyFont="1" applyFill="1" applyBorder="1"/>
    <xf numFmtId="0" fontId="177" fillId="0" borderId="25" xfId="0" applyFont="1" applyFill="1" applyBorder="1"/>
    <xf numFmtId="0" fontId="177" fillId="0" borderId="169" xfId="0" applyFont="1" applyFill="1" applyBorder="1"/>
    <xf numFmtId="0" fontId="134" fillId="0" borderId="0" xfId="0" applyFont="1" applyFill="1" applyBorder="1"/>
    <xf numFmtId="0" fontId="134" fillId="0" borderId="166" xfId="0" applyFont="1" applyFill="1" applyBorder="1"/>
    <xf numFmtId="0" fontId="134" fillId="0" borderId="0" xfId="0" applyFont="1" applyFill="1"/>
    <xf numFmtId="0" fontId="134" fillId="0" borderId="167" xfId="0" applyFont="1" applyFill="1" applyBorder="1"/>
    <xf numFmtId="0" fontId="134" fillId="0" borderId="171" xfId="0" applyFont="1" applyFill="1" applyBorder="1"/>
    <xf numFmtId="0" fontId="134" fillId="0" borderId="176" xfId="0" applyFont="1" applyFill="1" applyBorder="1"/>
    <xf numFmtId="0" fontId="134" fillId="0" borderId="174" xfId="0" applyFont="1" applyFill="1" applyBorder="1"/>
    <xf numFmtId="0" fontId="175" fillId="0" borderId="0" xfId="0" applyFont="1" applyFill="1" applyAlignment="1">
      <alignment horizontal="left"/>
    </xf>
    <xf numFmtId="0" fontId="178" fillId="0" borderId="0" xfId="0" applyFont="1"/>
    <xf numFmtId="9" fontId="44" fillId="59" borderId="61" xfId="0" applyNumberFormat="1" applyFont="1" applyFill="1" applyBorder="1" applyAlignment="1">
      <alignment horizontal="center" vertical="center"/>
    </xf>
    <xf numFmtId="0" fontId="179" fillId="31" borderId="177" xfId="0" applyFont="1" applyFill="1" applyBorder="1" applyAlignment="1">
      <alignment horizontal="left"/>
    </xf>
    <xf numFmtId="0" fontId="180" fillId="0" borderId="39" xfId="0" applyNumberFormat="1" applyFont="1" applyBorder="1"/>
    <xf numFmtId="0" fontId="180" fillId="0" borderId="40" xfId="0" applyNumberFormat="1" applyFont="1" applyBorder="1"/>
    <xf numFmtId="0" fontId="180" fillId="0" borderId="38" xfId="0" applyNumberFormat="1" applyFont="1" applyBorder="1"/>
    <xf numFmtId="9" fontId="181" fillId="59" borderId="61" xfId="0" applyNumberFormat="1" applyFont="1" applyFill="1" applyBorder="1" applyAlignment="1">
      <alignment horizontal="center" vertical="center"/>
    </xf>
    <xf numFmtId="164" fontId="16" fillId="0" borderId="0" xfId="4" applyNumberFormat="1" applyFont="1" applyAlignment="1">
      <alignment horizontal="center" vertical="center"/>
    </xf>
    <xf numFmtId="164" fontId="16" fillId="0" borderId="0" xfId="4" applyNumberFormat="1" applyFont="1" applyFill="1" applyBorder="1" applyAlignment="1">
      <alignment horizontal="center" vertical="center"/>
    </xf>
    <xf numFmtId="164" fontId="47" fillId="0" borderId="0" xfId="4" applyNumberFormat="1" applyFont="1" applyAlignment="1">
      <alignment horizontal="center" vertical="center"/>
    </xf>
    <xf numFmtId="164" fontId="9" fillId="0" borderId="0" xfId="4" applyNumberFormat="1" applyFont="1" applyFill="1" applyBorder="1" applyAlignment="1">
      <alignment horizontal="center" vertical="center"/>
    </xf>
    <xf numFmtId="9" fontId="16" fillId="0" borderId="0" xfId="0" applyNumberFormat="1" applyFont="1" applyFill="1" applyBorder="1" applyAlignment="1">
      <alignment horizontal="center" vertical="center"/>
    </xf>
    <xf numFmtId="9" fontId="158" fillId="31" borderId="0" xfId="0" applyNumberFormat="1" applyFont="1" applyFill="1" applyBorder="1" applyAlignment="1">
      <alignment horizontal="center" vertical="center"/>
    </xf>
    <xf numFmtId="9" fontId="158" fillId="0" borderId="0" xfId="0" applyNumberFormat="1" applyFont="1" applyFill="1" applyBorder="1" applyAlignment="1">
      <alignment horizontal="center" vertical="center"/>
    </xf>
    <xf numFmtId="9" fontId="9" fillId="0" borderId="0" xfId="0" applyNumberFormat="1" applyFont="1" applyFill="1" applyBorder="1" applyAlignment="1">
      <alignment horizontal="center" vertical="center"/>
    </xf>
    <xf numFmtId="9" fontId="171" fillId="0" borderId="0" xfId="0" applyNumberFormat="1" applyFont="1" applyFill="1" applyBorder="1" applyAlignment="1">
      <alignment horizontal="center" vertical="center"/>
    </xf>
    <xf numFmtId="0" fontId="73" fillId="0" borderId="0" xfId="0" applyFont="1" applyAlignment="1">
      <alignment wrapText="1"/>
    </xf>
    <xf numFmtId="164" fontId="0" fillId="42" borderId="22" xfId="4" applyNumberFormat="1" applyFont="1" applyFill="1" applyBorder="1" applyAlignment="1">
      <alignment vertical="center" wrapText="1"/>
    </xf>
    <xf numFmtId="164" fontId="78" fillId="36" borderId="22" xfId="4" applyNumberFormat="1" applyFont="1" applyFill="1" applyBorder="1" applyAlignment="1">
      <alignment horizontal="right" vertical="center" wrapText="1"/>
    </xf>
    <xf numFmtId="164" fontId="78" fillId="8" borderId="22" xfId="4" applyNumberFormat="1" applyFont="1" applyFill="1" applyBorder="1" applyAlignment="1">
      <alignment horizontal="right" vertical="center" wrapText="1"/>
    </xf>
    <xf numFmtId="164" fontId="78" fillId="14" borderId="22" xfId="4" applyNumberFormat="1" applyFont="1" applyFill="1" applyBorder="1" applyAlignment="1">
      <alignment horizontal="right" vertical="center" wrapText="1"/>
    </xf>
    <xf numFmtId="164" fontId="91" fillId="45" borderId="121" xfId="4" applyNumberFormat="1" applyFont="1" applyFill="1" applyBorder="1" applyAlignment="1">
      <alignment vertical="center"/>
    </xf>
    <xf numFmtId="0" fontId="134" fillId="0" borderId="0" xfId="0" applyFont="1" applyBorder="1"/>
    <xf numFmtId="0" fontId="134" fillId="0" borderId="0" xfId="0" applyFont="1"/>
    <xf numFmtId="0" fontId="134" fillId="0" borderId="25" xfId="0" applyFont="1" applyBorder="1"/>
    <xf numFmtId="0" fontId="72" fillId="0" borderId="0" xfId="0" applyFont="1" applyAlignment="1">
      <alignment vertical="center"/>
    </xf>
    <xf numFmtId="164" fontId="72" fillId="0" borderId="0" xfId="0" applyNumberFormat="1" applyFont="1" applyAlignment="1">
      <alignment vertical="center"/>
    </xf>
    <xf numFmtId="0" fontId="98" fillId="35" borderId="180" xfId="0" applyFont="1" applyFill="1" applyBorder="1" applyAlignment="1">
      <alignment horizontal="center" vertical="center" wrapText="1"/>
    </xf>
    <xf numFmtId="0" fontId="98" fillId="35" borderId="181" xfId="0" applyFont="1" applyFill="1" applyBorder="1" applyAlignment="1">
      <alignment horizontal="center" vertical="center"/>
    </xf>
    <xf numFmtId="0" fontId="98" fillId="35" borderId="181" xfId="0" applyFont="1" applyFill="1" applyBorder="1" applyAlignment="1">
      <alignment horizontal="center" vertical="center" wrapText="1"/>
    </xf>
    <xf numFmtId="0" fontId="84" fillId="35" borderId="181" xfId="0" applyFont="1" applyFill="1" applyBorder="1" applyAlignment="1">
      <alignment horizontal="center" vertical="center" wrapText="1"/>
    </xf>
    <xf numFmtId="0" fontId="98" fillId="35" borderId="182" xfId="0" applyFont="1" applyFill="1" applyBorder="1" applyAlignment="1">
      <alignment horizontal="center" vertical="center" wrapText="1"/>
    </xf>
    <xf numFmtId="0" fontId="96" fillId="0" borderId="121" xfId="0" applyFont="1" applyFill="1" applyBorder="1"/>
    <xf numFmtId="0" fontId="96" fillId="0" borderId="28" xfId="0" applyFont="1" applyFill="1" applyBorder="1"/>
    <xf numFmtId="164" fontId="96" fillId="0" borderId="28" xfId="0" applyNumberFormat="1" applyFont="1" applyFill="1" applyBorder="1"/>
    <xf numFmtId="164" fontId="96" fillId="0" borderId="28" xfId="4" applyNumberFormat="1" applyFont="1" applyFill="1" applyBorder="1"/>
    <xf numFmtId="9" fontId="96" fillId="0" borderId="28" xfId="0" applyNumberFormat="1" applyFont="1" applyFill="1" applyBorder="1" applyAlignment="1">
      <alignment horizontal="center" vertical="center"/>
    </xf>
    <xf numFmtId="9" fontId="96" fillId="0" borderId="117" xfId="0" applyNumberFormat="1" applyFont="1" applyFill="1" applyBorder="1" applyAlignment="1">
      <alignment horizontal="center" vertical="center"/>
    </xf>
    <xf numFmtId="0" fontId="159" fillId="59" borderId="189" xfId="0" applyFont="1" applyFill="1" applyBorder="1" applyAlignment="1">
      <alignment vertical="center"/>
    </xf>
    <xf numFmtId="0" fontId="159" fillId="59" borderId="190" xfId="0" applyFont="1" applyFill="1" applyBorder="1" applyAlignment="1">
      <alignment vertical="center"/>
    </xf>
    <xf numFmtId="164" fontId="159" fillId="59" borderId="190" xfId="0" applyNumberFormat="1" applyFont="1" applyFill="1" applyBorder="1" applyAlignment="1">
      <alignment vertical="center"/>
    </xf>
    <xf numFmtId="164" fontId="159" fillId="59" borderId="190" xfId="4" applyNumberFormat="1" applyFont="1" applyFill="1" applyBorder="1" applyAlignment="1">
      <alignment vertical="center"/>
    </xf>
    <xf numFmtId="9" fontId="159" fillId="59" borderId="190" xfId="0" applyNumberFormat="1" applyFont="1" applyFill="1" applyBorder="1" applyAlignment="1">
      <alignment horizontal="center" vertical="center"/>
    </xf>
    <xf numFmtId="9" fontId="159" fillId="59" borderId="191" xfId="0" applyNumberFormat="1" applyFont="1" applyFill="1" applyBorder="1" applyAlignment="1">
      <alignment horizontal="center" vertical="center"/>
    </xf>
    <xf numFmtId="0" fontId="7" fillId="0" borderId="179" xfId="0" applyFont="1" applyFill="1" applyBorder="1" applyAlignment="1">
      <alignment horizontal="left" vertical="center"/>
    </xf>
    <xf numFmtId="0" fontId="7" fillId="0" borderId="192" xfId="0" applyNumberFormat="1" applyFont="1" applyFill="1" applyBorder="1" applyAlignment="1">
      <alignment vertical="center"/>
    </xf>
    <xf numFmtId="0" fontId="7" fillId="0" borderId="192" xfId="4" applyNumberFormat="1" applyFont="1" applyFill="1" applyBorder="1" applyAlignment="1">
      <alignment vertical="center"/>
    </xf>
    <xf numFmtId="164" fontId="7" fillId="0" borderId="192" xfId="4" applyNumberFormat="1" applyFont="1" applyFill="1" applyBorder="1" applyAlignment="1">
      <alignment vertical="center"/>
    </xf>
    <xf numFmtId="9" fontId="7" fillId="0" borderId="192" xfId="0" applyNumberFormat="1" applyFont="1" applyFill="1" applyBorder="1" applyAlignment="1">
      <alignment horizontal="center" vertical="center"/>
    </xf>
    <xf numFmtId="0" fontId="7" fillId="0" borderId="178" xfId="0" applyFont="1" applyFill="1" applyBorder="1" applyAlignment="1">
      <alignment horizontal="center" vertical="center"/>
    </xf>
    <xf numFmtId="0" fontId="84" fillId="35" borderId="184" xfId="0" applyFont="1" applyFill="1" applyBorder="1" applyAlignment="1">
      <alignment horizontal="center" vertical="center" wrapText="1"/>
    </xf>
    <xf numFmtId="0" fontId="84" fillId="35" borderId="185" xfId="0" applyFont="1" applyFill="1" applyBorder="1" applyAlignment="1">
      <alignment horizontal="center" vertical="center"/>
    </xf>
    <xf numFmtId="0" fontId="84" fillId="35" borderId="185" xfId="0" applyFont="1" applyFill="1" applyBorder="1" applyAlignment="1">
      <alignment horizontal="center" vertical="center" wrapText="1"/>
    </xf>
    <xf numFmtId="0" fontId="84" fillId="35" borderId="186" xfId="0" applyFont="1" applyFill="1" applyBorder="1" applyAlignment="1">
      <alignment horizontal="center" vertical="center" wrapText="1"/>
    </xf>
    <xf numFmtId="0" fontId="5" fillId="0" borderId="187" xfId="0" applyFont="1" applyFill="1" applyBorder="1" applyAlignment="1">
      <alignment horizontal="left" vertical="center"/>
    </xf>
    <xf numFmtId="0" fontId="5" fillId="0" borderId="28" xfId="0" applyFont="1" applyFill="1" applyBorder="1" applyAlignment="1">
      <alignment horizontal="left" vertical="center"/>
    </xf>
    <xf numFmtId="0" fontId="5" fillId="0" borderId="28" xfId="4" applyNumberFormat="1" applyFont="1" applyFill="1" applyBorder="1" applyAlignment="1">
      <alignment vertical="center"/>
    </xf>
    <xf numFmtId="164" fontId="5" fillId="0" borderId="28" xfId="4" applyNumberFormat="1" applyFont="1" applyFill="1" applyBorder="1" applyAlignment="1">
      <alignment vertical="center"/>
    </xf>
    <xf numFmtId="9" fontId="5" fillId="0" borderId="28" xfId="0" applyNumberFormat="1" applyFont="1" applyFill="1" applyBorder="1" applyAlignment="1">
      <alignment horizontal="center" vertical="center"/>
    </xf>
    <xf numFmtId="9" fontId="5" fillId="0" borderId="188" xfId="0" applyNumberFormat="1" applyFont="1" applyFill="1" applyBorder="1" applyAlignment="1">
      <alignment horizontal="center" vertical="center"/>
    </xf>
    <xf numFmtId="0" fontId="5" fillId="0" borderId="193" xfId="0" applyFont="1" applyFill="1" applyBorder="1" applyAlignment="1">
      <alignment horizontal="left" vertical="center"/>
    </xf>
    <xf numFmtId="0" fontId="5" fillId="0" borderId="183" xfId="0" applyFont="1" applyFill="1" applyBorder="1" applyAlignment="1">
      <alignment horizontal="left" vertical="center"/>
    </xf>
    <xf numFmtId="0" fontId="5" fillId="0" borderId="183" xfId="4" applyNumberFormat="1" applyFont="1" applyFill="1" applyBorder="1" applyAlignment="1">
      <alignment vertical="center"/>
    </xf>
    <xf numFmtId="164" fontId="5" fillId="0" borderId="183" xfId="4" applyNumberFormat="1" applyFont="1" applyFill="1" applyBorder="1" applyAlignment="1">
      <alignment vertical="center"/>
    </xf>
    <xf numFmtId="9" fontId="5" fillId="0" borderId="183" xfId="0" applyNumberFormat="1" applyFont="1" applyFill="1" applyBorder="1" applyAlignment="1">
      <alignment horizontal="center" vertical="center"/>
    </xf>
    <xf numFmtId="9" fontId="5" fillId="0" borderId="194" xfId="0" applyNumberFormat="1" applyFont="1" applyFill="1" applyBorder="1" applyAlignment="1">
      <alignment horizontal="center" vertical="center"/>
    </xf>
    <xf numFmtId="164" fontId="91" fillId="14" borderId="117" xfId="4" applyNumberFormat="1" applyFont="1" applyFill="1" applyBorder="1" applyAlignment="1">
      <alignment vertical="center"/>
    </xf>
    <xf numFmtId="164" fontId="91" fillId="8" borderId="117" xfId="4" applyNumberFormat="1" applyFont="1" applyFill="1" applyBorder="1" applyAlignment="1">
      <alignment vertical="center"/>
    </xf>
    <xf numFmtId="164" fontId="91" fillId="9" borderId="117" xfId="4" applyNumberFormat="1" applyFont="1" applyFill="1" applyBorder="1" applyAlignment="1">
      <alignment vertical="center"/>
    </xf>
    <xf numFmtId="164" fontId="91" fillId="45" borderId="117" xfId="4" applyNumberFormat="1" applyFont="1" applyFill="1" applyBorder="1" applyAlignment="1">
      <alignment vertical="center"/>
    </xf>
    <xf numFmtId="164" fontId="91" fillId="14" borderId="121" xfId="4" applyNumberFormat="1" applyFont="1" applyFill="1" applyBorder="1" applyAlignment="1">
      <alignment vertical="center"/>
    </xf>
    <xf numFmtId="164" fontId="91" fillId="8" borderId="121" xfId="4" applyNumberFormat="1" applyFont="1" applyFill="1" applyBorder="1" applyAlignment="1">
      <alignment vertical="center"/>
    </xf>
    <xf numFmtId="164" fontId="91" fillId="9" borderId="121" xfId="4" applyNumberFormat="1" applyFont="1" applyFill="1" applyBorder="1" applyAlignment="1">
      <alignment vertical="center"/>
    </xf>
    <xf numFmtId="164" fontId="147" fillId="12" borderId="121" xfId="4" applyNumberFormat="1" applyFont="1" applyFill="1" applyBorder="1" applyAlignment="1">
      <alignment vertical="center"/>
    </xf>
    <xf numFmtId="0" fontId="147" fillId="45" borderId="195" xfId="0" applyFont="1" applyFill="1" applyBorder="1" applyAlignment="1">
      <alignment vertical="center" wrapText="1"/>
    </xf>
    <xf numFmtId="0" fontId="147" fillId="45" borderId="0" xfId="0" applyFont="1" applyFill="1" applyBorder="1" applyAlignment="1">
      <alignment vertical="center" wrapText="1"/>
    </xf>
    <xf numFmtId="0" fontId="147" fillId="45" borderId="123" xfId="0" applyFont="1" applyFill="1" applyBorder="1" applyAlignment="1">
      <alignment vertical="center" wrapText="1"/>
    </xf>
    <xf numFmtId="0" fontId="147" fillId="45" borderId="196" xfId="0" applyFont="1" applyFill="1" applyBorder="1" applyAlignment="1">
      <alignment horizontal="center" vertical="center" wrapText="1"/>
    </xf>
    <xf numFmtId="0" fontId="147" fillId="45" borderId="197" xfId="0" applyFont="1" applyFill="1" applyBorder="1" applyAlignment="1">
      <alignment horizontal="center" vertical="center" wrapText="1"/>
    </xf>
    <xf numFmtId="0" fontId="147" fillId="45" borderId="198" xfId="0" applyFont="1" applyFill="1" applyBorder="1" applyAlignment="1">
      <alignment horizontal="center" vertical="center" wrapText="1"/>
    </xf>
    <xf numFmtId="164" fontId="147" fillId="10" borderId="199" xfId="4" applyNumberFormat="1" applyFont="1" applyFill="1" applyBorder="1" applyAlignment="1">
      <alignment vertical="center"/>
    </xf>
    <xf numFmtId="164" fontId="147" fillId="10" borderId="200" xfId="4" applyNumberFormat="1" applyFont="1" applyFill="1" applyBorder="1" applyAlignment="1">
      <alignment vertical="center"/>
    </xf>
    <xf numFmtId="164" fontId="147" fillId="10" borderId="201" xfId="4" applyNumberFormat="1" applyFont="1" applyFill="1" applyBorder="1" applyAlignment="1">
      <alignment vertical="center"/>
    </xf>
    <xf numFmtId="164" fontId="147" fillId="10" borderId="200" xfId="4" applyNumberFormat="1" applyFont="1" applyFill="1" applyBorder="1" applyAlignment="1">
      <alignment vertical="center" wrapText="1"/>
    </xf>
    <xf numFmtId="164" fontId="91" fillId="14" borderId="199" xfId="4" applyNumberFormat="1" applyFont="1" applyFill="1" applyBorder="1" applyAlignment="1">
      <alignment vertical="center"/>
    </xf>
    <xf numFmtId="164" fontId="91" fillId="14" borderId="200" xfId="4" applyNumberFormat="1" applyFont="1" applyFill="1" applyBorder="1" applyAlignment="1">
      <alignment vertical="center"/>
    </xf>
    <xf numFmtId="164" fontId="91" fillId="14" borderId="201" xfId="4" applyNumberFormat="1" applyFont="1" applyFill="1" applyBorder="1" applyAlignment="1">
      <alignment vertical="center"/>
    </xf>
    <xf numFmtId="164" fontId="147" fillId="7" borderId="199" xfId="4" applyNumberFormat="1" applyFont="1" applyFill="1" applyBorder="1" applyAlignment="1">
      <alignment vertical="center"/>
    </xf>
    <xf numFmtId="164" fontId="147" fillId="7" borderId="200" xfId="4" applyNumberFormat="1" applyFont="1" applyFill="1" applyBorder="1" applyAlignment="1">
      <alignment vertical="center"/>
    </xf>
    <xf numFmtId="164" fontId="147" fillId="7" borderId="201" xfId="4" applyNumberFormat="1" applyFont="1" applyFill="1" applyBorder="1" applyAlignment="1">
      <alignment vertical="center"/>
    </xf>
    <xf numFmtId="164" fontId="147" fillId="7" borderId="200" xfId="4" applyNumberFormat="1" applyFont="1" applyFill="1" applyBorder="1" applyAlignment="1">
      <alignment vertical="center" wrapText="1"/>
    </xf>
    <xf numFmtId="164" fontId="91" fillId="8" borderId="199" xfId="4" applyNumberFormat="1" applyFont="1" applyFill="1" applyBorder="1" applyAlignment="1">
      <alignment vertical="center"/>
    </xf>
    <xf numFmtId="164" fontId="91" fillId="8" borderId="200" xfId="4" applyNumberFormat="1" applyFont="1" applyFill="1" applyBorder="1" applyAlignment="1">
      <alignment vertical="center"/>
    </xf>
    <xf numFmtId="164" fontId="91" fillId="8" borderId="201" xfId="4" applyNumberFormat="1" applyFont="1" applyFill="1" applyBorder="1" applyAlignment="1">
      <alignment vertical="center"/>
    </xf>
    <xf numFmtId="164" fontId="147" fillId="11" borderId="199" xfId="4" applyNumberFormat="1" applyFont="1" applyFill="1" applyBorder="1" applyAlignment="1">
      <alignment vertical="center"/>
    </xf>
    <xf numFmtId="164" fontId="147" fillId="11" borderId="201" xfId="4" applyNumberFormat="1" applyFont="1" applyFill="1" applyBorder="1" applyAlignment="1">
      <alignment vertical="center"/>
    </xf>
    <xf numFmtId="164" fontId="147" fillId="11" borderId="200" xfId="4" applyNumberFormat="1" applyFont="1" applyFill="1" applyBorder="1" applyAlignment="1">
      <alignment vertical="center"/>
    </xf>
    <xf numFmtId="164" fontId="147" fillId="11" borderId="200" xfId="4" applyNumberFormat="1" applyFont="1" applyFill="1" applyBorder="1" applyAlignment="1">
      <alignment vertical="center" wrapText="1"/>
    </xf>
    <xf numFmtId="164" fontId="147" fillId="11" borderId="201" xfId="4" applyNumberFormat="1" applyFont="1" applyFill="1" applyBorder="1" applyAlignment="1">
      <alignment vertical="center" wrapText="1"/>
    </xf>
    <xf numFmtId="164" fontId="91" fillId="9" borderId="199" xfId="4" applyNumberFormat="1" applyFont="1" applyFill="1" applyBorder="1" applyAlignment="1">
      <alignment vertical="center"/>
    </xf>
    <xf numFmtId="164" fontId="91" fillId="9" borderId="200" xfId="4" applyNumberFormat="1" applyFont="1" applyFill="1" applyBorder="1" applyAlignment="1">
      <alignment vertical="center"/>
    </xf>
    <xf numFmtId="164" fontId="91" fillId="9" borderId="201" xfId="4" applyNumberFormat="1" applyFont="1" applyFill="1" applyBorder="1" applyAlignment="1">
      <alignment vertical="center"/>
    </xf>
    <xf numFmtId="164" fontId="73" fillId="54" borderId="199" xfId="4" applyNumberFormat="1" applyFont="1" applyFill="1" applyBorder="1" applyAlignment="1">
      <alignment vertical="center" wrapText="1"/>
    </xf>
    <xf numFmtId="164" fontId="73" fillId="54" borderId="201" xfId="4" applyNumberFormat="1" applyFont="1" applyFill="1" applyBorder="1" applyAlignment="1">
      <alignment vertical="center" wrapText="1"/>
    </xf>
    <xf numFmtId="164" fontId="73" fillId="54" borderId="200" xfId="4" applyNumberFormat="1" applyFont="1" applyFill="1" applyBorder="1" applyAlignment="1">
      <alignment vertical="center" wrapText="1"/>
    </xf>
    <xf numFmtId="164" fontId="147" fillId="54" borderId="200" xfId="4" applyNumberFormat="1" applyFont="1" applyFill="1" applyBorder="1" applyAlignment="1">
      <alignment vertical="center" wrapText="1"/>
    </xf>
    <xf numFmtId="164" fontId="147" fillId="54" borderId="201" xfId="4" applyNumberFormat="1" applyFont="1" applyFill="1" applyBorder="1" applyAlignment="1">
      <alignment vertical="center" wrapText="1"/>
    </xf>
    <xf numFmtId="164" fontId="147" fillId="54" borderId="199" xfId="4" applyNumberFormat="1" applyFont="1" applyFill="1" applyBorder="1" applyAlignment="1">
      <alignment vertical="center" wrapText="1"/>
    </xf>
    <xf numFmtId="164" fontId="147" fillId="42" borderId="199" xfId="4" applyNumberFormat="1" applyFont="1" applyFill="1" applyBorder="1" applyAlignment="1">
      <alignment vertical="center" wrapText="1"/>
    </xf>
    <xf numFmtId="164" fontId="147" fillId="42" borderId="200" xfId="4" applyNumberFormat="1" applyFont="1" applyFill="1" applyBorder="1" applyAlignment="1">
      <alignment vertical="center" wrapText="1"/>
    </xf>
    <xf numFmtId="164" fontId="147" fillId="42" borderId="201" xfId="4" applyNumberFormat="1" applyFont="1" applyFill="1" applyBorder="1" applyAlignment="1">
      <alignment vertical="center" wrapText="1"/>
    </xf>
    <xf numFmtId="164" fontId="147" fillId="17" borderId="199" xfId="4" applyNumberFormat="1" applyFont="1" applyFill="1" applyBorder="1" applyAlignment="1">
      <alignment vertical="center" wrapText="1"/>
    </xf>
    <xf numFmtId="164" fontId="147" fillId="17" borderId="201" xfId="4" applyNumberFormat="1" applyFont="1" applyFill="1" applyBorder="1" applyAlignment="1">
      <alignment vertical="center" wrapText="1"/>
    </xf>
    <xf numFmtId="164" fontId="147" fillId="17" borderId="200" xfId="4" applyNumberFormat="1" applyFont="1" applyFill="1" applyBorder="1" applyAlignment="1">
      <alignment vertical="center" wrapText="1"/>
    </xf>
    <xf numFmtId="164" fontId="147" fillId="12" borderId="199" xfId="4" applyNumberFormat="1" applyFont="1" applyFill="1" applyBorder="1" applyAlignment="1">
      <alignment vertical="center"/>
    </xf>
    <xf numFmtId="164" fontId="147" fillId="12" borderId="201" xfId="4" applyNumberFormat="1" applyFont="1" applyFill="1" applyBorder="1" applyAlignment="1">
      <alignment vertical="center"/>
    </xf>
    <xf numFmtId="164" fontId="147" fillId="12" borderId="200" xfId="4" applyNumberFormat="1" applyFont="1" applyFill="1" applyBorder="1" applyAlignment="1">
      <alignment vertical="center"/>
    </xf>
    <xf numFmtId="164" fontId="147" fillId="12" borderId="200" xfId="4" applyNumberFormat="1" applyFont="1" applyFill="1" applyBorder="1" applyAlignment="1">
      <alignment vertical="center" wrapText="1"/>
    </xf>
    <xf numFmtId="164" fontId="147" fillId="12" borderId="201" xfId="4" applyNumberFormat="1" applyFont="1" applyFill="1" applyBorder="1" applyAlignment="1">
      <alignment vertical="center" wrapText="1"/>
    </xf>
    <xf numFmtId="164" fontId="91" fillId="45" borderId="199" xfId="4" applyNumberFormat="1" applyFont="1" applyFill="1" applyBorder="1" applyAlignment="1">
      <alignment vertical="center"/>
    </xf>
    <xf numFmtId="164" fontId="91" fillId="45" borderId="200" xfId="4" applyNumberFormat="1" applyFont="1" applyFill="1" applyBorder="1" applyAlignment="1">
      <alignment vertical="center"/>
    </xf>
    <xf numFmtId="164" fontId="91" fillId="45" borderId="201" xfId="4" applyNumberFormat="1" applyFont="1" applyFill="1" applyBorder="1" applyAlignment="1">
      <alignment vertical="center"/>
    </xf>
    <xf numFmtId="164" fontId="91" fillId="45" borderId="202" xfId="4" applyNumberFormat="1" applyFont="1" applyFill="1" applyBorder="1" applyAlignment="1">
      <alignment vertical="center"/>
    </xf>
    <xf numFmtId="164" fontId="91" fillId="45" borderId="203" xfId="4" applyNumberFormat="1" applyFont="1" applyFill="1" applyBorder="1" applyAlignment="1">
      <alignment vertical="center"/>
    </xf>
    <xf numFmtId="164" fontId="91" fillId="45" borderId="204" xfId="4" applyNumberFormat="1" applyFont="1" applyFill="1" applyBorder="1" applyAlignment="1">
      <alignment vertical="center"/>
    </xf>
    <xf numFmtId="0" fontId="147" fillId="60" borderId="195" xfId="0" applyFont="1" applyFill="1" applyBorder="1" applyAlignment="1">
      <alignment vertical="center" wrapText="1"/>
    </xf>
    <xf numFmtId="0" fontId="147" fillId="60" borderId="196" xfId="0" applyFont="1" applyFill="1" applyBorder="1" applyAlignment="1">
      <alignment horizontal="center" vertical="center" wrapText="1"/>
    </xf>
    <xf numFmtId="0" fontId="147" fillId="60" borderId="198" xfId="0" applyFont="1" applyFill="1" applyBorder="1" applyAlignment="1">
      <alignment horizontal="center" vertical="center" wrapText="1"/>
    </xf>
    <xf numFmtId="164" fontId="147" fillId="11" borderId="199" xfId="4" applyNumberFormat="1" applyFont="1" applyFill="1" applyBorder="1" applyAlignment="1">
      <alignment vertical="center" wrapText="1"/>
    </xf>
    <xf numFmtId="164" fontId="147" fillId="12" borderId="199" xfId="4" applyNumberFormat="1" applyFont="1" applyFill="1" applyBorder="1" applyAlignment="1">
      <alignment vertical="center" wrapText="1"/>
    </xf>
    <xf numFmtId="164" fontId="147" fillId="55" borderId="121" xfId="4" applyNumberFormat="1" applyFont="1" applyFill="1" applyBorder="1" applyAlignment="1">
      <alignment vertical="center"/>
    </xf>
    <xf numFmtId="164" fontId="147" fillId="42" borderId="121" xfId="4" applyNumberFormat="1" applyFont="1" applyFill="1" applyBorder="1" applyAlignment="1">
      <alignment vertical="center"/>
    </xf>
    <xf numFmtId="0" fontId="147" fillId="56" borderId="196" xfId="0" applyFont="1" applyFill="1" applyBorder="1" applyAlignment="1">
      <alignment horizontal="center" vertical="center" wrapText="1"/>
    </xf>
    <xf numFmtId="0" fontId="147" fillId="56" borderId="197" xfId="0" applyFont="1" applyFill="1" applyBorder="1" applyAlignment="1">
      <alignment horizontal="center" vertical="center" wrapText="1"/>
    </xf>
    <xf numFmtId="0" fontId="147" fillId="56" borderId="198" xfId="0" applyFont="1" applyFill="1" applyBorder="1" applyAlignment="1">
      <alignment horizontal="center" vertical="center" wrapText="1"/>
    </xf>
    <xf numFmtId="164" fontId="91" fillId="16" borderId="199" xfId="4" applyNumberFormat="1" applyFont="1" applyFill="1" applyBorder="1" applyAlignment="1">
      <alignment vertical="center" wrapText="1"/>
    </xf>
    <xf numFmtId="164" fontId="91" fillId="16" borderId="200" xfId="4" applyNumberFormat="1" applyFont="1" applyFill="1" applyBorder="1" applyAlignment="1">
      <alignment vertical="center" wrapText="1"/>
    </xf>
    <xf numFmtId="164" fontId="91" fillId="16" borderId="201" xfId="4" applyNumberFormat="1" applyFont="1" applyFill="1" applyBorder="1" applyAlignment="1">
      <alignment vertical="center" wrapText="1"/>
    </xf>
    <xf numFmtId="164" fontId="91" fillId="16" borderId="121" xfId="4" applyNumberFormat="1" applyFont="1" applyFill="1" applyBorder="1" applyAlignment="1">
      <alignment vertical="center" wrapText="1"/>
    </xf>
    <xf numFmtId="164" fontId="91" fillId="16" borderId="28" xfId="4" applyNumberFormat="1" applyFont="1" applyFill="1" applyBorder="1" applyAlignment="1">
      <alignment vertical="center" wrapText="1"/>
    </xf>
    <xf numFmtId="164" fontId="91" fillId="16" borderId="117" xfId="4" applyNumberFormat="1" applyFont="1" applyFill="1" applyBorder="1" applyAlignment="1">
      <alignment vertical="center" wrapText="1"/>
    </xf>
    <xf numFmtId="9" fontId="91" fillId="16" borderId="118" xfId="1" applyFont="1" applyFill="1" applyBorder="1" applyAlignment="1">
      <alignment vertical="center" wrapText="1"/>
    </xf>
    <xf numFmtId="9" fontId="91" fillId="16" borderId="151" xfId="1" applyFont="1" applyFill="1" applyBorder="1" applyAlignment="1">
      <alignment vertical="center" wrapText="1"/>
    </xf>
    <xf numFmtId="164" fontId="91" fillId="16" borderId="133" xfId="4" applyNumberFormat="1" applyFont="1" applyFill="1" applyBorder="1" applyAlignment="1">
      <alignment vertical="center" wrapText="1"/>
    </xf>
    <xf numFmtId="164" fontId="91" fillId="16" borderId="118" xfId="4" applyNumberFormat="1" applyFont="1" applyFill="1" applyBorder="1" applyAlignment="1">
      <alignment vertical="center" wrapText="1"/>
    </xf>
    <xf numFmtId="164" fontId="91" fillId="16" borderId="159" xfId="4" applyNumberFormat="1" applyFont="1" applyFill="1" applyBorder="1" applyAlignment="1">
      <alignment vertical="center" wrapText="1"/>
    </xf>
    <xf numFmtId="0" fontId="78" fillId="0" borderId="0" xfId="0" applyFont="1"/>
    <xf numFmtId="0" fontId="182" fillId="0" borderId="0" xfId="0" applyFont="1"/>
    <xf numFmtId="0" fontId="91" fillId="0" borderId="0" xfId="0" applyFont="1"/>
    <xf numFmtId="164" fontId="147" fillId="10" borderId="28" xfId="4" applyNumberFormat="1" applyFont="1" applyFill="1" applyBorder="1" applyAlignment="1">
      <alignment vertical="center"/>
    </xf>
    <xf numFmtId="164" fontId="147" fillId="7" borderId="28" xfId="4" applyNumberFormat="1" applyFont="1" applyFill="1" applyBorder="1" applyAlignment="1">
      <alignment vertical="center"/>
    </xf>
    <xf numFmtId="164" fontId="73" fillId="54" borderId="28" xfId="4" applyNumberFormat="1" applyFont="1" applyFill="1" applyBorder="1" applyAlignment="1">
      <alignment vertical="center" wrapText="1"/>
    </xf>
    <xf numFmtId="164" fontId="147" fillId="12" borderId="28" xfId="4" applyNumberFormat="1" applyFont="1" applyFill="1" applyBorder="1" applyAlignment="1">
      <alignment vertical="center"/>
    </xf>
    <xf numFmtId="164" fontId="80" fillId="0" borderId="0" xfId="0" applyNumberFormat="1" applyFont="1"/>
    <xf numFmtId="9" fontId="80" fillId="0" borderId="0" xfId="1" applyFont="1"/>
    <xf numFmtId="164" fontId="72" fillId="0" borderId="0" xfId="0" applyNumberFormat="1" applyFont="1" applyAlignment="1">
      <alignment horizontal="left"/>
    </xf>
    <xf numFmtId="9" fontId="183" fillId="0" borderId="0" xfId="1" applyFont="1" applyFill="1" applyAlignment="1">
      <alignment horizontal="left" vertical="center"/>
    </xf>
    <xf numFmtId="164" fontId="75" fillId="0" borderId="0" xfId="0" applyNumberFormat="1" applyFont="1" applyFill="1" applyAlignment="1">
      <alignment vertical="center"/>
    </xf>
    <xf numFmtId="164" fontId="72" fillId="17" borderId="134" xfId="4" applyNumberFormat="1" applyFont="1" applyFill="1" applyBorder="1" applyAlignment="1">
      <alignment vertical="center" wrapText="1"/>
    </xf>
    <xf numFmtId="43" fontId="72" fillId="0" borderId="0" xfId="0" applyNumberFormat="1" applyFont="1"/>
    <xf numFmtId="0" fontId="47" fillId="0" borderId="21" xfId="0" applyFont="1" applyFill="1" applyBorder="1"/>
    <xf numFmtId="167" fontId="184" fillId="0" borderId="0" xfId="0" applyNumberFormat="1" applyFont="1" applyFill="1" applyAlignment="1">
      <alignment horizontal="left" vertical="center" readingOrder="1"/>
    </xf>
    <xf numFmtId="0" fontId="184" fillId="0" borderId="0" xfId="0" applyFont="1" applyFill="1" applyAlignment="1">
      <alignment horizontal="left" vertical="center" readingOrder="1"/>
    </xf>
    <xf numFmtId="0" fontId="184" fillId="0" borderId="0" xfId="1" applyNumberFormat="1" applyFont="1" applyFill="1" applyAlignment="1">
      <alignment horizontal="left" vertical="center" readingOrder="1"/>
    </xf>
    <xf numFmtId="164" fontId="184" fillId="0" borderId="0" xfId="4" applyNumberFormat="1" applyFont="1" applyFill="1" applyAlignment="1">
      <alignment horizontal="left" vertical="center" readingOrder="1"/>
    </xf>
    <xf numFmtId="168" fontId="184" fillId="0" borderId="0" xfId="0" applyNumberFormat="1" applyFont="1" applyFill="1" applyAlignment="1">
      <alignment horizontal="left" vertical="center" readingOrder="1"/>
    </xf>
    <xf numFmtId="165" fontId="184" fillId="0" borderId="0" xfId="0" applyNumberFormat="1" applyFont="1" applyFill="1" applyAlignment="1">
      <alignment horizontal="left" vertical="center" readingOrder="1"/>
    </xf>
    <xf numFmtId="1" fontId="184" fillId="0" borderId="0" xfId="0" applyNumberFormat="1" applyFont="1" applyFill="1" applyAlignment="1">
      <alignment horizontal="left" vertical="center" readingOrder="1"/>
    </xf>
    <xf numFmtId="0" fontId="184" fillId="0" borderId="0" xfId="0" applyNumberFormat="1" applyFont="1" applyFill="1" applyAlignment="1">
      <alignment horizontal="left" vertical="center" readingOrder="1"/>
    </xf>
    <xf numFmtId="9" fontId="184" fillId="0" borderId="0" xfId="1" applyFont="1" applyFill="1" applyAlignment="1">
      <alignment horizontal="left" vertical="center" readingOrder="1"/>
    </xf>
    <xf numFmtId="1" fontId="184" fillId="0" borderId="0" xfId="1" applyNumberFormat="1" applyFont="1" applyFill="1" applyAlignment="1">
      <alignment horizontal="left" vertical="center" readingOrder="1"/>
    </xf>
    <xf numFmtId="9" fontId="184" fillId="0" borderId="0" xfId="1" applyNumberFormat="1" applyFont="1" applyFill="1" applyAlignment="1">
      <alignment horizontal="left" vertical="center" readingOrder="1"/>
    </xf>
    <xf numFmtId="9" fontId="184" fillId="0" borderId="0" xfId="0" applyNumberFormat="1" applyFont="1" applyFill="1" applyAlignment="1">
      <alignment horizontal="left" vertical="center" readingOrder="1"/>
    </xf>
    <xf numFmtId="1" fontId="184" fillId="0" borderId="0" xfId="4" applyNumberFormat="1" applyFont="1" applyFill="1" applyAlignment="1">
      <alignment horizontal="left" vertical="center" readingOrder="1"/>
    </xf>
    <xf numFmtId="0" fontId="120" fillId="63" borderId="0" xfId="0" applyFont="1" applyFill="1" applyBorder="1"/>
    <xf numFmtId="0" fontId="39" fillId="0" borderId="0" xfId="79" applyFont="1" applyFill="1" applyBorder="1" applyAlignment="1">
      <alignment horizontal="left" vertical="center" readingOrder="1"/>
    </xf>
    <xf numFmtId="0" fontId="11" fillId="57" borderId="0" xfId="80" applyFont="1" applyBorder="1" applyAlignment="1">
      <alignment horizontal="left" vertical="center"/>
    </xf>
    <xf numFmtId="0" fontId="47" fillId="0" borderId="0" xfId="0" applyNumberFormat="1" applyFont="1" applyFill="1" applyBorder="1" applyAlignment="1">
      <alignment wrapText="1"/>
    </xf>
    <xf numFmtId="49" fontId="6" fillId="57" borderId="23" xfId="80" applyNumberFormat="1" applyFont="1" applyBorder="1" applyAlignment="1">
      <alignment horizontal="left" vertical="center"/>
    </xf>
    <xf numFmtId="1" fontId="47" fillId="0" borderId="205" xfId="0" applyNumberFormat="1" applyFont="1" applyFill="1" applyBorder="1"/>
    <xf numFmtId="0" fontId="96" fillId="0" borderId="0" xfId="0" applyFont="1" applyBorder="1" applyAlignment="1">
      <alignment vertical="center"/>
    </xf>
    <xf numFmtId="0" fontId="47" fillId="31" borderId="0" xfId="0" applyFont="1" applyFill="1" applyBorder="1"/>
    <xf numFmtId="0" fontId="96" fillId="0" borderId="0" xfId="0" applyFont="1" applyBorder="1" applyAlignment="1">
      <alignment horizontal="left" vertical="center" wrapText="1"/>
    </xf>
    <xf numFmtId="164" fontId="80" fillId="12" borderId="199" xfId="4" applyNumberFormat="1" applyFont="1" applyFill="1" applyBorder="1" applyAlignment="1">
      <alignment vertical="center"/>
    </xf>
    <xf numFmtId="164" fontId="80" fillId="12" borderId="199" xfId="4" applyNumberFormat="1" applyFont="1" applyFill="1" applyBorder="1" applyAlignment="1">
      <alignment vertical="center" wrapText="1"/>
    </xf>
    <xf numFmtId="164" fontId="80" fillId="7" borderId="199" xfId="4" applyNumberFormat="1" applyFont="1" applyFill="1" applyBorder="1" applyAlignment="1">
      <alignment vertical="center"/>
    </xf>
    <xf numFmtId="164" fontId="80" fillId="10" borderId="199" xfId="4" applyNumberFormat="1" applyFont="1" applyFill="1" applyBorder="1" applyAlignment="1">
      <alignment vertical="center"/>
    </xf>
    <xf numFmtId="9" fontId="124" fillId="16" borderId="0" xfId="18" applyNumberFormat="1" applyFont="1" applyFill="1" applyBorder="1" applyAlignment="1">
      <alignment horizontal="center" vertical="center" wrapText="1" readingOrder="1"/>
    </xf>
    <xf numFmtId="9" fontId="71" fillId="34" borderId="0" xfId="18" applyNumberFormat="1" applyFont="1" applyFill="1" applyBorder="1" applyAlignment="1">
      <alignment horizontal="left" vertical="center" wrapText="1" readingOrder="1"/>
    </xf>
    <xf numFmtId="9" fontId="72" fillId="0" borderId="0" xfId="0" applyNumberFormat="1" applyFont="1"/>
    <xf numFmtId="0" fontId="187" fillId="0" borderId="0" xfId="0" applyNumberFormat="1" applyFont="1"/>
    <xf numFmtId="0" fontId="187" fillId="0" borderId="0" xfId="0" applyFont="1" applyAlignment="1">
      <alignment horizontal="left" indent="1"/>
    </xf>
    <xf numFmtId="0" fontId="189" fillId="0" borderId="34" xfId="0" applyFont="1" applyBorder="1" applyAlignment="1">
      <alignment horizontal="left" indent="1"/>
    </xf>
    <xf numFmtId="0" fontId="4" fillId="0" borderId="206" xfId="0" applyFont="1" applyFill="1" applyBorder="1" applyAlignment="1">
      <alignment horizontal="left" vertical="center"/>
    </xf>
    <xf numFmtId="0" fontId="4" fillId="0" borderId="207" xfId="4" applyNumberFormat="1" applyFont="1" applyFill="1" applyBorder="1" applyAlignment="1">
      <alignment vertical="center"/>
    </xf>
    <xf numFmtId="164" fontId="4" fillId="0" borderId="207" xfId="4" applyNumberFormat="1" applyFont="1" applyFill="1" applyBorder="1" applyAlignment="1">
      <alignment vertical="center"/>
    </xf>
    <xf numFmtId="9" fontId="4" fillId="0" borderId="207" xfId="0" applyNumberFormat="1" applyFont="1" applyFill="1" applyBorder="1" applyAlignment="1">
      <alignment horizontal="center" vertical="center"/>
    </xf>
    <xf numFmtId="9" fontId="4" fillId="0" borderId="208" xfId="0" applyNumberFormat="1" applyFont="1" applyFill="1" applyBorder="1" applyAlignment="1">
      <alignment horizontal="center" vertical="center"/>
    </xf>
    <xf numFmtId="0" fontId="4" fillId="0" borderId="0" xfId="0" applyFont="1"/>
    <xf numFmtId="9" fontId="189" fillId="0" borderId="38" xfId="0" applyNumberFormat="1" applyFont="1" applyBorder="1"/>
    <xf numFmtId="9" fontId="189" fillId="0" borderId="39" xfId="0" applyNumberFormat="1" applyFont="1" applyBorder="1"/>
    <xf numFmtId="9" fontId="188" fillId="0" borderId="95" xfId="0" applyNumberFormat="1" applyFont="1" applyBorder="1"/>
    <xf numFmtId="0" fontId="156" fillId="0" borderId="209" xfId="0" applyFont="1" applyBorder="1" applyAlignment="1">
      <alignment horizontal="left"/>
    </xf>
    <xf numFmtId="0" fontId="156" fillId="0" borderId="0" xfId="0" applyFont="1" applyBorder="1" applyAlignment="1">
      <alignment horizontal="left"/>
    </xf>
    <xf numFmtId="9" fontId="72" fillId="0" borderId="0" xfId="1" applyFont="1" applyAlignment="1">
      <alignment vertical="center"/>
    </xf>
    <xf numFmtId="0" fontId="190" fillId="65" borderId="83" xfId="0" applyFont="1" applyFill="1" applyBorder="1"/>
    <xf numFmtId="0" fontId="190" fillId="65" borderId="213" xfId="0" applyFont="1" applyFill="1" applyBorder="1"/>
    <xf numFmtId="0" fontId="188" fillId="65" borderId="210" xfId="0" applyFont="1" applyFill="1" applyBorder="1"/>
    <xf numFmtId="0" fontId="190" fillId="65" borderId="212" xfId="0" applyFont="1" applyFill="1" applyBorder="1"/>
    <xf numFmtId="0" fontId="190" fillId="65" borderId="82" xfId="0" applyFont="1" applyFill="1" applyBorder="1"/>
    <xf numFmtId="0" fontId="190" fillId="65" borderId="211" xfId="0" applyFont="1" applyFill="1" applyBorder="1"/>
    <xf numFmtId="0" fontId="3" fillId="0" borderId="0" xfId="0" applyFont="1" applyFill="1" applyBorder="1" applyAlignment="1">
      <alignment horizontal="left" vertical="center" wrapText="1"/>
    </xf>
    <xf numFmtId="0" fontId="39" fillId="52" borderId="0" xfId="1" applyNumberFormat="1" applyFont="1" applyFill="1" applyAlignment="1">
      <alignment horizontal="left" vertical="center" readingOrder="1"/>
    </xf>
    <xf numFmtId="0" fontId="39" fillId="0" borderId="0" xfId="0" applyFont="1" applyFill="1" applyAlignment="1">
      <alignment horizontal="left" vertical="center" readingOrder="1"/>
    </xf>
    <xf numFmtId="0" fontId="2" fillId="0" borderId="0" xfId="0" applyFont="1"/>
    <xf numFmtId="0" fontId="2" fillId="0" borderId="0" xfId="0" applyNumberFormat="1" applyFont="1"/>
    <xf numFmtId="0" fontId="191" fillId="0" borderId="0" xfId="0" applyFont="1"/>
    <xf numFmtId="0" fontId="2" fillId="0" borderId="0" xfId="0" applyFont="1" applyBorder="1"/>
    <xf numFmtId="0" fontId="2" fillId="0" borderId="0" xfId="0" applyNumberFormat="1" applyFont="1" applyBorder="1"/>
    <xf numFmtId="0" fontId="2" fillId="0" borderId="25" xfId="0" applyFont="1" applyBorder="1"/>
    <xf numFmtId="0" fontId="2" fillId="64" borderId="0" xfId="0" applyFont="1" applyFill="1"/>
    <xf numFmtId="0" fontId="2" fillId="0" borderId="0" xfId="0" applyFont="1" applyFill="1" applyBorder="1" applyAlignment="1">
      <alignment horizontal="left" vertical="center" wrapText="1"/>
    </xf>
    <xf numFmtId="0" fontId="192" fillId="0" borderId="0" xfId="0" pivotButton="1" applyFont="1"/>
    <xf numFmtId="0" fontId="192" fillId="0" borderId="0" xfId="0" applyFont="1"/>
    <xf numFmtId="0" fontId="192" fillId="0" borderId="0" xfId="0" applyNumberFormat="1" applyFont="1"/>
    <xf numFmtId="164" fontId="192" fillId="0" borderId="0" xfId="0" applyNumberFormat="1" applyFont="1"/>
    <xf numFmtId="164" fontId="193" fillId="14" borderId="0" xfId="0" applyNumberFormat="1" applyFont="1" applyFill="1"/>
    <xf numFmtId="164" fontId="193" fillId="8" borderId="0" xfId="0" applyNumberFormat="1" applyFont="1" applyFill="1"/>
    <xf numFmtId="164" fontId="193" fillId="9" borderId="0" xfId="0" applyNumberFormat="1" applyFont="1" applyFill="1"/>
    <xf numFmtId="164" fontId="193" fillId="26" borderId="0" xfId="0" applyNumberFormat="1" applyFont="1" applyFill="1"/>
    <xf numFmtId="0" fontId="193" fillId="26" borderId="0" xfId="0" applyFont="1" applyFill="1" applyAlignment="1">
      <alignment horizontal="center" vertical="center" wrapText="1"/>
    </xf>
    <xf numFmtId="0" fontId="193" fillId="14" borderId="0" xfId="0" applyFont="1" applyFill="1" applyAlignment="1">
      <alignment horizontal="center" vertical="center"/>
    </xf>
    <xf numFmtId="0" fontId="193" fillId="8" borderId="0" xfId="0" applyFont="1" applyFill="1" applyAlignment="1">
      <alignment horizontal="center" vertical="center"/>
    </xf>
    <xf numFmtId="0" fontId="193" fillId="9" borderId="0" xfId="0" applyFont="1" applyFill="1" applyAlignment="1">
      <alignment horizontal="center" vertical="center"/>
    </xf>
    <xf numFmtId="0" fontId="193" fillId="9" borderId="0" xfId="0" applyFont="1" applyFill="1" applyAlignment="1">
      <alignment horizontal="center" vertical="center" wrapText="1"/>
    </xf>
    <xf numFmtId="164" fontId="194" fillId="12" borderId="0" xfId="0" applyNumberFormat="1" applyFont="1" applyFill="1"/>
    <xf numFmtId="0" fontId="194" fillId="12" borderId="0" xfId="0" applyFont="1" applyFill="1" applyAlignment="1">
      <alignment horizontal="center" vertical="center" wrapText="1"/>
    </xf>
    <xf numFmtId="164" fontId="192" fillId="42" borderId="0" xfId="0" applyNumberFormat="1" applyFont="1" applyFill="1"/>
    <xf numFmtId="164" fontId="192" fillId="16" borderId="0" xfId="0" applyNumberFormat="1" applyFont="1" applyFill="1"/>
    <xf numFmtId="0" fontId="192" fillId="42" borderId="0" xfId="0" applyFont="1" applyFill="1" applyAlignment="1">
      <alignment vertical="center"/>
    </xf>
    <xf numFmtId="0" fontId="192" fillId="16" borderId="0" xfId="0" applyFont="1" applyFill="1" applyAlignment="1">
      <alignment vertical="center"/>
    </xf>
    <xf numFmtId="0" fontId="192" fillId="0" borderId="0" xfId="0" applyFont="1" applyAlignment="1">
      <alignment horizontal="center" vertical="center" wrapText="1"/>
    </xf>
    <xf numFmtId="0" fontId="193" fillId="14" borderId="0" xfId="0" applyFont="1" applyFill="1" applyAlignment="1">
      <alignment horizontal="center" vertical="center" wrapText="1"/>
    </xf>
    <xf numFmtId="0" fontId="193" fillId="8" borderId="0" xfId="0" applyFont="1" applyFill="1" applyAlignment="1">
      <alignment horizontal="center" vertical="center" wrapText="1"/>
    </xf>
    <xf numFmtId="0" fontId="192" fillId="42" borderId="0" xfId="0" applyFont="1" applyFill="1" applyAlignment="1">
      <alignment horizontal="center" vertical="center" wrapText="1"/>
    </xf>
    <xf numFmtId="0" fontId="192" fillId="16" borderId="0" xfId="0" applyFont="1" applyFill="1" applyAlignment="1">
      <alignment horizontal="center" vertical="center" wrapText="1"/>
    </xf>
    <xf numFmtId="164" fontId="194" fillId="12" borderId="0" xfId="0" applyNumberFormat="1" applyFont="1" applyFill="1" applyAlignment="1">
      <alignment wrapText="1"/>
    </xf>
    <xf numFmtId="164" fontId="192" fillId="0" borderId="0" xfId="0" applyNumberFormat="1" applyFont="1" applyAlignment="1">
      <alignment wrapText="1"/>
    </xf>
    <xf numFmtId="0" fontId="194" fillId="0" borderId="0" xfId="0" applyFont="1" applyFill="1" applyAlignment="1">
      <alignment horizontal="center" vertical="center" wrapText="1"/>
    </xf>
    <xf numFmtId="0" fontId="187" fillId="0" borderId="0" xfId="0" pivotButton="1" applyFont="1"/>
    <xf numFmtId="0" fontId="187" fillId="0" borderId="0" xfId="0" applyFont="1"/>
    <xf numFmtId="0" fontId="187" fillId="0" borderId="0" xfId="0" applyFont="1" applyAlignment="1">
      <alignment horizontal="left"/>
    </xf>
    <xf numFmtId="164" fontId="187" fillId="0" borderId="0" xfId="0" applyNumberFormat="1" applyFont="1"/>
    <xf numFmtId="0" fontId="187" fillId="0" borderId="0" xfId="0" pivotButton="1" applyFont="1" applyAlignment="1">
      <alignment wrapText="1"/>
    </xf>
    <xf numFmtId="0" fontId="187" fillId="0" borderId="0" xfId="0" applyFont="1" applyAlignment="1">
      <alignment wrapText="1"/>
    </xf>
    <xf numFmtId="0" fontId="187" fillId="0" borderId="0" xfId="0" pivotButton="1" applyFont="1" applyAlignment="1">
      <alignment horizontal="center" vertical="center" wrapText="1"/>
    </xf>
    <xf numFmtId="0" fontId="187" fillId="0" borderId="0" xfId="0" applyFont="1" applyAlignment="1">
      <alignment horizontal="center" vertical="center" wrapText="1"/>
    </xf>
    <xf numFmtId="9" fontId="187" fillId="0" borderId="0" xfId="0" applyNumberFormat="1" applyFont="1"/>
    <xf numFmtId="0" fontId="195" fillId="40" borderId="0" xfId="0" applyFont="1" applyFill="1" applyAlignment="1">
      <alignment wrapText="1"/>
    </xf>
    <xf numFmtId="3" fontId="187" fillId="0" borderId="0" xfId="0" applyNumberFormat="1" applyFont="1"/>
    <xf numFmtId="0" fontId="195" fillId="29" borderId="0" xfId="0" applyFont="1" applyFill="1"/>
    <xf numFmtId="0" fontId="195" fillId="40" borderId="0" xfId="0" applyFont="1" applyFill="1"/>
    <xf numFmtId="0" fontId="195" fillId="40" borderId="0" xfId="0" applyFont="1" applyFill="1" applyAlignment="1"/>
    <xf numFmtId="0" fontId="195" fillId="29" borderId="0" xfId="0" applyFont="1" applyFill="1" applyAlignment="1">
      <alignment horizontal="left" vertical="center" wrapText="1"/>
    </xf>
    <xf numFmtId="0" fontId="192" fillId="0" borderId="0" xfId="0" pivotButton="1" applyFont="1" applyAlignment="1">
      <alignment horizontal="center" vertical="center" wrapText="1"/>
    </xf>
    <xf numFmtId="0" fontId="1" fillId="31"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167" fontId="39" fillId="0" borderId="0" xfId="0" applyNumberFormat="1" applyFont="1" applyFill="1" applyAlignment="1">
      <alignment horizontal="left" vertical="center" readingOrder="1"/>
    </xf>
    <xf numFmtId="1" fontId="102" fillId="18" borderId="0" xfId="0" applyNumberFormat="1" applyFont="1" applyFill="1" applyAlignment="1">
      <alignment vertical="top" wrapText="1"/>
    </xf>
    <xf numFmtId="166" fontId="51" fillId="15" borderId="5" xfId="8" applyFont="1" applyFill="1" applyBorder="1" applyAlignment="1">
      <alignment horizontal="center" vertical="center"/>
    </xf>
    <xf numFmtId="166" fontId="51" fillId="15" borderId="6" xfId="8" applyFont="1" applyFill="1" applyBorder="1" applyAlignment="1">
      <alignment horizontal="center" vertical="center"/>
    </xf>
    <xf numFmtId="166" fontId="51" fillId="15" borderId="7" xfId="8" applyFont="1" applyFill="1" applyBorder="1" applyAlignment="1">
      <alignment horizontal="center" vertical="center"/>
    </xf>
    <xf numFmtId="166" fontId="28" fillId="20" borderId="0" xfId="8" applyFont="1" applyFill="1" applyBorder="1" applyAlignment="1">
      <alignment horizontal="left" wrapText="1"/>
    </xf>
    <xf numFmtId="166" fontId="35" fillId="20" borderId="0" xfId="8" applyFill="1" applyBorder="1" applyAlignment="1">
      <alignment horizontal="left" wrapText="1"/>
    </xf>
    <xf numFmtId="166" fontId="35" fillId="20" borderId="9" xfId="8" applyFill="1" applyBorder="1" applyAlignment="1">
      <alignment horizontal="left" wrapText="1"/>
    </xf>
    <xf numFmtId="0" fontId="38" fillId="44" borderId="67" xfId="21" applyNumberFormat="1" applyFont="1" applyFill="1" applyBorder="1" applyAlignment="1">
      <alignment horizontal="center" vertical="center"/>
    </xf>
    <xf numFmtId="0" fontId="38" fillId="44" borderId="64" xfId="21" applyNumberFormat="1" applyFont="1" applyFill="1" applyBorder="1" applyAlignment="1">
      <alignment horizontal="center" vertical="center"/>
    </xf>
    <xf numFmtId="0" fontId="49" fillId="5" borderId="74" xfId="0" applyFont="1" applyFill="1" applyBorder="1" applyAlignment="1">
      <alignment horizontal="center" vertical="center"/>
    </xf>
    <xf numFmtId="0" fontId="49" fillId="5" borderId="72" xfId="0" applyFont="1" applyFill="1" applyBorder="1" applyAlignment="1">
      <alignment horizontal="center" vertical="center"/>
    </xf>
    <xf numFmtId="0" fontId="49" fillId="5" borderId="75" xfId="0" applyFont="1" applyFill="1" applyBorder="1" applyAlignment="1">
      <alignment horizontal="center" vertical="center"/>
    </xf>
    <xf numFmtId="0" fontId="49" fillId="5" borderId="73" xfId="0" applyFont="1" applyFill="1" applyBorder="1" applyAlignment="1">
      <alignment horizontal="center" vertical="center"/>
    </xf>
    <xf numFmtId="0" fontId="49" fillId="5" borderId="79" xfId="0" applyFont="1" applyFill="1" applyBorder="1" applyAlignment="1">
      <alignment horizontal="center" vertical="center" wrapText="1"/>
    </xf>
    <xf numFmtId="0" fontId="49" fillId="5" borderId="80" xfId="0" applyFont="1" applyFill="1" applyBorder="1" applyAlignment="1">
      <alignment horizontal="center" vertical="center" wrapText="1"/>
    </xf>
    <xf numFmtId="0" fontId="49" fillId="5" borderId="81" xfId="0" applyFont="1" applyFill="1" applyBorder="1" applyAlignment="1">
      <alignment horizontal="center" vertical="center" wrapText="1"/>
    </xf>
    <xf numFmtId="0" fontId="49" fillId="5" borderId="82" xfId="0" applyFont="1" applyFill="1" applyBorder="1" applyAlignment="1">
      <alignment horizontal="center" vertical="center" wrapText="1"/>
    </xf>
    <xf numFmtId="0" fontId="49" fillId="5" borderId="83" xfId="0" applyFont="1" applyFill="1" applyBorder="1" applyAlignment="1">
      <alignment horizontal="center" vertical="center" wrapText="1"/>
    </xf>
    <xf numFmtId="9" fontId="124" fillId="16" borderId="109" xfId="18" applyNumberFormat="1" applyFont="1" applyFill="1" applyBorder="1" applyAlignment="1">
      <alignment horizontal="center" vertical="center" wrapText="1" readingOrder="1"/>
    </xf>
    <xf numFmtId="9" fontId="124" fillId="16" borderId="110" xfId="18" applyNumberFormat="1" applyFont="1" applyFill="1" applyBorder="1" applyAlignment="1">
      <alignment horizontal="center" vertical="center" wrapText="1" readingOrder="1"/>
    </xf>
    <xf numFmtId="9" fontId="124" fillId="16" borderId="111" xfId="18" applyNumberFormat="1" applyFont="1" applyFill="1" applyBorder="1" applyAlignment="1">
      <alignment horizontal="center" vertical="center" wrapText="1" readingOrder="1"/>
    </xf>
    <xf numFmtId="0" fontId="48" fillId="42" borderId="112" xfId="21" applyFont="1" applyFill="1" applyBorder="1" applyAlignment="1">
      <alignment horizontal="center" vertical="center" readingOrder="1"/>
    </xf>
    <xf numFmtId="0" fontId="48" fillId="42" borderId="0" xfId="21" applyFont="1" applyFill="1" applyAlignment="1">
      <alignment horizontal="center" vertical="center" readingOrder="1"/>
    </xf>
    <xf numFmtId="0" fontId="50" fillId="0" borderId="136" xfId="0" applyFont="1" applyBorder="1" applyAlignment="1">
      <alignment horizontal="center" vertical="center" wrapText="1"/>
    </xf>
    <xf numFmtId="0" fontId="50" fillId="0" borderId="0" xfId="0" applyFont="1" applyAlignment="1">
      <alignment horizontal="center" vertical="center" wrapText="1"/>
    </xf>
    <xf numFmtId="0" fontId="49" fillId="5" borderId="74" xfId="0" applyFont="1" applyFill="1" applyBorder="1" applyAlignment="1">
      <alignment horizontal="center" vertical="center" wrapText="1"/>
    </xf>
    <xf numFmtId="0" fontId="49" fillId="5" borderId="72" xfId="0" applyFont="1" applyFill="1" applyBorder="1" applyAlignment="1">
      <alignment horizontal="center" vertical="center" wrapText="1"/>
    </xf>
    <xf numFmtId="0" fontId="49" fillId="5" borderId="75" xfId="0" applyFont="1" applyFill="1" applyBorder="1" applyAlignment="1">
      <alignment horizontal="center" vertical="center" wrapText="1"/>
    </xf>
    <xf numFmtId="0" fontId="49" fillId="8" borderId="73" xfId="0" applyFont="1" applyFill="1" applyBorder="1" applyAlignment="1">
      <alignment horizontal="center" vertical="center" wrapText="1"/>
    </xf>
    <xf numFmtId="0" fontId="49" fillId="8" borderId="79" xfId="0" applyFont="1" applyFill="1" applyBorder="1" applyAlignment="1">
      <alignment horizontal="center" vertical="center" wrapText="1"/>
    </xf>
    <xf numFmtId="0" fontId="49" fillId="8" borderId="85" xfId="0" applyFont="1" applyFill="1" applyBorder="1" applyAlignment="1">
      <alignment horizontal="center" vertical="center" wrapText="1"/>
    </xf>
    <xf numFmtId="0" fontId="49" fillId="8" borderId="86" xfId="0" applyFont="1" applyFill="1" applyBorder="1" applyAlignment="1">
      <alignment horizontal="center" vertical="center" wrapText="1"/>
    </xf>
    <xf numFmtId="0" fontId="49" fillId="8" borderId="87" xfId="0" applyFont="1" applyFill="1" applyBorder="1" applyAlignment="1">
      <alignment horizontal="center" vertical="center" wrapText="1"/>
    </xf>
    <xf numFmtId="0" fontId="49" fillId="8" borderId="88" xfId="0" applyFont="1" applyFill="1" applyBorder="1" applyAlignment="1">
      <alignment horizontal="center" vertical="center" wrapText="1"/>
    </xf>
    <xf numFmtId="0" fontId="49" fillId="5" borderId="85" xfId="0" applyFont="1" applyFill="1" applyBorder="1" applyAlignment="1">
      <alignment horizontal="center" vertical="center"/>
    </xf>
    <xf numFmtId="0" fontId="49" fillId="5" borderId="91" xfId="0" applyFont="1" applyFill="1" applyBorder="1" applyAlignment="1">
      <alignment horizontal="center" vertical="center"/>
    </xf>
    <xf numFmtId="0" fontId="49" fillId="5" borderId="87" xfId="0" applyFont="1" applyFill="1" applyBorder="1" applyAlignment="1">
      <alignment horizontal="center" vertical="center"/>
    </xf>
    <xf numFmtId="0" fontId="49" fillId="5" borderId="92" xfId="0" applyFont="1" applyFill="1" applyBorder="1" applyAlignment="1">
      <alignment horizontal="center" vertical="center"/>
    </xf>
    <xf numFmtId="0" fontId="49" fillId="5" borderId="89" xfId="0" applyFont="1" applyFill="1" applyBorder="1" applyAlignment="1">
      <alignment horizontal="center" vertical="center"/>
    </xf>
    <xf numFmtId="0" fontId="49" fillId="5" borderId="90" xfId="0" applyFont="1" applyFill="1" applyBorder="1" applyAlignment="1">
      <alignment horizontal="center" vertical="center"/>
    </xf>
    <xf numFmtId="0" fontId="49" fillId="8" borderId="72" xfId="0" applyFont="1" applyFill="1" applyBorder="1" applyAlignment="1">
      <alignment horizontal="center" vertical="center" wrapText="1"/>
    </xf>
    <xf numFmtId="0" fontId="49" fillId="5" borderId="85" xfId="0" applyFont="1" applyFill="1" applyBorder="1" applyAlignment="1">
      <alignment horizontal="center" vertical="center" wrapText="1"/>
    </xf>
    <xf numFmtId="0" fontId="49" fillId="5" borderId="86" xfId="0" applyFont="1" applyFill="1" applyBorder="1" applyAlignment="1">
      <alignment horizontal="center" vertical="center" wrapText="1"/>
    </xf>
    <xf numFmtId="0" fontId="49" fillId="5" borderId="87" xfId="0" applyFont="1" applyFill="1" applyBorder="1" applyAlignment="1">
      <alignment horizontal="center" vertical="center" wrapText="1"/>
    </xf>
    <xf numFmtId="0" fontId="49" fillId="5" borderId="88" xfId="0" applyFont="1" applyFill="1" applyBorder="1" applyAlignment="1">
      <alignment horizontal="center" vertical="center" wrapText="1"/>
    </xf>
    <xf numFmtId="0" fontId="48" fillId="38" borderId="148" xfId="0" applyFont="1" applyFill="1" applyBorder="1" applyAlignment="1">
      <alignment horizontal="center" vertical="center" textRotation="90" wrapText="1"/>
    </xf>
    <xf numFmtId="0" fontId="48" fillId="42" borderId="108" xfId="21" applyFont="1" applyFill="1" applyBorder="1" applyAlignment="1">
      <alignment horizontal="center" vertical="center" textRotation="90" readingOrder="1"/>
    </xf>
    <xf numFmtId="0" fontId="48" fillId="42" borderId="0" xfId="21" applyFont="1" applyFill="1" applyAlignment="1">
      <alignment horizontal="center" vertical="center" textRotation="90" readingOrder="1"/>
    </xf>
    <xf numFmtId="0" fontId="119" fillId="0" borderId="0" xfId="18" applyFont="1" applyAlignment="1">
      <alignment horizontal="left" vertical="center"/>
    </xf>
    <xf numFmtId="0" fontId="48" fillId="2" borderId="63" xfId="21" applyFont="1" applyFill="1" applyBorder="1" applyAlignment="1">
      <alignment horizontal="center" vertical="center" textRotation="90" readingOrder="1"/>
    </xf>
    <xf numFmtId="0" fontId="48" fillId="2" borderId="107" xfId="21" applyFont="1" applyFill="1" applyBorder="1" applyAlignment="1">
      <alignment horizontal="center" vertical="center" textRotation="90" readingOrder="1"/>
    </xf>
    <xf numFmtId="0" fontId="48" fillId="2" borderId="65" xfId="21" applyFont="1" applyFill="1" applyBorder="1" applyAlignment="1">
      <alignment horizontal="center" vertical="center" textRotation="90" readingOrder="1"/>
    </xf>
    <xf numFmtId="0" fontId="48" fillId="14" borderId="63" xfId="21" applyFont="1" applyFill="1" applyBorder="1" applyAlignment="1">
      <alignment horizontal="center" vertical="center" textRotation="90" readingOrder="1"/>
    </xf>
    <xf numFmtId="0" fontId="48" fillId="14" borderId="107" xfId="21" applyFont="1" applyFill="1" applyBorder="1" applyAlignment="1">
      <alignment horizontal="center" vertical="center" textRotation="90" readingOrder="1"/>
    </xf>
    <xf numFmtId="0" fontId="48" fillId="14" borderId="65" xfId="21" applyFont="1" applyFill="1" applyBorder="1" applyAlignment="1">
      <alignment horizontal="center" vertical="center" textRotation="90" readingOrder="1"/>
    </xf>
    <xf numFmtId="0" fontId="48" fillId="38" borderId="63" xfId="21" applyFont="1" applyFill="1" applyBorder="1" applyAlignment="1">
      <alignment horizontal="center" vertical="center" textRotation="90" readingOrder="1"/>
    </xf>
    <xf numFmtId="0" fontId="48" fillId="38" borderId="107" xfId="21" applyFont="1" applyFill="1" applyBorder="1" applyAlignment="1">
      <alignment horizontal="center" vertical="center" textRotation="90" readingOrder="1"/>
    </xf>
    <xf numFmtId="0" fontId="48" fillId="38" borderId="65" xfId="21" applyFont="1" applyFill="1" applyBorder="1" applyAlignment="1">
      <alignment horizontal="center" vertical="center" textRotation="90" readingOrder="1"/>
    </xf>
    <xf numFmtId="0" fontId="48" fillId="9" borderId="63" xfId="21" applyFont="1" applyFill="1" applyBorder="1" applyAlignment="1">
      <alignment horizontal="center" vertical="center" textRotation="90" readingOrder="1"/>
    </xf>
    <xf numFmtId="0" fontId="48" fillId="9" borderId="107" xfId="21" applyFont="1" applyFill="1" applyBorder="1" applyAlignment="1">
      <alignment horizontal="center" vertical="center" textRotation="90" readingOrder="1"/>
    </xf>
    <xf numFmtId="0" fontId="48" fillId="9" borderId="65" xfId="21" applyFont="1" applyFill="1" applyBorder="1" applyAlignment="1">
      <alignment horizontal="center" vertical="center" textRotation="90" readingOrder="1"/>
    </xf>
    <xf numFmtId="0" fontId="48" fillId="16" borderId="63" xfId="21" applyFont="1" applyFill="1" applyBorder="1" applyAlignment="1">
      <alignment horizontal="center" vertical="center" textRotation="90" readingOrder="1"/>
    </xf>
    <xf numFmtId="0" fontId="48" fillId="16" borderId="107" xfId="21" applyFont="1" applyFill="1" applyBorder="1" applyAlignment="1">
      <alignment horizontal="center" vertical="center" textRotation="90" readingOrder="1"/>
    </xf>
    <xf numFmtId="0" fontId="48" fillId="16" borderId="65" xfId="21" applyFont="1" applyFill="1" applyBorder="1" applyAlignment="1">
      <alignment horizontal="center" vertical="center" textRotation="90" readingOrder="1"/>
    </xf>
    <xf numFmtId="0" fontId="48" fillId="38" borderId="150" xfId="0" applyFont="1" applyFill="1" applyBorder="1" applyAlignment="1">
      <alignment horizontal="center" vertical="center" textRotation="90" wrapText="1"/>
    </xf>
    <xf numFmtId="0" fontId="121" fillId="0" borderId="0" xfId="18" applyFont="1" applyAlignment="1">
      <alignment horizontal="left" vertical="center"/>
    </xf>
    <xf numFmtId="0" fontId="79" fillId="0" borderId="152" xfId="0" applyFont="1" applyBorder="1" applyAlignment="1">
      <alignment horizontal="center" vertical="center" wrapText="1"/>
    </xf>
    <xf numFmtId="0" fontId="79" fillId="0" borderId="153" xfId="0" applyFont="1" applyBorder="1" applyAlignment="1">
      <alignment horizontal="center" vertical="center" wrapText="1"/>
    </xf>
    <xf numFmtId="0" fontId="80" fillId="0" borderId="115" xfId="0" applyFont="1" applyBorder="1" applyAlignment="1">
      <alignment horizontal="center" vertical="center" wrapText="1"/>
    </xf>
    <xf numFmtId="0" fontId="80" fillId="0" borderId="116" xfId="0" applyFont="1" applyBorder="1" applyAlignment="1">
      <alignment horizontal="center" vertical="center" wrapText="1"/>
    </xf>
    <xf numFmtId="0" fontId="78" fillId="14" borderId="113" xfId="0" applyFont="1" applyFill="1" applyBorder="1" applyAlignment="1">
      <alignment horizontal="center" vertical="center" wrapText="1"/>
    </xf>
    <xf numFmtId="0" fontId="78" fillId="14" borderId="119" xfId="0" applyFont="1" applyFill="1" applyBorder="1" applyAlignment="1">
      <alignment horizontal="center" vertical="center" wrapText="1"/>
    </xf>
    <xf numFmtId="0" fontId="78" fillId="14" borderId="114" xfId="0" applyFont="1" applyFill="1" applyBorder="1" applyAlignment="1">
      <alignment horizontal="center" vertical="center" wrapText="1"/>
    </xf>
    <xf numFmtId="0" fontId="72" fillId="0" borderId="0" xfId="0" applyFont="1" applyBorder="1" applyAlignment="1">
      <alignment horizontal="center"/>
    </xf>
    <xf numFmtId="0" fontId="72" fillId="0" borderId="32" xfId="0" applyFont="1" applyBorder="1" applyAlignment="1">
      <alignment horizontal="center"/>
    </xf>
    <xf numFmtId="0" fontId="41" fillId="16" borderId="4" xfId="21" applyFont="1" applyFill="1" applyBorder="1" applyAlignment="1">
      <alignment horizontal="center" vertical="center" wrapText="1"/>
    </xf>
    <xf numFmtId="0" fontId="78" fillId="45" borderId="122" xfId="0" applyFont="1" applyFill="1" applyBorder="1" applyAlignment="1">
      <alignment horizontal="center" vertical="center" wrapText="1"/>
    </xf>
    <xf numFmtId="0" fontId="78" fillId="45" borderId="123" xfId="0" applyFont="1" applyFill="1" applyBorder="1" applyAlignment="1">
      <alignment horizontal="center" vertical="center" wrapText="1"/>
    </xf>
    <xf numFmtId="0" fontId="78" fillId="45" borderId="124" xfId="0" applyFont="1" applyFill="1" applyBorder="1" applyAlignment="1">
      <alignment horizontal="center" vertical="center" wrapText="1"/>
    </xf>
    <xf numFmtId="0" fontId="41" fillId="42" borderId="115" xfId="21" applyFont="1" applyFill="1" applyBorder="1" applyAlignment="1">
      <alignment horizontal="center" vertical="center" wrapText="1"/>
    </xf>
    <xf numFmtId="0" fontId="41" fillId="42" borderId="120" xfId="21" applyFont="1" applyFill="1" applyBorder="1" applyAlignment="1">
      <alignment horizontal="center" vertical="center" wrapText="1"/>
    </xf>
    <xf numFmtId="0" fontId="41" fillId="42" borderId="116" xfId="21" applyFont="1" applyFill="1" applyBorder="1" applyAlignment="1">
      <alignment horizontal="center" vertical="center" wrapText="1"/>
    </xf>
    <xf numFmtId="0" fontId="78" fillId="36" borderId="122" xfId="0" applyFont="1" applyFill="1" applyBorder="1" applyAlignment="1">
      <alignment horizontal="center" vertical="center" wrapText="1"/>
    </xf>
    <xf numFmtId="0" fontId="78" fillId="36" borderId="123" xfId="0" applyFont="1" applyFill="1" applyBorder="1" applyAlignment="1">
      <alignment horizontal="center" vertical="center" wrapText="1"/>
    </xf>
    <xf numFmtId="0" fontId="78" fillId="36" borderId="124" xfId="0" applyFont="1" applyFill="1" applyBorder="1" applyAlignment="1">
      <alignment horizontal="center" vertical="center" wrapText="1"/>
    </xf>
    <xf numFmtId="0" fontId="78" fillId="8" borderId="113" xfId="0" applyFont="1" applyFill="1" applyBorder="1" applyAlignment="1">
      <alignment horizontal="center" vertical="center" wrapText="1"/>
    </xf>
    <xf numFmtId="0" fontId="78" fillId="8" borderId="119" xfId="0" applyFont="1" applyFill="1" applyBorder="1" applyAlignment="1">
      <alignment horizontal="center" vertical="center" wrapText="1"/>
    </xf>
    <xf numFmtId="0" fontId="78" fillId="8" borderId="114" xfId="0" applyFont="1" applyFill="1" applyBorder="1" applyAlignment="1">
      <alignment horizontal="center" vertical="center" wrapText="1"/>
    </xf>
    <xf numFmtId="0" fontId="26" fillId="0" borderId="0" xfId="0" applyFont="1" applyAlignment="1">
      <alignment horizontal="center"/>
    </xf>
    <xf numFmtId="0" fontId="31" fillId="0" borderId="0" xfId="0" applyFont="1" applyAlignment="1">
      <alignment horizontal="center"/>
    </xf>
    <xf numFmtId="0" fontId="25" fillId="0" borderId="96" xfId="0" applyFont="1" applyBorder="1" applyAlignment="1">
      <alignment horizontal="center"/>
    </xf>
    <xf numFmtId="0" fontId="31" fillId="0" borderId="96" xfId="0" applyFont="1" applyBorder="1" applyAlignment="1">
      <alignment horizontal="center"/>
    </xf>
    <xf numFmtId="0" fontId="95" fillId="41" borderId="0" xfId="0" applyFont="1" applyFill="1" applyAlignment="1">
      <alignment horizontal="center" vertical="center"/>
    </xf>
    <xf numFmtId="0" fontId="83" fillId="26" borderId="0" xfId="0" applyFont="1" applyFill="1" applyAlignment="1">
      <alignment horizontal="center" vertical="center" wrapText="1"/>
    </xf>
    <xf numFmtId="164" fontId="82" fillId="15" borderId="0" xfId="4" applyNumberFormat="1" applyFont="1" applyFill="1" applyAlignment="1">
      <alignment horizontal="center" vertical="center" wrapText="1"/>
    </xf>
  </cellXfs>
  <cellStyles count="145">
    <cellStyle name="20% - Accent1" xfId="80" builtinId="30"/>
    <cellStyle name="20% - Accent1 2" xfId="140" xr:uid="{B490BE49-AD5C-4126-AD8A-5C1543AEBB76}"/>
    <cellStyle name="Bad 2" xfId="23" xr:uid="{00000000-0005-0000-0000-000000000000}"/>
    <cellStyle name="Bad 2 2" xfId="56" xr:uid="{00000000-0005-0000-0000-00003C000000}"/>
    <cellStyle name="Comma" xfId="4" builtinId="3"/>
    <cellStyle name="Comma 2" xfId="7" xr:uid="{00000000-0005-0000-0000-000002000000}"/>
    <cellStyle name="Comma 2 2" xfId="16" xr:uid="{00000000-0005-0000-0000-000003000000}"/>
    <cellStyle name="Comma 2 2 2" xfId="31" xr:uid="{00000000-0005-0000-0000-000003000000}"/>
    <cellStyle name="Comma 2 2 2 2" xfId="48" xr:uid="{00000000-0005-0000-0000-000014000000}"/>
    <cellStyle name="Comma 2 2 2 2 2" xfId="113" xr:uid="{57F9FD4F-C2CE-471B-85AA-8D74E5C3A409}"/>
    <cellStyle name="Comma 2 2 2 3" xfId="97" xr:uid="{CB89F8A7-D9E0-4349-9E02-6C03D67A8FA8}"/>
    <cellStyle name="Comma 2 2 3" xfId="40" xr:uid="{00000000-0005-0000-0000-000003000000}"/>
    <cellStyle name="Comma 2 2 3 2" xfId="51" xr:uid="{00000000-0005-0000-0000-00001F000000}"/>
    <cellStyle name="Comma 2 2 3 2 2" xfId="116" xr:uid="{4BB1A080-227B-41BF-93A2-B9320B2C1CF9}"/>
    <cellStyle name="Comma 2 2 3 3" xfId="106" xr:uid="{704546F9-1387-4160-9C51-D6854149F41D}"/>
    <cellStyle name="Comma 2 2 4" xfId="58" xr:uid="{00000000-0005-0000-0000-00003E000000}"/>
    <cellStyle name="Comma 2 2 4 2" xfId="120" xr:uid="{1C7594AD-09D7-4193-B7C0-C694E3265C91}"/>
    <cellStyle name="Comma 2 2 5" xfId="88" xr:uid="{59E3C9B4-CD5C-4B76-BC7B-EA94E2A9C3AE}"/>
    <cellStyle name="Comma 2 3" xfId="26" xr:uid="{00000000-0005-0000-0000-000002000000}"/>
    <cellStyle name="Comma 2 3 2" xfId="46" xr:uid="{00000000-0005-0000-0000-00000E000000}"/>
    <cellStyle name="Comma 2 3 2 2" xfId="111" xr:uid="{CC61F93B-680D-42AD-8765-6B7A1ABEA53B}"/>
    <cellStyle name="Comma 2 3 3" xfId="92" xr:uid="{E4302EEA-E4DC-4A3F-9F71-F41A49C774DF}"/>
    <cellStyle name="Comma 2 4" xfId="35" xr:uid="{00000000-0005-0000-0000-000001000000}"/>
    <cellStyle name="Comma 2 4 2" xfId="60" xr:uid="{00000000-0005-0000-0000-000040000000}"/>
    <cellStyle name="Comma 2 4 2 2" xfId="122" xr:uid="{974F39D7-0353-4C31-AAC7-1A20D3E3DFFA}"/>
    <cellStyle name="Comma 2 4 3" xfId="101" xr:uid="{C45408F6-EC26-4605-9A4C-996C7BCE689F}"/>
    <cellStyle name="Comma 2 5" xfId="47" xr:uid="{00000000-0005-0000-0000-000011000000}"/>
    <cellStyle name="Comma 2 5 2" xfId="112" xr:uid="{FAB957B3-FD0E-475C-982E-C3BFEAEB17B3}"/>
    <cellStyle name="Comma 2 6" xfId="83" xr:uid="{F97A1E7F-7767-4857-874C-B0AF638786C9}"/>
    <cellStyle name="Comma 3" xfId="43" xr:uid="{00000000-0005-0000-0000-000058000000}"/>
    <cellStyle name="Comma 3 2" xfId="108" xr:uid="{1BB44DCD-7D33-46F1-A79F-AAE17842018B}"/>
    <cellStyle name="Comma 4" xfId="5" xr:uid="{00000000-0005-0000-0000-000004000000}"/>
    <cellStyle name="Comma 4 2" xfId="50" xr:uid="{00000000-0005-0000-0000-00001C000000}"/>
    <cellStyle name="Comma 4 2 2" xfId="115" xr:uid="{6BEEC0EA-8725-487D-8571-8B4F02CFBAB9}"/>
    <cellStyle name="Comma 5" xfId="144" xr:uid="{7FB21548-766E-45E5-81D5-3BE96843685D}"/>
    <cellStyle name="Currency 2" xfId="143" xr:uid="{2DFFC304-68C9-404F-B900-66654532EBAA}"/>
    <cellStyle name="Good 2" xfId="22" xr:uid="{00000000-0005-0000-0000-000005000000}"/>
    <cellStyle name="Good 2 2" xfId="55" xr:uid="{00000000-0005-0000-0000-00003A000000}"/>
    <cellStyle name="Heading 1 2" xfId="12" xr:uid="{00000000-0005-0000-0000-000006000000}"/>
    <cellStyle name="Heading 1 2 2" xfId="61" xr:uid="{00000000-0005-0000-0000-000041000000}"/>
    <cellStyle name="Normal" xfId="0" builtinId="0"/>
    <cellStyle name="Normal 2" xfId="8" xr:uid="{00000000-0005-0000-0000-000008000000}"/>
    <cellStyle name="Normal 2 2" xfId="13" xr:uid="{00000000-0005-0000-0000-000009000000}"/>
    <cellStyle name="Normal 2 2 2" xfId="28" xr:uid="{00000000-0005-0000-0000-000009000000}"/>
    <cellStyle name="Normal 2 2 2 2" xfId="59" xr:uid="{00000000-0005-0000-0000-00003F000000}"/>
    <cellStyle name="Normal 2 2 2 2 2" xfId="121" xr:uid="{33934AB4-6900-4496-96F4-70AC14946F0A}"/>
    <cellStyle name="Normal 2 2 2 3" xfId="94" xr:uid="{9CE9BCFF-154B-49EE-BFC9-9FA6C67BEB73}"/>
    <cellStyle name="Normal 2 2 3" xfId="37" xr:uid="{00000000-0005-0000-0000-00001F000000}"/>
    <cellStyle name="Normal 2 2 3 2" xfId="49" xr:uid="{00000000-0005-0000-0000-000017000000}"/>
    <cellStyle name="Normal 2 2 3 2 2" xfId="114" xr:uid="{E75890A6-B0BB-44E7-AAB4-2F86540C9070}"/>
    <cellStyle name="Normal 2 2 3 3" xfId="103" xr:uid="{8CBED9B1-321A-4738-9258-C17B83FD4270}"/>
    <cellStyle name="Normal 2 2 4" xfId="52" xr:uid="{00000000-0005-0000-0000-000021000000}"/>
    <cellStyle name="Normal 2 2 4 2" xfId="117" xr:uid="{A36540CB-A95E-4D98-9B0B-8ABF5E9ED017}"/>
    <cellStyle name="Normal 2 2 5" xfId="85" xr:uid="{8CFE22E8-C7B9-4162-801A-A519AD95C7D2}"/>
    <cellStyle name="Normal 2 3" xfId="17" xr:uid="{00000000-0005-0000-0000-00000A000000}"/>
    <cellStyle name="Normal 2 3 2" xfId="32" xr:uid="{00000000-0005-0000-0000-00000A000000}"/>
    <cellStyle name="Normal 2 3 2 2" xfId="53" xr:uid="{00000000-0005-0000-0000-00002C000000}"/>
    <cellStyle name="Normal 2 3 2 2 2" xfId="118" xr:uid="{CAD2CFC8-4480-4605-8512-E69FBDDFB3EB}"/>
    <cellStyle name="Normal 2 3 2 3" xfId="98" xr:uid="{443C0551-EC0B-4C83-86D0-4444A12E1B1C}"/>
    <cellStyle name="Normal 2 3 3" xfId="41" xr:uid="{00000000-0005-0000-0000-000020000000}"/>
    <cellStyle name="Normal 2 3 3 2" xfId="63" xr:uid="{00000000-0005-0000-0000-000043000000}"/>
    <cellStyle name="Normal 2 3 3 2 2" xfId="124" xr:uid="{59EC2101-EACF-4362-A30F-8A98674F2529}"/>
    <cellStyle name="Normal 2 3 3 3" xfId="107" xr:uid="{579E8BAE-9D1D-4F02-B9F7-7BE6748D87F2}"/>
    <cellStyle name="Normal 2 3 4" xfId="62" xr:uid="{00000000-0005-0000-0000-000042000000}"/>
    <cellStyle name="Normal 2 3 4 2" xfId="123" xr:uid="{BF5F6A8A-8736-4C5A-8549-3531C6797252}"/>
    <cellStyle name="Normal 2 3 5" xfId="89" xr:uid="{1C975370-F3E4-42B6-A881-E4512D44B15B}"/>
    <cellStyle name="Normal 2 4" xfId="21" xr:uid="{00000000-0005-0000-0000-00000B000000}"/>
    <cellStyle name="Normal 2 4 2" xfId="64" xr:uid="{00000000-0005-0000-0000-000044000000}"/>
    <cellStyle name="Normal 2 4 2 2" xfId="125" xr:uid="{3726D794-64AA-46DD-A6E1-E66D48C691E2}"/>
    <cellStyle name="Normal 2 5" xfId="27" xr:uid="{00000000-0005-0000-0000-000008000000}"/>
    <cellStyle name="Normal 2 5 2" xfId="65" xr:uid="{00000000-0005-0000-0000-000045000000}"/>
    <cellStyle name="Normal 2 5 2 2" xfId="126" xr:uid="{ACEE3486-C2F5-4026-B594-E2D004EF89AA}"/>
    <cellStyle name="Normal 2 5 3" xfId="93" xr:uid="{A210B21A-FA10-458A-9381-98458C652EE5}"/>
    <cellStyle name="Normal 2 6" xfId="36" xr:uid="{00000000-0005-0000-0000-000005000000}"/>
    <cellStyle name="Normal 2 6 2" xfId="66" xr:uid="{00000000-0005-0000-0000-000046000000}"/>
    <cellStyle name="Normal 2 6 2 2" xfId="127" xr:uid="{90D191FC-121D-42C1-8833-A6D9AC775992}"/>
    <cellStyle name="Normal 2 6 3" xfId="102" xr:uid="{CE50BC16-625D-4F0F-8268-A756A77753B9}"/>
    <cellStyle name="Normal 2 7" xfId="54" xr:uid="{00000000-0005-0000-0000-000033000000}"/>
    <cellStyle name="Normal 2 7 2" xfId="119" xr:uid="{F6FECD52-C60D-4FF0-BEDF-2F888B19AAB8}"/>
    <cellStyle name="Normal 2 8" xfId="84" xr:uid="{5C5DC6ED-4CB5-4AEE-8999-A05F6EDFF38A}"/>
    <cellStyle name="Normal 3" xfId="10" xr:uid="{00000000-0005-0000-0000-00000C000000}"/>
    <cellStyle name="Normal 3 2" xfId="18" xr:uid="{00000000-0005-0000-0000-00000D000000}"/>
    <cellStyle name="Normal 4" xfId="2" xr:uid="{00000000-0005-0000-0000-00000E000000}"/>
    <cellStyle name="Normal 4 2" xfId="14" xr:uid="{00000000-0005-0000-0000-00000F000000}"/>
    <cellStyle name="Normal 4 2 2" xfId="29" xr:uid="{00000000-0005-0000-0000-00000F000000}"/>
    <cellStyle name="Normal 4 2 2 2" xfId="69" xr:uid="{00000000-0005-0000-0000-00004B000000}"/>
    <cellStyle name="Normal 4 2 2 2 2" xfId="130" xr:uid="{E2ACB85C-4414-4D46-88CE-E4E6DBB2C6D4}"/>
    <cellStyle name="Normal 4 2 2 3" xfId="95" xr:uid="{E1F4ECEE-5661-4442-AD4C-6694AE6534D0}"/>
    <cellStyle name="Normal 4 2 3" xfId="38" xr:uid="{00000000-0005-0000-0000-000025000000}"/>
    <cellStyle name="Normal 4 2 3 2" xfId="70" xr:uid="{00000000-0005-0000-0000-00004C000000}"/>
    <cellStyle name="Normal 4 2 3 2 2" xfId="131" xr:uid="{99BAFC7A-5ACA-47C4-88C7-366F54392871}"/>
    <cellStyle name="Normal 4 2 3 3" xfId="104" xr:uid="{8E963DF1-4861-47DB-AB21-F924774C7E97}"/>
    <cellStyle name="Normal 4 2 4" xfId="68" xr:uid="{00000000-0005-0000-0000-00004A000000}"/>
    <cellStyle name="Normal 4 2 4 2" xfId="129" xr:uid="{6E1DE146-8569-402C-8F17-E15C3FA61AFB}"/>
    <cellStyle name="Normal 4 2 5" xfId="86" xr:uid="{AD9D6F0B-6142-4128-9355-2A51DE56684F}"/>
    <cellStyle name="Normal 4 3" xfId="24" xr:uid="{00000000-0005-0000-0000-00000E000000}"/>
    <cellStyle name="Normal 4 3 2" xfId="71" xr:uid="{00000000-0005-0000-0000-00004D000000}"/>
    <cellStyle name="Normal 4 3 2 2" xfId="132" xr:uid="{B8AB876D-41DC-4086-91A8-E0393F022C58}"/>
    <cellStyle name="Normal 4 3 3" xfId="90" xr:uid="{E74C908C-9C1D-4E7E-A0C7-F4D372FD592C}"/>
    <cellStyle name="Normal 4 4" xfId="33" xr:uid="{00000000-0005-0000-0000-000006000000}"/>
    <cellStyle name="Normal 4 4 2" xfId="72" xr:uid="{00000000-0005-0000-0000-00004E000000}"/>
    <cellStyle name="Normal 4 4 2 2" xfId="133" xr:uid="{1175A1C2-5F27-44EF-8E25-2BC3ED8EDECB}"/>
    <cellStyle name="Normal 4 4 3" xfId="99" xr:uid="{CB72B3DA-63EC-46D3-9CC3-333555F670C9}"/>
    <cellStyle name="Normal 4 5" xfId="67" xr:uid="{00000000-0005-0000-0000-000049000000}"/>
    <cellStyle name="Normal 4 5 2" xfId="128" xr:uid="{BD483519-F13B-44D7-ABAB-4844E43974A9}"/>
    <cellStyle name="Normal 4 6" xfId="81" xr:uid="{5E122B7C-F10C-4D11-888C-2B491059E25C}"/>
    <cellStyle name="Normal 5" xfId="42" xr:uid="{00000000-0005-0000-0000-000062000000}"/>
    <cellStyle name="Normal 6" xfId="141" xr:uid="{9B0E6D57-9917-4640-92C3-AA9393F4237D}"/>
    <cellStyle name="Normal_Sheet3_1" xfId="20" xr:uid="{00000000-0005-0000-0000-000011000000}"/>
    <cellStyle name="Normal_Township" xfId="9" xr:uid="{00000000-0005-0000-0000-000012000000}"/>
    <cellStyle name="Percent" xfId="1" builtinId="5"/>
    <cellStyle name="Percent 2" xfId="3" xr:uid="{00000000-0005-0000-0000-000014000000}"/>
    <cellStyle name="Percent 2 2" xfId="6" xr:uid="{00000000-0005-0000-0000-000015000000}"/>
    <cellStyle name="Percent 2 2 2" xfId="74" xr:uid="{00000000-0005-0000-0000-000053000000}"/>
    <cellStyle name="Percent 2 2 2 2" xfId="135" xr:uid="{E0223DB7-594F-457C-8A83-86E30EC8AFAF}"/>
    <cellStyle name="Percent 2 3" xfId="15" xr:uid="{00000000-0005-0000-0000-000016000000}"/>
    <cellStyle name="Percent 2 3 2" xfId="30" xr:uid="{00000000-0005-0000-0000-000016000000}"/>
    <cellStyle name="Percent 2 3 2 2" xfId="76" xr:uid="{00000000-0005-0000-0000-000055000000}"/>
    <cellStyle name="Percent 2 3 2 2 2" xfId="137" xr:uid="{4220C140-9489-4651-9232-528DB3711A2C}"/>
    <cellStyle name="Percent 2 3 2 3" xfId="96" xr:uid="{9481DD10-F119-407B-8E22-ECC7BAC44AB5}"/>
    <cellStyle name="Percent 2 3 3" xfId="39" xr:uid="{00000000-0005-0000-0000-00002C000000}"/>
    <cellStyle name="Percent 2 3 3 2" xfId="77" xr:uid="{00000000-0005-0000-0000-000056000000}"/>
    <cellStyle name="Percent 2 3 3 2 2" xfId="138" xr:uid="{C39D7C6E-B8BF-4D51-A5F7-E1E456EA13C5}"/>
    <cellStyle name="Percent 2 3 3 3" xfId="105" xr:uid="{9074F0BA-69CD-4B33-9CF3-D19E48700397}"/>
    <cellStyle name="Percent 2 3 4" xfId="75" xr:uid="{00000000-0005-0000-0000-000054000000}"/>
    <cellStyle name="Percent 2 3 4 2" xfId="136" xr:uid="{9BF6BEE2-77B3-4026-8A73-6E88F33510F5}"/>
    <cellStyle name="Percent 2 3 5" xfId="87" xr:uid="{D7B5473F-7834-4911-A629-DE9D37CFC1E0}"/>
    <cellStyle name="Percent 2 4" xfId="25" xr:uid="{00000000-0005-0000-0000-000014000000}"/>
    <cellStyle name="Percent 2 4 2" xfId="78" xr:uid="{00000000-0005-0000-0000-000057000000}"/>
    <cellStyle name="Percent 2 4 2 2" xfId="139" xr:uid="{51BC2321-42BB-49C5-8A9E-603BE56C0020}"/>
    <cellStyle name="Percent 2 4 3" xfId="91" xr:uid="{99056B64-3B42-4702-B17C-1C699F2D3B7B}"/>
    <cellStyle name="Percent 2 5" xfId="34" xr:uid="{00000000-0005-0000-0000-000008000000}"/>
    <cellStyle name="Percent 2 5 2" xfId="44" xr:uid="{00000000-0005-0000-0000-00000B000000}"/>
    <cellStyle name="Percent 2 5 2 2" xfId="109" xr:uid="{F80D1310-BCA1-4E23-9AEC-87B66DE5F322}"/>
    <cellStyle name="Percent 2 5 3" xfId="100" xr:uid="{ABC1F253-CDD5-4DEC-8471-E945F90FDF6F}"/>
    <cellStyle name="Percent 2 6" xfId="73" xr:uid="{00000000-0005-0000-0000-000052000000}"/>
    <cellStyle name="Percent 2 6 2" xfId="134" xr:uid="{CAA637E1-4094-4F1A-AF55-AE6DF3240674}"/>
    <cellStyle name="Percent 2 7" xfId="82" xr:uid="{C37DDD9A-239F-4981-A8A5-162E075D44D4}"/>
    <cellStyle name="Percent 3" xfId="11" xr:uid="{00000000-0005-0000-0000-000017000000}"/>
    <cellStyle name="Percent 3 2" xfId="19" xr:uid="{00000000-0005-0000-0000-000018000000}"/>
    <cellStyle name="Percent 4" xfId="45" xr:uid="{00000000-0005-0000-0000-000073000000}"/>
    <cellStyle name="Percent 4 2" xfId="110" xr:uid="{BD8C62F9-1AE1-4C43-9D0D-A65C218FC891}"/>
    <cellStyle name="Percent 5" xfId="142" xr:uid="{C39961BD-C969-44BB-B849-0ECE56343370}"/>
    <cellStyle name="千位分隔 3" xfId="57" xr:uid="{00000000-0005-0000-0000-00003D000000}"/>
    <cellStyle name="常规 2" xfId="79" xr:uid="{00000000-0005-0000-0000-00005A000000}"/>
  </cellStyles>
  <dxfs count="1301">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numFmt numFmtId="1" formatCode="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fill>
        <patternFill patternType="none">
          <fgColor indexed="64"/>
          <bgColor indexed="65"/>
        </patternFill>
      </fill>
      <border diagonalUp="0" diagonalDown="0">
        <left/>
        <right style="thin">
          <color rgb="FF0070C0"/>
        </right>
        <top style="thin">
          <color rgb="FF0070C0"/>
        </top>
        <bottom style="thin">
          <color rgb="FF0070C0"/>
        </bottom>
        <vertical style="thin">
          <color rgb="FF0070C0"/>
        </vertical>
        <horizontal style="thin">
          <color rgb="FF0070C0"/>
        </horizontal>
      </border>
    </dxf>
    <dxf>
      <border>
        <top style="thin">
          <color rgb="FF0070C0"/>
        </top>
      </border>
    </dxf>
    <dxf>
      <border diagonalUp="0" diagonalDown="0">
        <left style="double">
          <color rgb="FF0070C0"/>
        </left>
        <right style="double">
          <color rgb="FF0070C0"/>
        </right>
        <top style="double">
          <color rgb="FF0070C0"/>
        </top>
        <bottom style="double">
          <color rgb="FF0070C0"/>
        </bottom>
      </border>
    </dxf>
    <dxf>
      <font>
        <b val="0"/>
        <strike val="0"/>
        <outline val="0"/>
        <shadow val="0"/>
        <u val="none"/>
        <vertAlign val="baseline"/>
        <sz val="11"/>
        <color auto="1"/>
        <name val="Calibri"/>
        <family val="2"/>
        <scheme val="minor"/>
      </font>
    </dxf>
    <dxf>
      <border>
        <bottom style="thin">
          <color rgb="FF0070C0"/>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rgb="FF0070C0"/>
        </left>
        <right style="thin">
          <color rgb="FF0070C0"/>
        </right>
        <top/>
        <bottom/>
        <vertical style="thin">
          <color rgb="FF0070C0"/>
        </vertical>
        <horizontal style="thin">
          <color rgb="FF0070C0"/>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border>
        <bottom style="thin">
          <color rgb="FF0070C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rgb="FF0070C0"/>
        </left>
        <right style="thin">
          <color rgb="FF0070C0"/>
        </right>
        <top/>
        <bottom/>
        <vertical style="thin">
          <color rgb="FF0070C0"/>
        </vertical>
        <horizontal/>
      </border>
    </dxf>
    <dxf>
      <font>
        <b val="0"/>
        <family val="1"/>
      </font>
      <fill>
        <patternFill patternType="none">
          <fgColor indexed="64"/>
          <bgColor auto="1"/>
        </patternFill>
      </fill>
    </dxf>
    <dxf>
      <font>
        <b val="0"/>
        <family val="1"/>
      </font>
      <fill>
        <patternFill patternType="none">
          <fgColor indexed="64"/>
          <bgColor auto="1"/>
        </patternFill>
      </fill>
    </dxf>
    <dxf>
      <font>
        <b val="0"/>
        <i val="0"/>
        <strike val="0"/>
        <outline val="0"/>
        <shadow val="0"/>
        <u val="none"/>
        <vertAlign val="baseline"/>
        <sz val="12"/>
        <color auto="1"/>
        <name val="Times New Roman"/>
        <family val="1"/>
        <scheme val="none"/>
      </font>
      <fill>
        <patternFill patternType="none">
          <fgColor indexed="64"/>
          <bgColor auto="1"/>
        </patternFill>
      </fill>
    </dxf>
    <dxf>
      <border outline="0">
        <top style="thin">
          <color rgb="FF9BC2E6"/>
        </top>
      </border>
    </dxf>
    <dxf>
      <border outline="0">
        <bottom style="thin">
          <color rgb="FF9BC2E6"/>
        </bottom>
      </border>
    </dxf>
    <dxf>
      <font>
        <b val="0"/>
        <i val="0"/>
        <strike val="0"/>
        <condense val="0"/>
        <extend val="0"/>
        <outline val="0"/>
        <shadow val="0"/>
        <u val="none"/>
        <vertAlign val="baseline"/>
        <sz val="12"/>
        <color theme="0"/>
        <name val="Times New Roman"/>
        <family val="1"/>
        <scheme val="none"/>
      </font>
      <fill>
        <patternFill patternType="none">
          <fgColor indexed="64"/>
          <bgColor auto="1"/>
        </patternFill>
      </fill>
    </dxf>
    <dxf>
      <font>
        <strike val="0"/>
        <outline val="0"/>
        <shadow val="0"/>
        <u val="none"/>
        <vertAlign val="baseline"/>
        <sz val="12"/>
        <color auto="1"/>
        <name val="Times New Roman"/>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rgb="FF000000"/>
          <bgColor auto="1"/>
        </patternFill>
      </fill>
      <alignment horizontal="left" vertical="bottom" textRotation="0" wrapText="0" indent="0" justifyLastLine="0" shrinkToFit="0" readingOrder="0"/>
    </dxf>
    <dxf>
      <border outline="0">
        <bottom style="thin">
          <color rgb="FF9BC2E6"/>
        </bottom>
      </border>
    </dxf>
    <dxf>
      <font>
        <b/>
        <i val="0"/>
        <strike val="0"/>
        <condense val="0"/>
        <extend val="0"/>
        <outline val="0"/>
        <shadow val="0"/>
        <u val="none"/>
        <vertAlign val="baseline"/>
        <sz val="12"/>
        <color auto="1"/>
        <name val="Times New Roman"/>
        <family val="2"/>
        <scheme val="none"/>
      </font>
      <fill>
        <patternFill patternType="none">
          <fgColor indexed="64"/>
          <bgColor auto="1"/>
        </patternFill>
      </fill>
    </dxf>
    <dxf>
      <font>
        <strike val="0"/>
        <outline val="0"/>
        <shadow val="0"/>
        <u val="none"/>
        <vertAlign val="baseline"/>
        <sz val="12"/>
        <color auto="1"/>
        <name val="Times New Roman"/>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2"/>
        <color auto="1"/>
        <name val="Times New Roman"/>
        <family val="2"/>
        <scheme val="none"/>
      </font>
      <fill>
        <patternFill patternType="none">
          <fgColor indexed="64"/>
          <bgColor auto="1"/>
        </patternFill>
      </fill>
    </dxf>
    <dxf>
      <font>
        <b val="0"/>
        <family val="1"/>
      </font>
      <fill>
        <patternFill patternType="none">
          <fgColor indexed="64"/>
          <bgColor auto="1"/>
        </patternFill>
      </fill>
    </dxf>
    <dxf>
      <font>
        <b val="0"/>
        <family val="1"/>
      </font>
      <fill>
        <patternFill patternType="none">
          <fgColor indexed="64"/>
          <bgColor auto="1"/>
        </patternFill>
      </fill>
    </dxf>
    <dxf>
      <font>
        <b val="0"/>
        <i val="0"/>
        <strike val="0"/>
        <outline val="0"/>
        <shadow val="0"/>
        <u val="none"/>
        <vertAlign val="baseline"/>
        <sz val="12"/>
        <color auto="1"/>
        <name val="Times New Roman"/>
        <family val="1"/>
        <scheme val="none"/>
      </font>
      <fill>
        <patternFill patternType="none">
          <fgColor indexed="64"/>
          <bgColor auto="1"/>
        </patternFill>
      </fill>
    </dxf>
    <dxf>
      <border outline="0">
        <top style="thin">
          <color theme="4" tint="0.39997558519241921"/>
        </top>
      </border>
    </dxf>
    <dxf>
      <font>
        <b val="0"/>
        <family val="1"/>
      </font>
      <fill>
        <patternFill patternType="none">
          <fgColor indexed="64"/>
          <bgColor auto="1"/>
        </patternFill>
      </fill>
    </dxf>
    <dxf>
      <border outline="0">
        <bottom style="thin">
          <color theme="4" tint="0.39997558519241921"/>
        </bottom>
      </border>
    </dxf>
    <dxf>
      <font>
        <b val="0"/>
        <i val="0"/>
        <strike val="0"/>
        <condense val="0"/>
        <extend val="0"/>
        <outline val="0"/>
        <shadow val="0"/>
        <u val="none"/>
        <vertAlign val="baseline"/>
        <sz val="12"/>
        <color theme="0"/>
        <name val="Times New Roman"/>
        <family val="1"/>
        <scheme val="none"/>
      </font>
      <fill>
        <patternFill patternType="none">
          <fgColor indexed="64"/>
          <bgColor auto="1"/>
        </patternFill>
      </fill>
    </dxf>
    <dxf>
      <font>
        <b val="0"/>
        <strike val="0"/>
        <outline val="0"/>
        <shadow val="0"/>
        <u val="none"/>
        <vertAlign val="baseline"/>
        <sz val="1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alignment horizontal="center"/>
    </dxf>
    <dxf>
      <alignment horizontal="center"/>
    </dxf>
    <dxf>
      <alignment vertical="center"/>
    </dxf>
    <dxf>
      <alignment vertic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wrapText="1"/>
    </dxf>
    <dxf>
      <fill>
        <patternFill patternType="none">
          <fgColor indexed="64"/>
          <bgColor indexed="65"/>
        </patternFill>
      </fill>
    </dxf>
    <dxf>
      <font>
        <color auto="1"/>
      </font>
      <fill>
        <patternFill patternType="solid">
          <fgColor indexed="64"/>
          <bgColor theme="0" tint="-0.249977111117893"/>
        </patternFill>
      </fill>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horizontal="center" vertical="center" wrapText="1"/>
    </dxf>
    <dxf>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wrapText="1"/>
    </dxf>
    <dxf>
      <alignment wrapText="1"/>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fill>
        <patternFill>
          <bgColor rgb="FF85C2FF"/>
        </patternFill>
      </fill>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color rgb="FF9C0006"/>
      </font>
      <fill>
        <patternFill>
          <bgColor rgb="FFFFC7CE"/>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color rgb="FF9C0006"/>
      </font>
      <fill>
        <patternFill>
          <bgColor rgb="FFFFC7CE"/>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300"/>
      <tableStyleElement type="headerRow" dxfId="1299"/>
    </tableStyle>
    <tableStyle name="4W Style" pivot="0" table="0" count="1" xr9:uid="{00000000-0011-0000-FFFF-FFFF01000000}">
      <tableStyleElement type="wholeTable" dxfId="1298"/>
    </tableStyle>
    <tableStyle name="CUSTOM" table="0" count="13" xr9:uid="{00000000-0011-0000-FFFF-FFFF02000000}">
      <tableStyleElement type="wholeTable" dxfId="1297"/>
      <tableStyleElement type="headerRow" dxfId="1296"/>
      <tableStyleElement type="totalRow" dxfId="1295"/>
      <tableStyleElement type="firstColumn" dxfId="1294"/>
      <tableStyleElement type="firstRowStripe" dxfId="1293"/>
      <tableStyleElement type="secondRowStripe" dxfId="1292"/>
      <tableStyleElement type="firstColumnStripe" dxfId="1291"/>
      <tableStyleElement type="firstSubtotalRow" dxfId="1290"/>
      <tableStyleElement type="secondSubtotalRow" dxfId="1289"/>
      <tableStyleElement type="secondColumnSubheading" dxfId="1288"/>
      <tableStyleElement type="thirdColumnSubheading" dxfId="1287"/>
      <tableStyleElement type="firstRowSubheading" dxfId="1286"/>
      <tableStyleElement type="secondRowSubheading" dxfId="1285"/>
    </tableStyle>
    <tableStyle name="PivotStyleLight10 2" table="0" count="12" xr9:uid="{00000000-0011-0000-FFFF-FFFF03000000}">
      <tableStyleElement type="wholeTable" dxfId="1284"/>
      <tableStyleElement type="headerRow" dxfId="1283"/>
      <tableStyleElement type="totalRow" dxfId="1282"/>
      <tableStyleElement type="firstColumn" dxfId="1281"/>
      <tableStyleElement type="firstRowStripe" dxfId="1280"/>
      <tableStyleElement type="firstColumnStripe" dxfId="1279"/>
      <tableStyleElement type="firstSubtotalRow" dxfId="1278"/>
      <tableStyleElement type="secondSubtotalRow" dxfId="1277"/>
      <tableStyleElement type="secondColumnSubheading" dxfId="1276"/>
      <tableStyleElement type="thirdColumnSubheading" dxfId="1275"/>
      <tableStyleElement type="firstRowSubheading" dxfId="1274"/>
      <tableStyleElement type="secondRowSubheading" dxfId="1273"/>
    </tableStyle>
    <tableStyle name="PivotStyleLight14 2" table="0" count="12" xr9:uid="{00000000-0011-0000-FFFF-FFFF04000000}">
      <tableStyleElement type="wholeTable" dxfId="1272"/>
      <tableStyleElement type="headerRow" dxfId="1271"/>
      <tableStyleElement type="totalRow" dxfId="1270"/>
      <tableStyleElement type="firstColumn" dxfId="1269"/>
      <tableStyleElement type="firstRowStripe" dxfId="1268"/>
      <tableStyleElement type="firstColumnStripe" dxfId="1267"/>
      <tableStyleElement type="firstSubtotalRow" dxfId="1266"/>
      <tableStyleElement type="secondSubtotalRow" dxfId="1265"/>
      <tableStyleElement type="secondColumnSubheading" dxfId="1264"/>
      <tableStyleElement type="thirdColumnSubheading" dxfId="1263"/>
      <tableStyleElement type="firstRowSubheading" dxfId="1262"/>
      <tableStyleElement type="secondRowSubheading" dxfId="1261"/>
    </tableStyle>
    <tableStyle name="PivotStyleLight23 2" table="0" count="10" xr9:uid="{00000000-0011-0000-FFFF-FFFF05000000}">
      <tableStyleElement type="wholeTable" dxfId="1260"/>
      <tableStyleElement type="headerRow" dxfId="1259"/>
      <tableStyleElement type="totalRow" dxfId="1258"/>
      <tableStyleElement type="firstColumn" dxfId="1257"/>
      <tableStyleElement type="firstRowStripe" dxfId="1256"/>
      <tableStyleElement type="firstColumnStripe" dxfId="1255"/>
      <tableStyleElement type="firstSubtotalColumn" dxfId="1254"/>
      <tableStyleElement type="firstSubtotalRow" dxfId="1253"/>
      <tableStyleElement type="secondSubtotalRow" dxfId="1252"/>
      <tableStyleElement type="pageFieldLabels" dxfId="1251"/>
    </tableStyle>
    <tableStyle name="PivotStyleLight9 2" table="0" count="13" xr9:uid="{00000000-0011-0000-FFFF-FFFF06000000}">
      <tableStyleElement type="wholeTable" dxfId="1250"/>
      <tableStyleElement type="headerRow" dxfId="1249"/>
      <tableStyleElement type="totalRow" dxfId="1248"/>
      <tableStyleElement type="firstColumn" dxfId="1247"/>
      <tableStyleElement type="firstRowStripe" dxfId="1246"/>
      <tableStyleElement type="secondRowStripe" dxfId="1245"/>
      <tableStyleElement type="firstColumnStripe" dxfId="1244"/>
      <tableStyleElement type="firstSubtotalRow" dxfId="1243"/>
      <tableStyleElement type="secondSubtotalRow" dxfId="1242"/>
      <tableStyleElement type="secondColumnSubheading" dxfId="1241"/>
      <tableStyleElement type="thirdColumnSubheading" dxfId="1240"/>
      <tableStyleElement type="firstRowSubheading" dxfId="1239"/>
      <tableStyleElement type="secondRowSubheading" dxfId="1238"/>
    </tableStyle>
    <tableStyle name="PivotTable Style 1" table="0" count="1" xr9:uid="{00000000-0011-0000-FFFF-FFFF07000000}">
      <tableStyleElement type="wholeTable" dxfId="1237"/>
    </tableStyle>
    <tableStyle name="PivotTable Style a" table="0" count="7" xr9:uid="{00000000-0011-0000-FFFF-FFFF08000000}">
      <tableStyleElement type="wholeTable" dxfId="1236"/>
      <tableStyleElement type="headerRow" dxfId="1235"/>
      <tableStyleElement type="totalRow" dxfId="1234"/>
      <tableStyleElement type="firstColumn" dxfId="1233"/>
      <tableStyleElement type="secondSubtotalRow" dxfId="1232"/>
      <tableStyleElement type="firstRowSubheading" dxfId="1231"/>
      <tableStyleElement type="secondRowSubheading" dxfId="1230"/>
    </tableStyle>
    <tableStyle name="Slicer Style 1" pivot="0" table="0" count="5" xr9:uid="{00000000-0011-0000-FFFF-FFFF09000000}">
      <tableStyleElement type="wholeTable" dxfId="1229"/>
    </tableStyle>
  </tableStyles>
  <colors>
    <mruColors>
      <color rgb="FFBF9000"/>
      <color rgb="FFFFFF00"/>
      <color rgb="FF7F6000"/>
      <color rgb="FF000000"/>
      <color rgb="FFFF898C"/>
      <color rgb="FFF7FECE"/>
      <color rgb="FF85C2FF"/>
      <color rgb="FF44546A"/>
      <color rgb="FFD4E8C6"/>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microsoft.com/office/2007/relationships/slicerCache" Target="slicerCaches/slicerCache4.xml"/><Relationship Id="rId21" Type="http://schemas.openxmlformats.org/officeDocument/2006/relationships/worksheet" Target="worksheets/sheet21.xml"/><Relationship Id="rId34" Type="http://schemas.openxmlformats.org/officeDocument/2006/relationships/pivotCacheDefinition" Target="pivotCache/pivotCacheDefinition7.xml"/><Relationship Id="rId42" Type="http://schemas.microsoft.com/office/2007/relationships/slicerCache" Target="slicerCaches/slicerCache7.xml"/><Relationship Id="rId47" Type="http://schemas.microsoft.com/office/2007/relationships/slicerCache" Target="slicerCaches/slicerCache12.xml"/><Relationship Id="rId50" Type="http://schemas.microsoft.com/office/2007/relationships/slicerCache" Target="slicerCaches/slicerCache15.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2.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pivotCacheDefinition" Target="pivotCache/pivotCacheDefinition5.xml"/><Relationship Id="rId37" Type="http://schemas.microsoft.com/office/2007/relationships/slicerCache" Target="slicerCaches/slicerCache2.xml"/><Relationship Id="rId40" Type="http://schemas.microsoft.com/office/2007/relationships/slicerCache" Target="slicerCaches/slicerCache5.xml"/><Relationship Id="rId45" Type="http://schemas.microsoft.com/office/2007/relationships/slicerCache" Target="slicerCaches/slicerCache10.xml"/><Relationship Id="rId53" Type="http://schemas.microsoft.com/office/2007/relationships/slicerCache" Target="slicerCaches/slicerCache18.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pivotCacheDefinition" Target="pivotCache/pivotCacheDefinition3.xml"/><Relationship Id="rId35" Type="http://schemas.openxmlformats.org/officeDocument/2006/relationships/pivotCacheDefinition" Target="pivotCache/pivotCacheDefinition8.xml"/><Relationship Id="rId43" Type="http://schemas.microsoft.com/office/2007/relationships/slicerCache" Target="slicerCaches/slicerCache8.xml"/><Relationship Id="rId48" Type="http://schemas.microsoft.com/office/2007/relationships/slicerCache" Target="slicerCaches/slicerCache13.xml"/><Relationship Id="rId56" Type="http://schemas.openxmlformats.org/officeDocument/2006/relationships/connections" Target="connections.xml"/><Relationship Id="rId8" Type="http://schemas.openxmlformats.org/officeDocument/2006/relationships/worksheet" Target="worksheets/sheet8.xml"/><Relationship Id="rId51" Type="http://schemas.microsoft.com/office/2007/relationships/slicerCache" Target="slicerCaches/slicerCache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pivotCacheDefinition" Target="pivotCache/pivotCacheDefinition6.xml"/><Relationship Id="rId38" Type="http://schemas.microsoft.com/office/2007/relationships/slicerCache" Target="slicerCaches/slicerCache3.xml"/><Relationship Id="rId46" Type="http://schemas.microsoft.com/office/2007/relationships/slicerCache" Target="slicerCaches/slicerCache11.xml"/><Relationship Id="rId59" Type="http://schemas.openxmlformats.org/officeDocument/2006/relationships/sheetMetadata" Target="metadata.xml"/><Relationship Id="rId20" Type="http://schemas.openxmlformats.org/officeDocument/2006/relationships/worksheet" Target="worksheets/sheet20.xml"/><Relationship Id="rId41" Type="http://schemas.microsoft.com/office/2007/relationships/slicerCache" Target="slicerCaches/slicerCache6.xml"/><Relationship Id="rId54"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1.xml"/><Relationship Id="rId36" Type="http://schemas.microsoft.com/office/2007/relationships/slicerCache" Target="slicerCaches/slicerCache1.xml"/><Relationship Id="rId49" Type="http://schemas.microsoft.com/office/2007/relationships/slicerCache" Target="slicerCaches/slicerCache1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pivotCacheDefinition" Target="pivotCache/pivotCacheDefinition4.xml"/><Relationship Id="rId44" Type="http://schemas.microsoft.com/office/2007/relationships/slicerCache" Target="slicerCaches/slicerCache9.xml"/><Relationship Id="rId52" Type="http://schemas.microsoft.com/office/2007/relationships/slicerCache" Target="slicerCaches/slicerCache17.xml"/><Relationship Id="rId6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2023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b="1" i="0" u="none" strike="noStrike" baseline="0">
                <a:effectLst/>
              </a:rPr>
              <a:t>Object 1: (IDPs- protracted+new displacement)</a:t>
            </a:r>
            <a:endParaRPr lang="en-US" sz="1600"/>
          </a:p>
        </c:rich>
      </c:tx>
      <c:layout>
        <c:manualLayout>
          <c:xMode val="edge"/>
          <c:yMode val="edge"/>
          <c:x val="0.30382739254279356"/>
          <c:y val="1.678640908875478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HRP!$E$183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HRP!$C$184:$C$189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HRP!$E$184:$E$189</c:f>
              <c:numCache>
                <c:formatCode>_(* #,##0_);_(* \(#,##0\);_(* "-"??_);_(@_)</c:formatCode>
                <c:ptCount val="6"/>
                <c:pt idx="0">
                  <c:v>1643</c:v>
                </c:pt>
                <c:pt idx="1">
                  <c:v>17941</c:v>
                </c:pt>
                <c:pt idx="2">
                  <c:v>28870.719999999998</c:v>
                </c:pt>
                <c:pt idx="3">
                  <c:v>297189.18497434334</c:v>
                </c:pt>
                <c:pt idx="4">
                  <c:v>324218</c:v>
                </c:pt>
                <c:pt idx="5">
                  <c:v>376083.33333333337</c:v>
                </c:pt>
              </c:numCache>
            </c:numRef>
          </c:val>
          <c:extLst>
            <c:ext xmlns:c16="http://schemas.microsoft.com/office/drawing/2014/chart" uri="{C3380CC4-5D6E-409C-BE32-E72D297353CC}">
              <c16:uniqueId val="{00000001-CAD5-4496-BE8A-D440D686860E}"/>
            </c:ext>
          </c:extLst>
        </c:ser>
        <c:ser>
          <c:idx val="1"/>
          <c:order val="1"/>
          <c:tx>
            <c:strRef>
              <c:f>HRP!$F$183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HRP!$C$184:$C$189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HRP!$F$184:$F$189</c:f>
              <c:numCache>
                <c:formatCode>_(* #,##0_);_(* \(#,##0\);_(* "-"??_);_(@_)</c:formatCode>
                <c:ptCount val="6"/>
                <c:pt idx="0">
                  <c:v>68481.640000000014</c:v>
                </c:pt>
                <c:pt idx="1">
                  <c:v>87993.290999999997</c:v>
                </c:pt>
                <c:pt idx="2">
                  <c:v>177980.62000000002</c:v>
                </c:pt>
                <c:pt idx="3">
                  <c:v>798627.61502565676</c:v>
                </c:pt>
                <c:pt idx="4">
                  <c:v>386066.70000000007</c:v>
                </c:pt>
                <c:pt idx="5">
                  <c:v>405095.20666666667</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Chin  Number of ppl Covered against 2023 HRP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HRP!$E$254</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1D7-4153-9C9E-72479DC73F8A}"/>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27C4-476C-B83C-B98D4B6BD8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HRP!$C$255:$C$260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HRP!$E$255:$E$260</c:f>
              <c:numCache>
                <c:formatCode>_(* #,##0_);_(* \(#,##0\);_(* "-"??_);_(@_)</c:formatCode>
                <c:ptCount val="6"/>
                <c:pt idx="0">
                  <c:v>0</c:v>
                </c:pt>
                <c:pt idx="1">
                  <c:v>0</c:v>
                </c:pt>
                <c:pt idx="2">
                  <c:v>0</c:v>
                </c:pt>
                <c:pt idx="3">
                  <c:v>3747</c:v>
                </c:pt>
                <c:pt idx="4">
                  <c:v>22379</c:v>
                </c:pt>
                <c:pt idx="5">
                  <c:v>14831</c:v>
                </c:pt>
              </c:numCache>
            </c:numRef>
          </c:val>
          <c:extLst>
            <c:ext xmlns:c16="http://schemas.microsoft.com/office/drawing/2014/chart" uri="{C3380CC4-5D6E-409C-BE32-E72D297353CC}">
              <c16:uniqueId val="{00000008-E8A8-4037-987C-1EFA4CA8A785}"/>
            </c:ext>
          </c:extLst>
        </c:ser>
        <c:ser>
          <c:idx val="1"/>
          <c:order val="1"/>
          <c:tx>
            <c:strRef>
              <c:f>HRP!$F$254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B-B153-496E-B306-AB2439AFB04C}"/>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HRP!$C$255:$C$260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HRP!$F$255:$F$260</c:f>
              <c:numCache>
                <c:formatCode>_(* #,##0_);_(* \(#,##0\);_(* "-"??_);_(@_)</c:formatCode>
                <c:ptCount val="6"/>
                <c:pt idx="0">
                  <c:v>3987.4500000000003</c:v>
                </c:pt>
                <c:pt idx="1">
                  <c:v>6379.92</c:v>
                </c:pt>
                <c:pt idx="2">
                  <c:v>8516.9083369622222</c:v>
                </c:pt>
                <c:pt idx="3">
                  <c:v>86842.166739244407</c:v>
                </c:pt>
                <c:pt idx="4">
                  <c:v>63093.123369622204</c:v>
                </c:pt>
                <c:pt idx="5">
                  <c:v>70641.123369622204</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Dashboard'!$L$5:$M$431</c:f>
              <c:multiLvlStrCache>
                <c:ptCount val="213"/>
                <c:lvl>
                  <c:pt idx="0">
                    <c:v>2023_Q1</c:v>
                  </c:pt>
                  <c:pt idx="1">
                    <c:v>2023_Q1</c:v>
                  </c:pt>
                  <c:pt idx="2">
                    <c:v>2023_Q1</c:v>
                  </c:pt>
                  <c:pt idx="3">
                    <c:v>2023_Q1</c:v>
                  </c:pt>
                  <c:pt idx="4">
                    <c:v>2023_Q1</c:v>
                  </c:pt>
                  <c:pt idx="5">
                    <c:v>2023_Q1</c:v>
                  </c:pt>
                  <c:pt idx="6">
                    <c:v>2023_Q1</c:v>
                  </c:pt>
                  <c:pt idx="7">
                    <c:v>2023_Q1</c:v>
                  </c:pt>
                  <c:pt idx="8">
                    <c:v>2023_Q1</c:v>
                  </c:pt>
                  <c:pt idx="9">
                    <c:v>2023_Q1</c:v>
                  </c:pt>
                  <c:pt idx="10">
                    <c:v>2023_Q1</c:v>
                  </c:pt>
                  <c:pt idx="11">
                    <c:v>2023_Q1</c:v>
                  </c:pt>
                  <c:pt idx="12">
                    <c:v>2023_Q1</c:v>
                  </c:pt>
                  <c:pt idx="13">
                    <c:v>2023_Q1</c:v>
                  </c:pt>
                  <c:pt idx="14">
                    <c:v>2023_Q1</c:v>
                  </c:pt>
                  <c:pt idx="15">
                    <c:v>2023_Q1</c:v>
                  </c:pt>
                  <c:pt idx="16">
                    <c:v>2023_Q1</c:v>
                  </c:pt>
                  <c:pt idx="17">
                    <c:v>2023_Q1</c:v>
                  </c:pt>
                  <c:pt idx="18">
                    <c:v>2023_Q1</c:v>
                  </c:pt>
                  <c:pt idx="19">
                    <c:v>2023_Q1</c:v>
                  </c:pt>
                  <c:pt idx="20">
                    <c:v>2023_Q1</c:v>
                  </c:pt>
                  <c:pt idx="21">
                    <c:v>2023_Q1</c:v>
                  </c:pt>
                  <c:pt idx="22">
                    <c:v>2023_Q1</c:v>
                  </c:pt>
                  <c:pt idx="23">
                    <c:v>2023_Q1</c:v>
                  </c:pt>
                  <c:pt idx="24">
                    <c:v>2023_Q1</c:v>
                  </c:pt>
                  <c:pt idx="25">
                    <c:v>2023_Q1</c:v>
                  </c:pt>
                  <c:pt idx="26">
                    <c:v>2023_Q1</c:v>
                  </c:pt>
                  <c:pt idx="27">
                    <c:v>2023_Q1</c:v>
                  </c:pt>
                  <c:pt idx="28">
                    <c:v>2023_Q1</c:v>
                  </c:pt>
                  <c:pt idx="29">
                    <c:v>2023_Q1</c:v>
                  </c:pt>
                  <c:pt idx="30">
                    <c:v>2023_Q1</c:v>
                  </c:pt>
                  <c:pt idx="31">
                    <c:v>2023_Q1</c:v>
                  </c:pt>
                  <c:pt idx="32">
                    <c:v>2023_Q1</c:v>
                  </c:pt>
                  <c:pt idx="33">
                    <c:v>2023_Q1</c:v>
                  </c:pt>
                  <c:pt idx="34">
                    <c:v>2023_Q1</c:v>
                  </c:pt>
                  <c:pt idx="35">
                    <c:v>2023_Q1</c:v>
                  </c:pt>
                  <c:pt idx="36">
                    <c:v>2023_Q1</c:v>
                  </c:pt>
                  <c:pt idx="37">
                    <c:v>2023_Q1</c:v>
                  </c:pt>
                  <c:pt idx="38">
                    <c:v>2023_Q1</c:v>
                  </c:pt>
                  <c:pt idx="39">
                    <c:v>2023_Q1</c:v>
                  </c:pt>
                  <c:pt idx="40">
                    <c:v>2023_Q1</c:v>
                  </c:pt>
                  <c:pt idx="41">
                    <c:v>2023_Q1</c:v>
                  </c:pt>
                  <c:pt idx="42">
                    <c:v>2023_Q1</c:v>
                  </c:pt>
                  <c:pt idx="43">
                    <c:v>2023_Q1</c:v>
                  </c:pt>
                  <c:pt idx="44">
                    <c:v>2023_Q1</c:v>
                  </c:pt>
                  <c:pt idx="45">
                    <c:v>2023_Q1</c:v>
                  </c:pt>
                  <c:pt idx="46">
                    <c:v>2023_Q1</c:v>
                  </c:pt>
                  <c:pt idx="47">
                    <c:v>2023_Q1</c:v>
                  </c:pt>
                  <c:pt idx="48">
                    <c:v>2023_Q1</c:v>
                  </c:pt>
                  <c:pt idx="49">
                    <c:v>2023_Q1</c:v>
                  </c:pt>
                  <c:pt idx="50">
                    <c:v>2023_Q1</c:v>
                  </c:pt>
                  <c:pt idx="51">
                    <c:v>2023_Q1</c:v>
                  </c:pt>
                  <c:pt idx="52">
                    <c:v>2023_Q1</c:v>
                  </c:pt>
                  <c:pt idx="53">
                    <c:v>2023_Q1</c:v>
                  </c:pt>
                  <c:pt idx="54">
                    <c:v>2023_Q1</c:v>
                  </c:pt>
                  <c:pt idx="55">
                    <c:v>2023_Q1</c:v>
                  </c:pt>
                  <c:pt idx="56">
                    <c:v>2023_Q1</c:v>
                  </c:pt>
                  <c:pt idx="57">
                    <c:v>2023_Q1</c:v>
                  </c:pt>
                  <c:pt idx="58">
                    <c:v>2023_Q1</c:v>
                  </c:pt>
                  <c:pt idx="59">
                    <c:v>2023_Q1</c:v>
                  </c:pt>
                  <c:pt idx="60">
                    <c:v>2023_Q1</c:v>
                  </c:pt>
                  <c:pt idx="61">
                    <c:v>2023_Q1</c:v>
                  </c:pt>
                  <c:pt idx="62">
                    <c:v>2023_Q1</c:v>
                  </c:pt>
                  <c:pt idx="63">
                    <c:v>2023_Q1</c:v>
                  </c:pt>
                  <c:pt idx="64">
                    <c:v>2023_Q1</c:v>
                  </c:pt>
                  <c:pt idx="65">
                    <c:v>2023_Q1</c:v>
                  </c:pt>
                  <c:pt idx="66">
                    <c:v>2023_Q1</c:v>
                  </c:pt>
                  <c:pt idx="67">
                    <c:v>2023_Q1</c:v>
                  </c:pt>
                  <c:pt idx="68">
                    <c:v>2023_Q1</c:v>
                  </c:pt>
                  <c:pt idx="69">
                    <c:v>2023_Q1</c:v>
                  </c:pt>
                  <c:pt idx="70">
                    <c:v>2023_Q1</c:v>
                  </c:pt>
                  <c:pt idx="71">
                    <c:v>2023_Q1</c:v>
                  </c:pt>
                  <c:pt idx="72">
                    <c:v>2023_Q1</c:v>
                  </c:pt>
                  <c:pt idx="73">
                    <c:v>2023_Q1</c:v>
                  </c:pt>
                  <c:pt idx="74">
                    <c:v>2023_Q1</c:v>
                  </c:pt>
                  <c:pt idx="75">
                    <c:v>2023_Q1</c:v>
                  </c:pt>
                  <c:pt idx="76">
                    <c:v>2023_Q1</c:v>
                  </c:pt>
                  <c:pt idx="77">
                    <c:v>2023_Q1</c:v>
                  </c:pt>
                  <c:pt idx="78">
                    <c:v>2023_Q1</c:v>
                  </c:pt>
                  <c:pt idx="79">
                    <c:v>2023_Q1</c:v>
                  </c:pt>
                  <c:pt idx="80">
                    <c:v>2023_Q1</c:v>
                  </c:pt>
                  <c:pt idx="81">
                    <c:v>2023_Q1</c:v>
                  </c:pt>
                  <c:pt idx="82">
                    <c:v>2023_Q1</c:v>
                  </c:pt>
                  <c:pt idx="83">
                    <c:v>2023_Q1</c:v>
                  </c:pt>
                  <c:pt idx="84">
                    <c:v>2023_Q1</c:v>
                  </c:pt>
                  <c:pt idx="85">
                    <c:v>2023_Q1</c:v>
                  </c:pt>
                  <c:pt idx="86">
                    <c:v>2023_Q1</c:v>
                  </c:pt>
                  <c:pt idx="87">
                    <c:v>2023_Q1</c:v>
                  </c:pt>
                  <c:pt idx="88">
                    <c:v>2023_Q1</c:v>
                  </c:pt>
                  <c:pt idx="89">
                    <c:v>2023_Q1</c:v>
                  </c:pt>
                  <c:pt idx="90">
                    <c:v>2023_Q1</c:v>
                  </c:pt>
                  <c:pt idx="91">
                    <c:v>2023_Q1</c:v>
                  </c:pt>
                  <c:pt idx="92">
                    <c:v>2023_Q1</c:v>
                  </c:pt>
                  <c:pt idx="93">
                    <c:v>2023_Q1</c:v>
                  </c:pt>
                  <c:pt idx="94">
                    <c:v>2023_Q1</c:v>
                  </c:pt>
                  <c:pt idx="95">
                    <c:v>2023_Q1</c:v>
                  </c:pt>
                  <c:pt idx="96">
                    <c:v>2023_Q1</c:v>
                  </c:pt>
                  <c:pt idx="97">
                    <c:v>2023_Q1</c:v>
                  </c:pt>
                  <c:pt idx="98">
                    <c:v>2023_Q1</c:v>
                  </c:pt>
                  <c:pt idx="99">
                    <c:v>2023_Q1</c:v>
                  </c:pt>
                  <c:pt idx="100">
                    <c:v>2023_Q1</c:v>
                  </c:pt>
                  <c:pt idx="101">
                    <c:v>2023_Q1</c:v>
                  </c:pt>
                  <c:pt idx="102">
                    <c:v>2023_Q1</c:v>
                  </c:pt>
                  <c:pt idx="103">
                    <c:v>2023_Q1</c:v>
                  </c:pt>
                  <c:pt idx="104">
                    <c:v>2023_Q1</c:v>
                  </c:pt>
                  <c:pt idx="105">
                    <c:v>2023_Q1</c:v>
                  </c:pt>
                  <c:pt idx="106">
                    <c:v>2023_Q1</c:v>
                  </c:pt>
                  <c:pt idx="107">
                    <c:v>2023_Q1</c:v>
                  </c:pt>
                  <c:pt idx="108">
                    <c:v>2023_Q1</c:v>
                  </c:pt>
                  <c:pt idx="109">
                    <c:v>2023_Q1</c:v>
                  </c:pt>
                  <c:pt idx="110">
                    <c:v>2023_Q1</c:v>
                  </c:pt>
                  <c:pt idx="111">
                    <c:v>2023_Q1</c:v>
                  </c:pt>
                  <c:pt idx="112">
                    <c:v>2023_Q1</c:v>
                  </c:pt>
                  <c:pt idx="113">
                    <c:v>2023_Q1</c:v>
                  </c:pt>
                  <c:pt idx="114">
                    <c:v>2023_Q1</c:v>
                  </c:pt>
                  <c:pt idx="115">
                    <c:v>2023_Q1</c:v>
                  </c:pt>
                  <c:pt idx="116">
                    <c:v>2023_Q1</c:v>
                  </c:pt>
                  <c:pt idx="117">
                    <c:v>2023_Q1</c:v>
                  </c:pt>
                  <c:pt idx="118">
                    <c:v>2023_Q1</c:v>
                  </c:pt>
                  <c:pt idx="119">
                    <c:v>2023_Q1</c:v>
                  </c:pt>
                  <c:pt idx="120">
                    <c:v>2023_Q1</c:v>
                  </c:pt>
                  <c:pt idx="121">
                    <c:v>2023_Q1</c:v>
                  </c:pt>
                  <c:pt idx="122">
                    <c:v>2023_Q1</c:v>
                  </c:pt>
                  <c:pt idx="123">
                    <c:v>2023_Q1</c:v>
                  </c:pt>
                  <c:pt idx="124">
                    <c:v>2023_Q1</c:v>
                  </c:pt>
                  <c:pt idx="125">
                    <c:v>2023_Q1</c:v>
                  </c:pt>
                  <c:pt idx="126">
                    <c:v>2023_Q1</c:v>
                  </c:pt>
                  <c:pt idx="127">
                    <c:v>2023_Q1</c:v>
                  </c:pt>
                  <c:pt idx="128">
                    <c:v>2023_Q1</c:v>
                  </c:pt>
                  <c:pt idx="129">
                    <c:v>2023_Q1</c:v>
                  </c:pt>
                  <c:pt idx="130">
                    <c:v>2023_Q1</c:v>
                  </c:pt>
                  <c:pt idx="131">
                    <c:v>2023_Q1</c:v>
                  </c:pt>
                  <c:pt idx="132">
                    <c:v>2023_Q1</c:v>
                  </c:pt>
                  <c:pt idx="133">
                    <c:v>2023_Q1</c:v>
                  </c:pt>
                  <c:pt idx="134">
                    <c:v>2023_Q1</c:v>
                  </c:pt>
                  <c:pt idx="135">
                    <c:v>2023_Q1</c:v>
                  </c:pt>
                  <c:pt idx="136">
                    <c:v>2023_Q1</c:v>
                  </c:pt>
                  <c:pt idx="137">
                    <c:v>2023_Q1</c:v>
                  </c:pt>
                  <c:pt idx="138">
                    <c:v>2023_Q1</c:v>
                  </c:pt>
                  <c:pt idx="139">
                    <c:v>2023_Q1</c:v>
                  </c:pt>
                  <c:pt idx="140">
                    <c:v>2023_Q1</c:v>
                  </c:pt>
                  <c:pt idx="141">
                    <c:v>2023_Q1</c:v>
                  </c:pt>
                  <c:pt idx="142">
                    <c:v>2023_Q1</c:v>
                  </c:pt>
                  <c:pt idx="143">
                    <c:v>2023_Q1</c:v>
                  </c:pt>
                  <c:pt idx="144">
                    <c:v>2023_Q1</c:v>
                  </c:pt>
                  <c:pt idx="145">
                    <c:v>2023_Q1</c:v>
                  </c:pt>
                  <c:pt idx="146">
                    <c:v>2023_Q1</c:v>
                  </c:pt>
                  <c:pt idx="147">
                    <c:v>2023_Q1</c:v>
                  </c:pt>
                  <c:pt idx="148">
                    <c:v>2023_Q1</c:v>
                  </c:pt>
                  <c:pt idx="149">
                    <c:v>2023_Q1</c:v>
                  </c:pt>
                  <c:pt idx="150">
                    <c:v>2023_Q1</c:v>
                  </c:pt>
                  <c:pt idx="151">
                    <c:v>2023_Q1</c:v>
                  </c:pt>
                  <c:pt idx="152">
                    <c:v>2023_Q1</c:v>
                  </c:pt>
                  <c:pt idx="153">
                    <c:v>2023_Q1</c:v>
                  </c:pt>
                  <c:pt idx="154">
                    <c:v>2023_Q1</c:v>
                  </c:pt>
                  <c:pt idx="155">
                    <c:v>2023_Q1</c:v>
                  </c:pt>
                  <c:pt idx="156">
                    <c:v>2023_Q1</c:v>
                  </c:pt>
                  <c:pt idx="157">
                    <c:v>2023_Q1</c:v>
                  </c:pt>
                  <c:pt idx="158">
                    <c:v>2023_Q1</c:v>
                  </c:pt>
                  <c:pt idx="159">
                    <c:v>2023_Q1</c:v>
                  </c:pt>
                  <c:pt idx="160">
                    <c:v>2023_Q1</c:v>
                  </c:pt>
                  <c:pt idx="161">
                    <c:v>2023_Q1</c:v>
                  </c:pt>
                  <c:pt idx="162">
                    <c:v>2023_Q1</c:v>
                  </c:pt>
                  <c:pt idx="163">
                    <c:v>2023_Q1</c:v>
                  </c:pt>
                  <c:pt idx="164">
                    <c:v>2023_Q1</c:v>
                  </c:pt>
                  <c:pt idx="165">
                    <c:v>2023_Q1</c:v>
                  </c:pt>
                  <c:pt idx="166">
                    <c:v>2023_Q1</c:v>
                  </c:pt>
                  <c:pt idx="167">
                    <c:v>2023_Q1</c:v>
                  </c:pt>
                  <c:pt idx="168">
                    <c:v>2023_Q1</c:v>
                  </c:pt>
                  <c:pt idx="169">
                    <c:v>2023_Q1</c:v>
                  </c:pt>
                  <c:pt idx="170">
                    <c:v>2023_Q1</c:v>
                  </c:pt>
                  <c:pt idx="171">
                    <c:v>2023_Q1</c:v>
                  </c:pt>
                  <c:pt idx="172">
                    <c:v>2023_Q1</c:v>
                  </c:pt>
                  <c:pt idx="173">
                    <c:v>2023_Q1</c:v>
                  </c:pt>
                  <c:pt idx="174">
                    <c:v>2023_Q1</c:v>
                  </c:pt>
                  <c:pt idx="175">
                    <c:v>2023_Q1</c:v>
                  </c:pt>
                  <c:pt idx="176">
                    <c:v>2023_Q1</c:v>
                  </c:pt>
                  <c:pt idx="177">
                    <c:v>2023_Q1</c:v>
                  </c:pt>
                  <c:pt idx="178">
                    <c:v>2023_Q1</c:v>
                  </c:pt>
                  <c:pt idx="179">
                    <c:v>2023_Q1</c:v>
                  </c:pt>
                  <c:pt idx="180">
                    <c:v>2023_Q1</c:v>
                  </c:pt>
                  <c:pt idx="181">
                    <c:v>2023_Q1</c:v>
                  </c:pt>
                  <c:pt idx="182">
                    <c:v>2023_Q1</c:v>
                  </c:pt>
                  <c:pt idx="183">
                    <c:v>2023_Q1</c:v>
                  </c:pt>
                  <c:pt idx="184">
                    <c:v>2023_Q1</c:v>
                  </c:pt>
                  <c:pt idx="185">
                    <c:v>2023_Q1</c:v>
                  </c:pt>
                  <c:pt idx="186">
                    <c:v>2023_Q1</c:v>
                  </c:pt>
                  <c:pt idx="187">
                    <c:v>2023_Q1</c:v>
                  </c:pt>
                  <c:pt idx="188">
                    <c:v>2023_Q1</c:v>
                  </c:pt>
                  <c:pt idx="189">
                    <c:v>2023_Q1</c:v>
                  </c:pt>
                  <c:pt idx="190">
                    <c:v>2023_Q1</c:v>
                  </c:pt>
                  <c:pt idx="191">
                    <c:v>2023_Q1</c:v>
                  </c:pt>
                  <c:pt idx="192">
                    <c:v>2023_Q1</c:v>
                  </c:pt>
                  <c:pt idx="193">
                    <c:v>2023_Q1</c:v>
                  </c:pt>
                  <c:pt idx="194">
                    <c:v>2023_Q1</c:v>
                  </c:pt>
                  <c:pt idx="195">
                    <c:v>2023_Q1</c:v>
                  </c:pt>
                  <c:pt idx="196">
                    <c:v>2023_Q1</c:v>
                  </c:pt>
                  <c:pt idx="197">
                    <c:v>2023_Q1</c:v>
                  </c:pt>
                  <c:pt idx="198">
                    <c:v>2023_Q1</c:v>
                  </c:pt>
                  <c:pt idx="199">
                    <c:v>2023_Q1</c:v>
                  </c:pt>
                  <c:pt idx="200">
                    <c:v>2023_Q1</c:v>
                  </c:pt>
                  <c:pt idx="201">
                    <c:v>2023_Q1</c:v>
                  </c:pt>
                  <c:pt idx="202">
                    <c:v>2023_Q1</c:v>
                  </c:pt>
                  <c:pt idx="203">
                    <c:v>2023_Q1</c:v>
                  </c:pt>
                  <c:pt idx="204">
                    <c:v>2023_Q1</c:v>
                  </c:pt>
                  <c:pt idx="205">
                    <c:v>2023_Q1</c:v>
                  </c:pt>
                  <c:pt idx="206">
                    <c:v>2023_Q1</c:v>
                  </c:pt>
                  <c:pt idx="207">
                    <c:v>2023_Q1</c:v>
                  </c:pt>
                  <c:pt idx="208">
                    <c:v>2023_Q1</c:v>
                  </c:pt>
                  <c:pt idx="209">
                    <c:v>2023_Q1</c:v>
                  </c:pt>
                  <c:pt idx="210">
                    <c:v>2023_Q1</c:v>
                  </c:pt>
                  <c:pt idx="211">
                    <c:v>2023_Q1</c:v>
                  </c:pt>
                  <c:pt idx="212">
                    <c:v>2023_Q1</c:v>
                  </c:pt>
                </c:lvl>
                <c:lvl>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Chin Church, Seik Mu</c:v>
                  </c:pt>
                  <c:pt idx="9">
                    <c:v>Chipwi KBC camp</c:v>
                  </c:pt>
                  <c:pt idx="10">
                    <c:v>Dhama Rakhita, Nyein Chan Tar Yar Ward(Lon Khin)</c:v>
                  </c:pt>
                  <c:pt idx="11">
                    <c:v>Du Kahtawng Baptist</c:v>
                  </c:pt>
                  <c:pt idx="12">
                    <c:v>Dum Bung </c:v>
                  </c:pt>
                  <c:pt idx="13">
                    <c:v>Emmanuel AG Church</c:v>
                  </c:pt>
                  <c:pt idx="14">
                    <c:v>Galeng (Palaung) &amp; Kone Khem</c:v>
                  </c:pt>
                  <c:pt idx="15">
                    <c:v>Hka Shi</c:v>
                  </c:pt>
                  <c:pt idx="16">
                    <c:v>Hkat Cho </c:v>
                  </c:pt>
                  <c:pt idx="17">
                    <c:v>Hkau Shau (BP 12)</c:v>
                  </c:pt>
                  <c:pt idx="18">
                    <c:v>Hlaing Naung Baptist</c:v>
                  </c:pt>
                  <c:pt idx="19">
                    <c:v>Hpai Kawng</c:v>
                  </c:pt>
                  <c:pt idx="20">
                    <c:v>Hpakant Baptist Church, Nam Ma Hpit</c:v>
                  </c:pt>
                  <c:pt idx="21">
                    <c:v>Hpare Hkyer - BP6</c:v>
                  </c:pt>
                  <c:pt idx="22">
                    <c:v>Hpun Lum Yang </c:v>
                  </c:pt>
                  <c:pt idx="23">
                    <c:v>Htoi San Church</c:v>
                  </c:pt>
                  <c:pt idx="24">
                    <c:v>Hu Hku &amp; Ho Hko</c:v>
                  </c:pt>
                  <c:pt idx="25">
                    <c:v>IDP Boarding School, A Len Bum</c:v>
                  </c:pt>
                  <c:pt idx="26">
                    <c:v>Jan Mai Kawng Baptist Church</c:v>
                  </c:pt>
                  <c:pt idx="27">
                    <c:v>Jan Mai Kawng Catholic Church</c:v>
                  </c:pt>
                  <c:pt idx="28">
                    <c:v>Jaw Masat Camp</c:v>
                  </c:pt>
                  <c:pt idx="29">
                    <c:v>Je Yang Hka </c:v>
                  </c:pt>
                  <c:pt idx="30">
                    <c:v>Ka Bu Dam CoC</c:v>
                  </c:pt>
                  <c:pt idx="31">
                    <c:v>Kachin Su Baptist Church (ECCD)</c:v>
                  </c:pt>
                  <c:pt idx="32">
                    <c:v>Karmaing RC Church</c:v>
                  </c:pt>
                  <c:pt idx="33">
                    <c:v>Khar Nan (1) Baptist Church</c:v>
                  </c:pt>
                  <c:pt idx="34">
                    <c:v>Kutkai downtown (KBC Church)</c:v>
                  </c:pt>
                  <c:pt idx="35">
                    <c:v>Kutkai downtown (KBC Church-2)</c:v>
                  </c:pt>
                  <c:pt idx="36">
                    <c:v>Kyu Sot</c:v>
                  </c:pt>
                  <c:pt idx="37">
                    <c:v>Kyun Taw Baptist Church </c:v>
                  </c:pt>
                  <c:pt idx="38">
                    <c:v>Laiza Je Yang School</c:v>
                  </c:pt>
                  <c:pt idx="39">
                    <c:v>Lana Zup Ja</c:v>
                  </c:pt>
                  <c:pt idx="40">
                    <c:v>Lawng Hkang Shait Yang Camp​ ( Lel Pyin)​ </c:v>
                  </c:pt>
                  <c:pt idx="41">
                    <c:v>Le Kone Bethlehem Church</c:v>
                  </c:pt>
                  <c:pt idx="42">
                    <c:v>Le Kone Ziun Baptist Church </c:v>
                  </c:pt>
                  <c:pt idx="43">
                    <c:v>Lhaovao Baptist Church (LBC)</c:v>
                  </c:pt>
                  <c:pt idx="44">
                    <c:v>Lisu Baptist Church, Maw Shan Vil,. Seik Mu</c:v>
                  </c:pt>
                  <c:pt idx="45">
                    <c:v>Lisu Baptist Church, Maw Wan Ward</c:v>
                  </c:pt>
                  <c:pt idx="46">
                    <c:v>Lisu Boarding-House</c:v>
                  </c:pt>
                  <c:pt idx="47">
                    <c:v>Lisu Church Namtu</c:v>
                  </c:pt>
                  <c:pt idx="48">
                    <c:v>Loi Je Baptist Church</c:v>
                  </c:pt>
                  <c:pt idx="49">
                    <c:v>Loi Je Catholic Church</c:v>
                  </c:pt>
                  <c:pt idx="50">
                    <c:v>Loi Je Lisu Camp</c:v>
                  </c:pt>
                  <c:pt idx="51">
                    <c:v>Lone Khin Catholic Church</c:v>
                  </c:pt>
                  <c:pt idx="52">
                    <c:v>Ma Hawng Baptist Church</c:v>
                  </c:pt>
                  <c:pt idx="53">
                    <c:v>Mading Baptist Church</c:v>
                  </c:pt>
                  <c:pt idx="54">
                    <c:v>Maga Yang </c:v>
                  </c:pt>
                  <c:pt idx="55">
                    <c:v>Mai Yu Lay New (Ta'ang)</c:v>
                  </c:pt>
                  <c:pt idx="56">
                    <c:v>Maina AG Church</c:v>
                  </c:pt>
                  <c:pt idx="57">
                    <c:v>Maina Catholic Church (St. Joseph)</c:v>
                  </c:pt>
                  <c:pt idx="58">
                    <c:v>Maina KBC (Bawng Ring)</c:v>
                  </c:pt>
                  <c:pt idx="59">
                    <c:v>Maina Lawang Baptist Church</c:v>
                  </c:pt>
                  <c:pt idx="60">
                    <c:v>Maing Khaung</c:v>
                  </c:pt>
                  <c:pt idx="61">
                    <c:v>Maing Khaung Catholic Church</c:v>
                  </c:pt>
                  <c:pt idx="62">
                    <c:v>Maliyang Baptist Church</c:v>
                  </c:pt>
                  <c:pt idx="63">
                    <c:v>Man Bung Catholic compound</c:v>
                  </c:pt>
                  <c:pt idx="64">
                    <c:v>Man Bung Edin Baptist Church</c:v>
                  </c:pt>
                  <c:pt idx="65">
                    <c:v>Man Hkring Baptist Church</c:v>
                  </c:pt>
                  <c:pt idx="66">
                    <c:v>Man Kaung/Naung Ti Kyar Village</c:v>
                  </c:pt>
                  <c:pt idx="67">
                    <c:v>Man Loi</c:v>
                  </c:pt>
                  <c:pt idx="68">
                    <c:v>Man Wing Baptist Church</c:v>
                  </c:pt>
                  <c:pt idx="69">
                    <c:v>Man Wing Baptist Church Cultural Compound</c:v>
                  </c:pt>
                  <c:pt idx="70">
                    <c:v>Man Wing Catholic Church</c:v>
                  </c:pt>
                  <c:pt idx="71">
                    <c:v>Man Wing Catholic Church II</c:v>
                  </c:pt>
                  <c:pt idx="72">
                    <c:v>Mandung - Jinghpaw</c:v>
                  </c:pt>
                  <c:pt idx="73">
                    <c:v>Mandung - RC</c:v>
                  </c:pt>
                  <c:pt idx="74">
                    <c:v>Mansi Baptist Church</c:v>
                  </c:pt>
                  <c:pt idx="75">
                    <c:v>Maw Hpawng Hka Nan Baptist Church</c:v>
                  </c:pt>
                  <c:pt idx="76">
                    <c:v>Maw Hpawng Lhaovo Baptist Church</c:v>
                  </c:pt>
                  <c:pt idx="77">
                    <c:v>Maw Wan, Mu-yin Baptist Church</c:v>
                  </c:pt>
                  <c:pt idx="78">
                    <c:v>Mine Yu Lay village ( Old)</c:v>
                  </c:pt>
                  <c:pt idx="79">
                    <c:v>Momauk Baptist Church</c:v>
                  </c:pt>
                  <c:pt idx="80">
                    <c:v>Mung Hawm </c:v>
                  </c:pt>
                  <c:pt idx="81">
                    <c:v>Muyin church (Aung Yar pre-school compound)</c:v>
                  </c:pt>
                  <c:pt idx="82">
                    <c:v>Nam Hkam - Nay Win Ni (Palawng)</c:v>
                  </c:pt>
                  <c:pt idx="83">
                    <c:v>Nam Hkam (KBC Jaw Wang)</c:v>
                  </c:pt>
                  <c:pt idx="84">
                    <c:v>Nam Hkam (KBC Jaw Wang) II</c:v>
                  </c:pt>
                  <c:pt idx="85">
                    <c:v>Nam Hkam Catholic Church ( St. Thomas I)</c:v>
                  </c:pt>
                  <c:pt idx="86">
                    <c:v>Nam Hpak Ka Mare </c:v>
                  </c:pt>
                  <c:pt idx="87">
                    <c:v>Nam Hpak Ka Ta'ang ( Aung Tha Pyay)</c:v>
                  </c:pt>
                  <c:pt idx="88">
                    <c:v>Nam Ma Phyit, COC</c:v>
                  </c:pt>
                  <c:pt idx="89">
                    <c:v>Nam Sa Larp</c:v>
                  </c:pt>
                  <c:pt idx="90">
                    <c:v>Nam Tu Baptist</c:v>
                  </c:pt>
                  <c:pt idx="91">
                    <c:v>Namti Labraw Yang KBC Camp</c:v>
                  </c:pt>
                  <c:pt idx="92">
                    <c:v>Nan Kway St. John Catholic Church</c:v>
                  </c:pt>
                  <c:pt idx="93">
                    <c:v>Nant Ma Hpit Catholic Church</c:v>
                  </c:pt>
                  <c:pt idx="94">
                    <c:v>Nat Gyi Kone Baptist Church </c:v>
                  </c:pt>
                  <c:pt idx="95">
                    <c:v>Nawng Hee Village</c:v>
                  </c:pt>
                  <c:pt idx="96">
                    <c:v>Nawng Ing (Indawgyi) Baptist Church </c:v>
                  </c:pt>
                  <c:pt idx="97">
                    <c:v>Ndup Yang</c:v>
                  </c:pt>
                  <c:pt idx="98">
                    <c:v>New Pang Ku </c:v>
                  </c:pt>
                  <c:pt idx="99">
                    <c:v>Nhkawng Pa </c:v>
                  </c:pt>
                  <c:pt idx="100">
                    <c:v>Njang Dung Baptist Church </c:v>
                  </c:pt>
                  <c:pt idx="101">
                    <c:v>Nyaung Na Pin </c:v>
                  </c:pt>
                  <c:pt idx="102">
                    <c:v>Pa Dauk Myaing(Pa La Na)</c:v>
                  </c:pt>
                  <c:pt idx="103">
                    <c:v>Pa Dauk Myaing(Pa La Na)-II</c:v>
                  </c:pt>
                  <c:pt idx="104">
                    <c:v>Pa Kahtawng </c:v>
                  </c:pt>
                  <c:pt idx="105">
                    <c:v>Pajau - Jan Mai</c:v>
                  </c:pt>
                  <c:pt idx="106">
                    <c:v>Pan Law</c:v>
                  </c:pt>
                  <c:pt idx="107">
                    <c:v>Pang Hkawn Yang</c:v>
                  </c:pt>
                  <c:pt idx="108">
                    <c:v>Phan Khar Kone</c:v>
                  </c:pt>
                  <c:pt idx="109">
                    <c:v>Qtr. 2 Lhaovo Baptist Church</c:v>
                  </c:pt>
                  <c:pt idx="110">
                    <c:v>Qtr. 2 Myoma Baptist Church</c:v>
                  </c:pt>
                  <c:pt idx="111">
                    <c:v>Rawan Baptist Church, Maw Shan Vil., Seik Mu</c:v>
                  </c:pt>
                  <c:pt idx="112">
                    <c:v>Robert Church</c:v>
                  </c:pt>
                  <c:pt idx="113">
                    <c:v>Sadung</c:v>
                  </c:pt>
                  <c:pt idx="114">
                    <c:v>Salang Yang</c:v>
                  </c:pt>
                  <c:pt idx="115">
                    <c:v>Sar Hmaw - KBC</c:v>
                  </c:pt>
                  <c:pt idx="116">
                    <c:v>Seng Ja </c:v>
                  </c:pt>
                  <c:pt idx="117">
                    <c:v>Sha-It Yang</c:v>
                  </c:pt>
                  <c:pt idx="118">
                    <c:v>Shar Du Zut KBC church </c:v>
                  </c:pt>
                  <c:pt idx="119">
                    <c:v>Shatapru Sut Ngai Tawng</c:v>
                  </c:pt>
                  <c:pt idx="120">
                    <c:v>Shatapru Thida Aye Baptist Church</c:v>
                  </c:pt>
                  <c:pt idx="121">
                    <c:v>Shing Jai</c:v>
                  </c:pt>
                  <c:pt idx="122">
                    <c:v>Shwe Gu Baptist Church</c:v>
                  </c:pt>
                  <c:pt idx="123">
                    <c:v>Shwe Gu Catholic Church</c:v>
                  </c:pt>
                  <c:pt idx="124">
                    <c:v>Shwe Zet Baptist Church</c:v>
                  </c:pt>
                  <c:pt idx="125">
                    <c:v>St. Joseph Tanai RC camp </c:v>
                  </c:pt>
                  <c:pt idx="126">
                    <c:v>Tanai CoC</c:v>
                  </c:pt>
                  <c:pt idx="127">
                    <c:v>Tanai KBC Camp</c:v>
                  </c:pt>
                  <c:pt idx="128">
                    <c:v>Tat Kone Baptist Church</c:v>
                  </c:pt>
                  <c:pt idx="129">
                    <c:v>Tat Kone COC Baptist - Tat Kone Htoi San</c:v>
                  </c:pt>
                  <c:pt idx="130">
                    <c:v>Tat Kone Galile Baptist Church</c:v>
                  </c:pt>
                  <c:pt idx="131">
                    <c:v>Tat Kone San Pya Baptist Church</c:v>
                  </c:pt>
                  <c:pt idx="132">
                    <c:v>Thargaya Lisu Baptist Church</c:v>
                  </c:pt>
                  <c:pt idx="133">
                    <c:v>Trinity Camp</c:v>
                  </c:pt>
                  <c:pt idx="134">
                    <c:v>Tsan Lun - Namjarap</c:v>
                  </c:pt>
                  <c:pt idx="135">
                    <c:v>Waimaw Baptist Zonal Office 2</c:v>
                  </c:pt>
                  <c:pt idx="136">
                    <c:v>Waingmaw AG Church</c:v>
                  </c:pt>
                  <c:pt idx="137">
                    <c:v>Ward 2 Sai Taung Baptist Church, Seik Mu </c:v>
                  </c:pt>
                  <c:pt idx="138">
                    <c:v>Woi Chyai </c:v>
                  </c:pt>
                  <c:pt idx="139">
                    <c:v>Woi Chyai (Mong Lai)</c:v>
                  </c:pt>
                  <c:pt idx="140">
                    <c:v>Woi Chyai host families</c:v>
                  </c:pt>
                  <c:pt idx="141">
                    <c:v>Yumar Baptist Church</c:v>
                  </c:pt>
                  <c:pt idx="142">
                    <c:v>Zup Aung Camp</c:v>
                  </c:pt>
                  <c:pt idx="143">
                    <c:v>Hka Garan Yang </c:v>
                  </c:pt>
                  <c:pt idx="144">
                    <c:v>Htang Nya </c:v>
                  </c:pt>
                  <c:pt idx="145">
                    <c:v>Enai (Man Pyein)</c:v>
                  </c:pt>
                  <c:pt idx="146">
                    <c:v>Momauk IDP new extension camp (Kye Nan)</c:v>
                  </c:pt>
                  <c:pt idx="147">
                    <c:v>Sector 5 Pammati Quarter</c:v>
                  </c:pt>
                  <c:pt idx="148">
                    <c:v>Namatee Kan Hla AG</c:v>
                  </c:pt>
                  <c:pt idx="149">
                    <c:v>His Aw (Chyu Fan) </c:v>
                  </c:pt>
                  <c:pt idx="150">
                    <c:v>Shwe Sin (Ward 3) </c:v>
                  </c:pt>
                  <c:pt idx="151">
                    <c:v>Bum Ra Yang Camp </c:v>
                  </c:pt>
                  <c:pt idx="152">
                    <c:v>Mang Nawng Kawng (host)</c:v>
                  </c:pt>
                  <c:pt idx="153">
                    <c:v>Kyaukme Town (host)</c:v>
                  </c:pt>
                  <c:pt idx="154">
                    <c:v>Nam Hlaing Extension Ward camp</c:v>
                  </c:pt>
                  <c:pt idx="155">
                    <c:v>Naung Tar Law (Kyet Chan) </c:v>
                  </c:pt>
                  <c:pt idx="156">
                    <c:v>Waingmaw St.Joseph RC Church</c:v>
                  </c:pt>
                  <c:pt idx="157">
                    <c:v>Phaug Nhae Camp</c:v>
                  </c:pt>
                  <c:pt idx="158">
                    <c:v>Ding Jang Yang (1)</c:v>
                  </c:pt>
                  <c:pt idx="159">
                    <c:v>Ding Jang Yang (2)</c:v>
                  </c:pt>
                  <c:pt idx="160">
                    <c:v>Yi Hku Man Hkan </c:v>
                  </c:pt>
                  <c:pt idx="161">
                    <c:v>Maina Relocation Site</c:v>
                  </c:pt>
                  <c:pt idx="162">
                    <c:v>Lin Hao chun </c:v>
                  </c:pt>
                  <c:pt idx="163">
                    <c:v>Pyi Htaung Su</c:v>
                  </c:pt>
                  <c:pt idx="164">
                    <c:v>Momauk KBC church</c:v>
                  </c:pt>
                  <c:pt idx="165">
                    <c:v>St.Francis RCC 1</c:v>
                  </c:pt>
                  <c:pt idx="166">
                    <c:v>St.Francis RCC 2</c:v>
                  </c:pt>
                  <c:pt idx="167">
                    <c:v>Bang Yang Hka (Mung Ji Pa)-relocated</c:v>
                  </c:pt>
                  <c:pt idx="168">
                    <c:v>Galeng Zup Awng ward 5 RC</c:v>
                  </c:pt>
                  <c:pt idx="169">
                    <c:v>Man Wing- IDPs in Host</c:v>
                  </c:pt>
                  <c:pt idx="170">
                    <c:v>(3 mile) Shwe Pyi Tar (SLCA)</c:v>
                  </c:pt>
                  <c:pt idx="171">
                    <c:v>Bhamo- IDPs in Host </c:v>
                  </c:pt>
                  <c:pt idx="172">
                    <c:v>St.Columban lone Khin camp</c:v>
                  </c:pt>
                  <c:pt idx="173">
                    <c:v>Mansi- IDPs in Host</c:v>
                  </c:pt>
                  <c:pt idx="174">
                    <c:v>Hopin -IDPs in Host</c:v>
                  </c:pt>
                  <c:pt idx="175">
                    <c:v>Moenyin- IDPs in Host</c:v>
                  </c:pt>
                  <c:pt idx="176">
                    <c:v>Momauk-IDPs in Host</c:v>
                  </c:pt>
                  <c:pt idx="177">
                    <c:v>Myo Thit -IDP in Host</c:v>
                  </c:pt>
                  <c:pt idx="178">
                    <c:v>Saint Matthew (Shin ma ti-sitapru) camp</c:v>
                  </c:pt>
                  <c:pt idx="179">
                    <c:v>Na ru Kawng (Post 6 camp)</c:v>
                  </c:pt>
                  <c:pt idx="180">
                    <c:v>Man Pint community Hall </c:v>
                  </c:pt>
                  <c:pt idx="181">
                    <c:v>Mong Tin High School</c:v>
                  </c:pt>
                  <c:pt idx="182">
                    <c:v>Nar Mun Primary School</c:v>
                  </c:pt>
                  <c:pt idx="183">
                    <c:v>SLCA Building Compound (Kyaukme town)</c:v>
                  </c:pt>
                  <c:pt idx="184">
                    <c:v>SLCA Building Compound (Moungnawt town)</c:v>
                  </c:pt>
                  <c:pt idx="185">
                    <c:v>Theravada Monastery </c:v>
                  </c:pt>
                  <c:pt idx="186">
                    <c:v>Hseng Ja-Relocated</c:v>
                  </c:pt>
                  <c:pt idx="187">
                    <c:v>Maina Mu-yin  Baptist Church</c:v>
                  </c:pt>
                  <c:pt idx="188">
                    <c:v>LCC UM Camp Hka Shi</c:v>
                  </c:pt>
                  <c:pt idx="189">
                    <c:v>Lisu Ethnic Youth Development Center </c:v>
                  </c:pt>
                  <c:pt idx="190">
                    <c:v>Nbang Yang camp </c:v>
                  </c:pt>
                  <c:pt idx="191">
                    <c:v>Rawang Baptist Church</c:v>
                  </c:pt>
                  <c:pt idx="192">
                    <c:v>Sut Ngai yang camp </c:v>
                  </c:pt>
                  <c:pt idx="193">
                    <c:v>Sadung KBC</c:v>
                  </c:pt>
                  <c:pt idx="194">
                    <c:v>Sana Lisu Baptist Church (DTC)</c:v>
                  </c:pt>
                  <c:pt idx="195">
                    <c:v>Sutaung Taung Chae</c:v>
                  </c:pt>
                  <c:pt idx="196">
                    <c:v>Mohnyin IDP in host (2)</c:v>
                  </c:pt>
                  <c:pt idx="197">
                    <c:v>Wuyan Lisu (KLCC) </c:v>
                  </c:pt>
                  <c:pt idx="198">
                    <c:v>Lisu Church</c:v>
                  </c:pt>
                  <c:pt idx="199">
                    <c:v>Chinese Baptist Church Compound(Oak Hpo)</c:v>
                  </c:pt>
                  <c:pt idx="200">
                    <c:v>Farmland(Kyay Zu Taw)</c:v>
                  </c:pt>
                  <c:pt idx="201">
                    <c:v>Pong Mun School</c:v>
                  </c:pt>
                  <c:pt idx="202">
                    <c:v>Hka San Baptist church </c:v>
                  </c:pt>
                  <c:pt idx="203">
                    <c:v>Ward 3 </c:v>
                  </c:pt>
                  <c:pt idx="204">
                    <c:v>Sun Lon monastery </c:v>
                  </c:pt>
                  <c:pt idx="205">
                    <c:v>Farmland(Kaung Kye Peik)</c:v>
                  </c:pt>
                  <c:pt idx="206">
                    <c:v>Kaung Nyaung Ywar Thit (Ho Piek gyi)</c:v>
                  </c:pt>
                  <c:pt idx="207">
                    <c:v>Ward 5 &amp; 9</c:v>
                  </c:pt>
                  <c:pt idx="208">
                    <c:v>Kan Long </c:v>
                  </c:pt>
                  <c:pt idx="209">
                    <c:v>Chicken Farm </c:v>
                  </c:pt>
                  <c:pt idx="210">
                    <c:v>KBC Church </c:v>
                  </c:pt>
                  <c:pt idx="211">
                    <c:v>New Nant  Hlaing camp</c:v>
                  </c:pt>
                  <c:pt idx="212">
                    <c:v>Shan Culutre camp</c:v>
                  </c:pt>
                </c:lvl>
              </c:multiLvlStrCache>
            </c:multiLvlStrRef>
          </c:cat>
          <c:val>
            <c:numRef>
              <c:f>'Tracking Dashboard'!$N$5:$N$431</c:f>
              <c:numCache>
                <c:formatCode>General</c:formatCode>
                <c:ptCount val="213"/>
                <c:pt idx="0">
                  <c:v>715</c:v>
                </c:pt>
                <c:pt idx="1">
                  <c:v>446</c:v>
                </c:pt>
                <c:pt idx="2">
                  <c:v>70</c:v>
                </c:pt>
                <c:pt idx="3">
                  <c:v>0</c:v>
                </c:pt>
                <c:pt idx="4">
                  <c:v>0</c:v>
                </c:pt>
                <c:pt idx="5">
                  <c:v>249</c:v>
                </c:pt>
                <c:pt idx="6">
                  <c:v>405</c:v>
                </c:pt>
                <c:pt idx="7">
                  <c:v>1900</c:v>
                </c:pt>
                <c:pt idx="8">
                  <c:v>24</c:v>
                </c:pt>
                <c:pt idx="9">
                  <c:v>500</c:v>
                </c:pt>
                <c:pt idx="10">
                  <c:v>451</c:v>
                </c:pt>
                <c:pt idx="11">
                  <c:v>198</c:v>
                </c:pt>
                <c:pt idx="12">
                  <c:v>404</c:v>
                </c:pt>
                <c:pt idx="13">
                  <c:v>0</c:v>
                </c:pt>
                <c:pt idx="14">
                  <c:v>439</c:v>
                </c:pt>
                <c:pt idx="15">
                  <c:v>381</c:v>
                </c:pt>
                <c:pt idx="16">
                  <c:v>298</c:v>
                </c:pt>
                <c:pt idx="17">
                  <c:v>856</c:v>
                </c:pt>
                <c:pt idx="18">
                  <c:v>0</c:v>
                </c:pt>
                <c:pt idx="19">
                  <c:v>0</c:v>
                </c:pt>
                <c:pt idx="20">
                  <c:v>471</c:v>
                </c:pt>
                <c:pt idx="21">
                  <c:v>1000</c:v>
                </c:pt>
                <c:pt idx="22">
                  <c:v>3405</c:v>
                </c:pt>
                <c:pt idx="23">
                  <c:v>0</c:v>
                </c:pt>
                <c:pt idx="24">
                  <c:v>130</c:v>
                </c:pt>
                <c:pt idx="25">
                  <c:v>0</c:v>
                </c:pt>
                <c:pt idx="26">
                  <c:v>500</c:v>
                </c:pt>
                <c:pt idx="27">
                  <c:v>278</c:v>
                </c:pt>
                <c:pt idx="28">
                  <c:v>500</c:v>
                </c:pt>
                <c:pt idx="29">
                  <c:v>7000</c:v>
                </c:pt>
                <c:pt idx="30">
                  <c:v>62</c:v>
                </c:pt>
                <c:pt idx="31">
                  <c:v>0</c:v>
                </c:pt>
                <c:pt idx="32">
                  <c:v>52</c:v>
                </c:pt>
                <c:pt idx="33">
                  <c:v>0</c:v>
                </c:pt>
                <c:pt idx="34">
                  <c:v>244</c:v>
                </c:pt>
                <c:pt idx="35">
                  <c:v>180</c:v>
                </c:pt>
                <c:pt idx="36">
                  <c:v>270</c:v>
                </c:pt>
                <c:pt idx="37">
                  <c:v>0</c:v>
                </c:pt>
                <c:pt idx="38">
                  <c:v>0</c:v>
                </c:pt>
                <c:pt idx="39">
                  <c:v>2503</c:v>
                </c:pt>
                <c:pt idx="40">
                  <c:v>634</c:v>
                </c:pt>
                <c:pt idx="41">
                  <c:v>0</c:v>
                </c:pt>
                <c:pt idx="42">
                  <c:v>0</c:v>
                </c:pt>
                <c:pt idx="43">
                  <c:v>885</c:v>
                </c:pt>
                <c:pt idx="44">
                  <c:v>107</c:v>
                </c:pt>
                <c:pt idx="45">
                  <c:v>56</c:v>
                </c:pt>
                <c:pt idx="46">
                  <c:v>500</c:v>
                </c:pt>
                <c:pt idx="47">
                  <c:v>127</c:v>
                </c:pt>
                <c:pt idx="48">
                  <c:v>255</c:v>
                </c:pt>
                <c:pt idx="49">
                  <c:v>426</c:v>
                </c:pt>
                <c:pt idx="50">
                  <c:v>1422</c:v>
                </c:pt>
                <c:pt idx="51">
                  <c:v>460</c:v>
                </c:pt>
                <c:pt idx="52">
                  <c:v>0</c:v>
                </c:pt>
                <c:pt idx="53">
                  <c:v>140</c:v>
                </c:pt>
                <c:pt idx="54">
                  <c:v>1342</c:v>
                </c:pt>
                <c:pt idx="55">
                  <c:v>500</c:v>
                </c:pt>
                <c:pt idx="56">
                  <c:v>500</c:v>
                </c:pt>
                <c:pt idx="57">
                  <c:v>1000</c:v>
                </c:pt>
                <c:pt idx="58">
                  <c:v>2973</c:v>
                </c:pt>
                <c:pt idx="59">
                  <c:v>198</c:v>
                </c:pt>
                <c:pt idx="60">
                  <c:v>1517</c:v>
                </c:pt>
                <c:pt idx="61">
                  <c:v>694</c:v>
                </c:pt>
                <c:pt idx="62">
                  <c:v>0</c:v>
                </c:pt>
                <c:pt idx="63">
                  <c:v>0</c:v>
                </c:pt>
                <c:pt idx="64">
                  <c:v>512</c:v>
                </c:pt>
                <c:pt idx="65">
                  <c:v>0</c:v>
                </c:pt>
                <c:pt idx="66">
                  <c:v>45</c:v>
                </c:pt>
                <c:pt idx="67">
                  <c:v>0</c:v>
                </c:pt>
                <c:pt idx="68">
                  <c:v>500</c:v>
                </c:pt>
                <c:pt idx="69">
                  <c:v>538</c:v>
                </c:pt>
                <c:pt idx="70">
                  <c:v>500</c:v>
                </c:pt>
                <c:pt idx="71">
                  <c:v>737</c:v>
                </c:pt>
                <c:pt idx="72">
                  <c:v>125</c:v>
                </c:pt>
                <c:pt idx="73">
                  <c:v>157</c:v>
                </c:pt>
                <c:pt idx="74">
                  <c:v>0</c:v>
                </c:pt>
                <c:pt idx="75">
                  <c:v>82</c:v>
                </c:pt>
                <c:pt idx="76">
                  <c:v>78</c:v>
                </c:pt>
                <c:pt idx="77">
                  <c:v>0</c:v>
                </c:pt>
                <c:pt idx="78">
                  <c:v>251</c:v>
                </c:pt>
                <c:pt idx="79">
                  <c:v>0</c:v>
                </c:pt>
                <c:pt idx="80">
                  <c:v>176</c:v>
                </c:pt>
                <c:pt idx="81">
                  <c:v>0</c:v>
                </c:pt>
                <c:pt idx="82">
                  <c:v>396</c:v>
                </c:pt>
                <c:pt idx="83">
                  <c:v>0</c:v>
                </c:pt>
                <c:pt idx="84">
                  <c:v>31</c:v>
                </c:pt>
                <c:pt idx="85">
                  <c:v>213</c:v>
                </c:pt>
                <c:pt idx="86">
                  <c:v>250</c:v>
                </c:pt>
                <c:pt idx="87">
                  <c:v>158</c:v>
                </c:pt>
                <c:pt idx="88">
                  <c:v>24</c:v>
                </c:pt>
                <c:pt idx="89">
                  <c:v>206</c:v>
                </c:pt>
                <c:pt idx="90">
                  <c:v>141</c:v>
                </c:pt>
                <c:pt idx="91">
                  <c:v>607</c:v>
                </c:pt>
                <c:pt idx="92">
                  <c:v>274</c:v>
                </c:pt>
                <c:pt idx="93">
                  <c:v>228</c:v>
                </c:pt>
                <c:pt idx="94">
                  <c:v>0</c:v>
                </c:pt>
                <c:pt idx="95">
                  <c:v>86</c:v>
                </c:pt>
                <c:pt idx="96">
                  <c:v>0</c:v>
                </c:pt>
                <c:pt idx="97">
                  <c:v>500</c:v>
                </c:pt>
                <c:pt idx="98">
                  <c:v>500</c:v>
                </c:pt>
                <c:pt idx="99">
                  <c:v>1570</c:v>
                </c:pt>
                <c:pt idx="100">
                  <c:v>0</c:v>
                </c:pt>
                <c:pt idx="101">
                  <c:v>297</c:v>
                </c:pt>
                <c:pt idx="102">
                  <c:v>948</c:v>
                </c:pt>
                <c:pt idx="103">
                  <c:v>500</c:v>
                </c:pt>
                <c:pt idx="104">
                  <c:v>3000</c:v>
                </c:pt>
                <c:pt idx="105">
                  <c:v>1059</c:v>
                </c:pt>
                <c:pt idx="106">
                  <c:v>221</c:v>
                </c:pt>
                <c:pt idx="107">
                  <c:v>0</c:v>
                </c:pt>
                <c:pt idx="108">
                  <c:v>0</c:v>
                </c:pt>
                <c:pt idx="109">
                  <c:v>298</c:v>
                </c:pt>
                <c:pt idx="110">
                  <c:v>193</c:v>
                </c:pt>
                <c:pt idx="111">
                  <c:v>72</c:v>
                </c:pt>
                <c:pt idx="112">
                  <c:v>3000</c:v>
                </c:pt>
                <c:pt idx="113">
                  <c:v>0</c:v>
                </c:pt>
                <c:pt idx="114">
                  <c:v>0</c:v>
                </c:pt>
                <c:pt idx="115">
                  <c:v>0</c:v>
                </c:pt>
                <c:pt idx="116">
                  <c:v>266</c:v>
                </c:pt>
                <c:pt idx="117">
                  <c:v>1438</c:v>
                </c:pt>
                <c:pt idx="118">
                  <c:v>0</c:v>
                </c:pt>
                <c:pt idx="119">
                  <c:v>500</c:v>
                </c:pt>
                <c:pt idx="120">
                  <c:v>101</c:v>
                </c:pt>
                <c:pt idx="121">
                  <c:v>1050</c:v>
                </c:pt>
                <c:pt idx="122">
                  <c:v>300</c:v>
                </c:pt>
                <c:pt idx="123">
                  <c:v>0</c:v>
                </c:pt>
                <c:pt idx="124">
                  <c:v>0</c:v>
                </c:pt>
                <c:pt idx="125">
                  <c:v>500</c:v>
                </c:pt>
                <c:pt idx="126">
                  <c:v>174</c:v>
                </c:pt>
                <c:pt idx="127">
                  <c:v>0</c:v>
                </c:pt>
                <c:pt idx="128">
                  <c:v>500</c:v>
                </c:pt>
                <c:pt idx="129">
                  <c:v>268</c:v>
                </c:pt>
                <c:pt idx="130">
                  <c:v>0</c:v>
                </c:pt>
                <c:pt idx="131">
                  <c:v>0</c:v>
                </c:pt>
                <c:pt idx="132">
                  <c:v>186</c:v>
                </c:pt>
                <c:pt idx="133">
                  <c:v>500</c:v>
                </c:pt>
                <c:pt idx="134">
                  <c:v>195</c:v>
                </c:pt>
                <c:pt idx="135">
                  <c:v>253</c:v>
                </c:pt>
                <c:pt idx="136">
                  <c:v>319</c:v>
                </c:pt>
                <c:pt idx="137">
                  <c:v>0</c:v>
                </c:pt>
                <c:pt idx="138">
                  <c:v>1500</c:v>
                </c:pt>
                <c:pt idx="139">
                  <c:v>0</c:v>
                </c:pt>
                <c:pt idx="140">
                  <c:v>0</c:v>
                </c:pt>
                <c:pt idx="141">
                  <c:v>66</c:v>
                </c:pt>
                <c:pt idx="142">
                  <c:v>500</c:v>
                </c:pt>
                <c:pt idx="143">
                  <c:v>0</c:v>
                </c:pt>
                <c:pt idx="144">
                  <c:v>32</c:v>
                </c:pt>
                <c:pt idx="145">
                  <c:v>0</c:v>
                </c:pt>
                <c:pt idx="146">
                  <c:v>203</c:v>
                </c:pt>
                <c:pt idx="147">
                  <c:v>404</c:v>
                </c:pt>
                <c:pt idx="148">
                  <c:v>0</c:v>
                </c:pt>
                <c:pt idx="149">
                  <c:v>0</c:v>
                </c:pt>
                <c:pt idx="150">
                  <c:v>0</c:v>
                </c:pt>
                <c:pt idx="151">
                  <c:v>591</c:v>
                </c:pt>
                <c:pt idx="152">
                  <c:v>0</c:v>
                </c:pt>
                <c:pt idx="153">
                  <c:v>0</c:v>
                </c:pt>
                <c:pt idx="154">
                  <c:v>160</c:v>
                </c:pt>
                <c:pt idx="155">
                  <c:v>0</c:v>
                </c:pt>
                <c:pt idx="156">
                  <c:v>0</c:v>
                </c:pt>
                <c:pt idx="157">
                  <c:v>0</c:v>
                </c:pt>
                <c:pt idx="158">
                  <c:v>0</c:v>
                </c:pt>
                <c:pt idx="159">
                  <c:v>0</c:v>
                </c:pt>
                <c:pt idx="160">
                  <c:v>0</c:v>
                </c:pt>
                <c:pt idx="161">
                  <c:v>0</c:v>
                </c:pt>
                <c:pt idx="162">
                  <c:v>0</c:v>
                </c:pt>
                <c:pt idx="163">
                  <c:v>0</c:v>
                </c:pt>
                <c:pt idx="164">
                  <c:v>1936</c:v>
                </c:pt>
                <c:pt idx="165">
                  <c:v>275</c:v>
                </c:pt>
                <c:pt idx="166">
                  <c:v>430</c:v>
                </c:pt>
                <c:pt idx="167">
                  <c:v>0</c:v>
                </c:pt>
                <c:pt idx="168">
                  <c:v>132</c:v>
                </c:pt>
                <c:pt idx="169">
                  <c:v>0</c:v>
                </c:pt>
                <c:pt idx="170">
                  <c:v>0</c:v>
                </c:pt>
                <c:pt idx="171">
                  <c:v>0</c:v>
                </c:pt>
                <c:pt idx="172">
                  <c:v>0</c:v>
                </c:pt>
                <c:pt idx="173">
                  <c:v>0</c:v>
                </c:pt>
                <c:pt idx="174">
                  <c:v>0</c:v>
                </c:pt>
                <c:pt idx="175">
                  <c:v>0</c:v>
                </c:pt>
                <c:pt idx="176">
                  <c:v>0</c:v>
                </c:pt>
                <c:pt idx="177">
                  <c:v>0</c:v>
                </c:pt>
                <c:pt idx="178">
                  <c:v>94</c:v>
                </c:pt>
                <c:pt idx="179">
                  <c:v>344</c:v>
                </c:pt>
                <c:pt idx="180">
                  <c:v>0</c:v>
                </c:pt>
                <c:pt idx="181">
                  <c:v>0</c:v>
                </c:pt>
                <c:pt idx="182">
                  <c:v>0</c:v>
                </c:pt>
                <c:pt idx="183">
                  <c:v>0</c:v>
                </c:pt>
                <c:pt idx="184">
                  <c:v>0</c:v>
                </c:pt>
                <c:pt idx="185">
                  <c:v>0</c:v>
                </c:pt>
                <c:pt idx="186">
                  <c:v>0</c:v>
                </c:pt>
                <c:pt idx="187">
                  <c:v>221</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213</c:v>
                </c:pt>
                <c:pt idx="212">
                  <c:v>324</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Dashboard'!$L$5:$M$431</c:f>
              <c:multiLvlStrCache>
                <c:ptCount val="213"/>
                <c:lvl>
                  <c:pt idx="0">
                    <c:v>2023_Q1</c:v>
                  </c:pt>
                  <c:pt idx="1">
                    <c:v>2023_Q1</c:v>
                  </c:pt>
                  <c:pt idx="2">
                    <c:v>2023_Q1</c:v>
                  </c:pt>
                  <c:pt idx="3">
                    <c:v>2023_Q1</c:v>
                  </c:pt>
                  <c:pt idx="4">
                    <c:v>2023_Q1</c:v>
                  </c:pt>
                  <c:pt idx="5">
                    <c:v>2023_Q1</c:v>
                  </c:pt>
                  <c:pt idx="6">
                    <c:v>2023_Q1</c:v>
                  </c:pt>
                  <c:pt idx="7">
                    <c:v>2023_Q1</c:v>
                  </c:pt>
                  <c:pt idx="8">
                    <c:v>2023_Q1</c:v>
                  </c:pt>
                  <c:pt idx="9">
                    <c:v>2023_Q1</c:v>
                  </c:pt>
                  <c:pt idx="10">
                    <c:v>2023_Q1</c:v>
                  </c:pt>
                  <c:pt idx="11">
                    <c:v>2023_Q1</c:v>
                  </c:pt>
                  <c:pt idx="12">
                    <c:v>2023_Q1</c:v>
                  </c:pt>
                  <c:pt idx="13">
                    <c:v>2023_Q1</c:v>
                  </c:pt>
                  <c:pt idx="14">
                    <c:v>2023_Q1</c:v>
                  </c:pt>
                  <c:pt idx="15">
                    <c:v>2023_Q1</c:v>
                  </c:pt>
                  <c:pt idx="16">
                    <c:v>2023_Q1</c:v>
                  </c:pt>
                  <c:pt idx="17">
                    <c:v>2023_Q1</c:v>
                  </c:pt>
                  <c:pt idx="18">
                    <c:v>2023_Q1</c:v>
                  </c:pt>
                  <c:pt idx="19">
                    <c:v>2023_Q1</c:v>
                  </c:pt>
                  <c:pt idx="20">
                    <c:v>2023_Q1</c:v>
                  </c:pt>
                  <c:pt idx="21">
                    <c:v>2023_Q1</c:v>
                  </c:pt>
                  <c:pt idx="22">
                    <c:v>2023_Q1</c:v>
                  </c:pt>
                  <c:pt idx="23">
                    <c:v>2023_Q1</c:v>
                  </c:pt>
                  <c:pt idx="24">
                    <c:v>2023_Q1</c:v>
                  </c:pt>
                  <c:pt idx="25">
                    <c:v>2023_Q1</c:v>
                  </c:pt>
                  <c:pt idx="26">
                    <c:v>2023_Q1</c:v>
                  </c:pt>
                  <c:pt idx="27">
                    <c:v>2023_Q1</c:v>
                  </c:pt>
                  <c:pt idx="28">
                    <c:v>2023_Q1</c:v>
                  </c:pt>
                  <c:pt idx="29">
                    <c:v>2023_Q1</c:v>
                  </c:pt>
                  <c:pt idx="30">
                    <c:v>2023_Q1</c:v>
                  </c:pt>
                  <c:pt idx="31">
                    <c:v>2023_Q1</c:v>
                  </c:pt>
                  <c:pt idx="32">
                    <c:v>2023_Q1</c:v>
                  </c:pt>
                  <c:pt idx="33">
                    <c:v>2023_Q1</c:v>
                  </c:pt>
                  <c:pt idx="34">
                    <c:v>2023_Q1</c:v>
                  </c:pt>
                  <c:pt idx="35">
                    <c:v>2023_Q1</c:v>
                  </c:pt>
                  <c:pt idx="36">
                    <c:v>2023_Q1</c:v>
                  </c:pt>
                  <c:pt idx="37">
                    <c:v>2023_Q1</c:v>
                  </c:pt>
                  <c:pt idx="38">
                    <c:v>2023_Q1</c:v>
                  </c:pt>
                  <c:pt idx="39">
                    <c:v>2023_Q1</c:v>
                  </c:pt>
                  <c:pt idx="40">
                    <c:v>2023_Q1</c:v>
                  </c:pt>
                  <c:pt idx="41">
                    <c:v>2023_Q1</c:v>
                  </c:pt>
                  <c:pt idx="42">
                    <c:v>2023_Q1</c:v>
                  </c:pt>
                  <c:pt idx="43">
                    <c:v>2023_Q1</c:v>
                  </c:pt>
                  <c:pt idx="44">
                    <c:v>2023_Q1</c:v>
                  </c:pt>
                  <c:pt idx="45">
                    <c:v>2023_Q1</c:v>
                  </c:pt>
                  <c:pt idx="46">
                    <c:v>2023_Q1</c:v>
                  </c:pt>
                  <c:pt idx="47">
                    <c:v>2023_Q1</c:v>
                  </c:pt>
                  <c:pt idx="48">
                    <c:v>2023_Q1</c:v>
                  </c:pt>
                  <c:pt idx="49">
                    <c:v>2023_Q1</c:v>
                  </c:pt>
                  <c:pt idx="50">
                    <c:v>2023_Q1</c:v>
                  </c:pt>
                  <c:pt idx="51">
                    <c:v>2023_Q1</c:v>
                  </c:pt>
                  <c:pt idx="52">
                    <c:v>2023_Q1</c:v>
                  </c:pt>
                  <c:pt idx="53">
                    <c:v>2023_Q1</c:v>
                  </c:pt>
                  <c:pt idx="54">
                    <c:v>2023_Q1</c:v>
                  </c:pt>
                  <c:pt idx="55">
                    <c:v>2023_Q1</c:v>
                  </c:pt>
                  <c:pt idx="56">
                    <c:v>2023_Q1</c:v>
                  </c:pt>
                  <c:pt idx="57">
                    <c:v>2023_Q1</c:v>
                  </c:pt>
                  <c:pt idx="58">
                    <c:v>2023_Q1</c:v>
                  </c:pt>
                  <c:pt idx="59">
                    <c:v>2023_Q1</c:v>
                  </c:pt>
                  <c:pt idx="60">
                    <c:v>2023_Q1</c:v>
                  </c:pt>
                  <c:pt idx="61">
                    <c:v>2023_Q1</c:v>
                  </c:pt>
                  <c:pt idx="62">
                    <c:v>2023_Q1</c:v>
                  </c:pt>
                  <c:pt idx="63">
                    <c:v>2023_Q1</c:v>
                  </c:pt>
                  <c:pt idx="64">
                    <c:v>2023_Q1</c:v>
                  </c:pt>
                  <c:pt idx="65">
                    <c:v>2023_Q1</c:v>
                  </c:pt>
                  <c:pt idx="66">
                    <c:v>2023_Q1</c:v>
                  </c:pt>
                  <c:pt idx="67">
                    <c:v>2023_Q1</c:v>
                  </c:pt>
                  <c:pt idx="68">
                    <c:v>2023_Q1</c:v>
                  </c:pt>
                  <c:pt idx="69">
                    <c:v>2023_Q1</c:v>
                  </c:pt>
                  <c:pt idx="70">
                    <c:v>2023_Q1</c:v>
                  </c:pt>
                  <c:pt idx="71">
                    <c:v>2023_Q1</c:v>
                  </c:pt>
                  <c:pt idx="72">
                    <c:v>2023_Q1</c:v>
                  </c:pt>
                  <c:pt idx="73">
                    <c:v>2023_Q1</c:v>
                  </c:pt>
                  <c:pt idx="74">
                    <c:v>2023_Q1</c:v>
                  </c:pt>
                  <c:pt idx="75">
                    <c:v>2023_Q1</c:v>
                  </c:pt>
                  <c:pt idx="76">
                    <c:v>2023_Q1</c:v>
                  </c:pt>
                  <c:pt idx="77">
                    <c:v>2023_Q1</c:v>
                  </c:pt>
                  <c:pt idx="78">
                    <c:v>2023_Q1</c:v>
                  </c:pt>
                  <c:pt idx="79">
                    <c:v>2023_Q1</c:v>
                  </c:pt>
                  <c:pt idx="80">
                    <c:v>2023_Q1</c:v>
                  </c:pt>
                  <c:pt idx="81">
                    <c:v>2023_Q1</c:v>
                  </c:pt>
                  <c:pt idx="82">
                    <c:v>2023_Q1</c:v>
                  </c:pt>
                  <c:pt idx="83">
                    <c:v>2023_Q1</c:v>
                  </c:pt>
                  <c:pt idx="84">
                    <c:v>2023_Q1</c:v>
                  </c:pt>
                  <c:pt idx="85">
                    <c:v>2023_Q1</c:v>
                  </c:pt>
                  <c:pt idx="86">
                    <c:v>2023_Q1</c:v>
                  </c:pt>
                  <c:pt idx="87">
                    <c:v>2023_Q1</c:v>
                  </c:pt>
                  <c:pt idx="88">
                    <c:v>2023_Q1</c:v>
                  </c:pt>
                  <c:pt idx="89">
                    <c:v>2023_Q1</c:v>
                  </c:pt>
                  <c:pt idx="90">
                    <c:v>2023_Q1</c:v>
                  </c:pt>
                  <c:pt idx="91">
                    <c:v>2023_Q1</c:v>
                  </c:pt>
                  <c:pt idx="92">
                    <c:v>2023_Q1</c:v>
                  </c:pt>
                  <c:pt idx="93">
                    <c:v>2023_Q1</c:v>
                  </c:pt>
                  <c:pt idx="94">
                    <c:v>2023_Q1</c:v>
                  </c:pt>
                  <c:pt idx="95">
                    <c:v>2023_Q1</c:v>
                  </c:pt>
                  <c:pt idx="96">
                    <c:v>2023_Q1</c:v>
                  </c:pt>
                  <c:pt idx="97">
                    <c:v>2023_Q1</c:v>
                  </c:pt>
                  <c:pt idx="98">
                    <c:v>2023_Q1</c:v>
                  </c:pt>
                  <c:pt idx="99">
                    <c:v>2023_Q1</c:v>
                  </c:pt>
                  <c:pt idx="100">
                    <c:v>2023_Q1</c:v>
                  </c:pt>
                  <c:pt idx="101">
                    <c:v>2023_Q1</c:v>
                  </c:pt>
                  <c:pt idx="102">
                    <c:v>2023_Q1</c:v>
                  </c:pt>
                  <c:pt idx="103">
                    <c:v>2023_Q1</c:v>
                  </c:pt>
                  <c:pt idx="104">
                    <c:v>2023_Q1</c:v>
                  </c:pt>
                  <c:pt idx="105">
                    <c:v>2023_Q1</c:v>
                  </c:pt>
                  <c:pt idx="106">
                    <c:v>2023_Q1</c:v>
                  </c:pt>
                  <c:pt idx="107">
                    <c:v>2023_Q1</c:v>
                  </c:pt>
                  <c:pt idx="108">
                    <c:v>2023_Q1</c:v>
                  </c:pt>
                  <c:pt idx="109">
                    <c:v>2023_Q1</c:v>
                  </c:pt>
                  <c:pt idx="110">
                    <c:v>2023_Q1</c:v>
                  </c:pt>
                  <c:pt idx="111">
                    <c:v>2023_Q1</c:v>
                  </c:pt>
                  <c:pt idx="112">
                    <c:v>2023_Q1</c:v>
                  </c:pt>
                  <c:pt idx="113">
                    <c:v>2023_Q1</c:v>
                  </c:pt>
                  <c:pt idx="114">
                    <c:v>2023_Q1</c:v>
                  </c:pt>
                  <c:pt idx="115">
                    <c:v>2023_Q1</c:v>
                  </c:pt>
                  <c:pt idx="116">
                    <c:v>2023_Q1</c:v>
                  </c:pt>
                  <c:pt idx="117">
                    <c:v>2023_Q1</c:v>
                  </c:pt>
                  <c:pt idx="118">
                    <c:v>2023_Q1</c:v>
                  </c:pt>
                  <c:pt idx="119">
                    <c:v>2023_Q1</c:v>
                  </c:pt>
                  <c:pt idx="120">
                    <c:v>2023_Q1</c:v>
                  </c:pt>
                  <c:pt idx="121">
                    <c:v>2023_Q1</c:v>
                  </c:pt>
                  <c:pt idx="122">
                    <c:v>2023_Q1</c:v>
                  </c:pt>
                  <c:pt idx="123">
                    <c:v>2023_Q1</c:v>
                  </c:pt>
                  <c:pt idx="124">
                    <c:v>2023_Q1</c:v>
                  </c:pt>
                  <c:pt idx="125">
                    <c:v>2023_Q1</c:v>
                  </c:pt>
                  <c:pt idx="126">
                    <c:v>2023_Q1</c:v>
                  </c:pt>
                  <c:pt idx="127">
                    <c:v>2023_Q1</c:v>
                  </c:pt>
                  <c:pt idx="128">
                    <c:v>2023_Q1</c:v>
                  </c:pt>
                  <c:pt idx="129">
                    <c:v>2023_Q1</c:v>
                  </c:pt>
                  <c:pt idx="130">
                    <c:v>2023_Q1</c:v>
                  </c:pt>
                  <c:pt idx="131">
                    <c:v>2023_Q1</c:v>
                  </c:pt>
                  <c:pt idx="132">
                    <c:v>2023_Q1</c:v>
                  </c:pt>
                  <c:pt idx="133">
                    <c:v>2023_Q1</c:v>
                  </c:pt>
                  <c:pt idx="134">
                    <c:v>2023_Q1</c:v>
                  </c:pt>
                  <c:pt idx="135">
                    <c:v>2023_Q1</c:v>
                  </c:pt>
                  <c:pt idx="136">
                    <c:v>2023_Q1</c:v>
                  </c:pt>
                  <c:pt idx="137">
                    <c:v>2023_Q1</c:v>
                  </c:pt>
                  <c:pt idx="138">
                    <c:v>2023_Q1</c:v>
                  </c:pt>
                  <c:pt idx="139">
                    <c:v>2023_Q1</c:v>
                  </c:pt>
                  <c:pt idx="140">
                    <c:v>2023_Q1</c:v>
                  </c:pt>
                  <c:pt idx="141">
                    <c:v>2023_Q1</c:v>
                  </c:pt>
                  <c:pt idx="142">
                    <c:v>2023_Q1</c:v>
                  </c:pt>
                  <c:pt idx="143">
                    <c:v>2023_Q1</c:v>
                  </c:pt>
                  <c:pt idx="144">
                    <c:v>2023_Q1</c:v>
                  </c:pt>
                  <c:pt idx="145">
                    <c:v>2023_Q1</c:v>
                  </c:pt>
                  <c:pt idx="146">
                    <c:v>2023_Q1</c:v>
                  </c:pt>
                  <c:pt idx="147">
                    <c:v>2023_Q1</c:v>
                  </c:pt>
                  <c:pt idx="148">
                    <c:v>2023_Q1</c:v>
                  </c:pt>
                  <c:pt idx="149">
                    <c:v>2023_Q1</c:v>
                  </c:pt>
                  <c:pt idx="150">
                    <c:v>2023_Q1</c:v>
                  </c:pt>
                  <c:pt idx="151">
                    <c:v>2023_Q1</c:v>
                  </c:pt>
                  <c:pt idx="152">
                    <c:v>2023_Q1</c:v>
                  </c:pt>
                  <c:pt idx="153">
                    <c:v>2023_Q1</c:v>
                  </c:pt>
                  <c:pt idx="154">
                    <c:v>2023_Q1</c:v>
                  </c:pt>
                  <c:pt idx="155">
                    <c:v>2023_Q1</c:v>
                  </c:pt>
                  <c:pt idx="156">
                    <c:v>2023_Q1</c:v>
                  </c:pt>
                  <c:pt idx="157">
                    <c:v>2023_Q1</c:v>
                  </c:pt>
                  <c:pt idx="158">
                    <c:v>2023_Q1</c:v>
                  </c:pt>
                  <c:pt idx="159">
                    <c:v>2023_Q1</c:v>
                  </c:pt>
                  <c:pt idx="160">
                    <c:v>2023_Q1</c:v>
                  </c:pt>
                  <c:pt idx="161">
                    <c:v>2023_Q1</c:v>
                  </c:pt>
                  <c:pt idx="162">
                    <c:v>2023_Q1</c:v>
                  </c:pt>
                  <c:pt idx="163">
                    <c:v>2023_Q1</c:v>
                  </c:pt>
                  <c:pt idx="164">
                    <c:v>2023_Q1</c:v>
                  </c:pt>
                  <c:pt idx="165">
                    <c:v>2023_Q1</c:v>
                  </c:pt>
                  <c:pt idx="166">
                    <c:v>2023_Q1</c:v>
                  </c:pt>
                  <c:pt idx="167">
                    <c:v>2023_Q1</c:v>
                  </c:pt>
                  <c:pt idx="168">
                    <c:v>2023_Q1</c:v>
                  </c:pt>
                  <c:pt idx="169">
                    <c:v>2023_Q1</c:v>
                  </c:pt>
                  <c:pt idx="170">
                    <c:v>2023_Q1</c:v>
                  </c:pt>
                  <c:pt idx="171">
                    <c:v>2023_Q1</c:v>
                  </c:pt>
                  <c:pt idx="172">
                    <c:v>2023_Q1</c:v>
                  </c:pt>
                  <c:pt idx="173">
                    <c:v>2023_Q1</c:v>
                  </c:pt>
                  <c:pt idx="174">
                    <c:v>2023_Q1</c:v>
                  </c:pt>
                  <c:pt idx="175">
                    <c:v>2023_Q1</c:v>
                  </c:pt>
                  <c:pt idx="176">
                    <c:v>2023_Q1</c:v>
                  </c:pt>
                  <c:pt idx="177">
                    <c:v>2023_Q1</c:v>
                  </c:pt>
                  <c:pt idx="178">
                    <c:v>2023_Q1</c:v>
                  </c:pt>
                  <c:pt idx="179">
                    <c:v>2023_Q1</c:v>
                  </c:pt>
                  <c:pt idx="180">
                    <c:v>2023_Q1</c:v>
                  </c:pt>
                  <c:pt idx="181">
                    <c:v>2023_Q1</c:v>
                  </c:pt>
                  <c:pt idx="182">
                    <c:v>2023_Q1</c:v>
                  </c:pt>
                  <c:pt idx="183">
                    <c:v>2023_Q1</c:v>
                  </c:pt>
                  <c:pt idx="184">
                    <c:v>2023_Q1</c:v>
                  </c:pt>
                  <c:pt idx="185">
                    <c:v>2023_Q1</c:v>
                  </c:pt>
                  <c:pt idx="186">
                    <c:v>2023_Q1</c:v>
                  </c:pt>
                  <c:pt idx="187">
                    <c:v>2023_Q1</c:v>
                  </c:pt>
                  <c:pt idx="188">
                    <c:v>2023_Q1</c:v>
                  </c:pt>
                  <c:pt idx="189">
                    <c:v>2023_Q1</c:v>
                  </c:pt>
                  <c:pt idx="190">
                    <c:v>2023_Q1</c:v>
                  </c:pt>
                  <c:pt idx="191">
                    <c:v>2023_Q1</c:v>
                  </c:pt>
                  <c:pt idx="192">
                    <c:v>2023_Q1</c:v>
                  </c:pt>
                  <c:pt idx="193">
                    <c:v>2023_Q1</c:v>
                  </c:pt>
                  <c:pt idx="194">
                    <c:v>2023_Q1</c:v>
                  </c:pt>
                  <c:pt idx="195">
                    <c:v>2023_Q1</c:v>
                  </c:pt>
                  <c:pt idx="196">
                    <c:v>2023_Q1</c:v>
                  </c:pt>
                  <c:pt idx="197">
                    <c:v>2023_Q1</c:v>
                  </c:pt>
                  <c:pt idx="198">
                    <c:v>2023_Q1</c:v>
                  </c:pt>
                  <c:pt idx="199">
                    <c:v>2023_Q1</c:v>
                  </c:pt>
                  <c:pt idx="200">
                    <c:v>2023_Q1</c:v>
                  </c:pt>
                  <c:pt idx="201">
                    <c:v>2023_Q1</c:v>
                  </c:pt>
                  <c:pt idx="202">
                    <c:v>2023_Q1</c:v>
                  </c:pt>
                  <c:pt idx="203">
                    <c:v>2023_Q1</c:v>
                  </c:pt>
                  <c:pt idx="204">
                    <c:v>2023_Q1</c:v>
                  </c:pt>
                  <c:pt idx="205">
                    <c:v>2023_Q1</c:v>
                  </c:pt>
                  <c:pt idx="206">
                    <c:v>2023_Q1</c:v>
                  </c:pt>
                  <c:pt idx="207">
                    <c:v>2023_Q1</c:v>
                  </c:pt>
                  <c:pt idx="208">
                    <c:v>2023_Q1</c:v>
                  </c:pt>
                  <c:pt idx="209">
                    <c:v>2023_Q1</c:v>
                  </c:pt>
                  <c:pt idx="210">
                    <c:v>2023_Q1</c:v>
                  </c:pt>
                  <c:pt idx="211">
                    <c:v>2023_Q1</c:v>
                  </c:pt>
                  <c:pt idx="212">
                    <c:v>2023_Q1</c:v>
                  </c:pt>
                </c:lvl>
                <c:lvl>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Chin Church, Seik Mu</c:v>
                  </c:pt>
                  <c:pt idx="9">
                    <c:v>Chipwi KBC camp</c:v>
                  </c:pt>
                  <c:pt idx="10">
                    <c:v>Dhama Rakhita, Nyein Chan Tar Yar Ward(Lon Khin)</c:v>
                  </c:pt>
                  <c:pt idx="11">
                    <c:v>Du Kahtawng Baptist</c:v>
                  </c:pt>
                  <c:pt idx="12">
                    <c:v>Dum Bung </c:v>
                  </c:pt>
                  <c:pt idx="13">
                    <c:v>Emmanuel AG Church</c:v>
                  </c:pt>
                  <c:pt idx="14">
                    <c:v>Galeng (Palaung) &amp; Kone Khem</c:v>
                  </c:pt>
                  <c:pt idx="15">
                    <c:v>Hka Shi</c:v>
                  </c:pt>
                  <c:pt idx="16">
                    <c:v>Hkat Cho </c:v>
                  </c:pt>
                  <c:pt idx="17">
                    <c:v>Hkau Shau (BP 12)</c:v>
                  </c:pt>
                  <c:pt idx="18">
                    <c:v>Hlaing Naung Baptist</c:v>
                  </c:pt>
                  <c:pt idx="19">
                    <c:v>Hpai Kawng</c:v>
                  </c:pt>
                  <c:pt idx="20">
                    <c:v>Hpakant Baptist Church, Nam Ma Hpit</c:v>
                  </c:pt>
                  <c:pt idx="21">
                    <c:v>Hpare Hkyer - BP6</c:v>
                  </c:pt>
                  <c:pt idx="22">
                    <c:v>Hpun Lum Yang </c:v>
                  </c:pt>
                  <c:pt idx="23">
                    <c:v>Htoi San Church</c:v>
                  </c:pt>
                  <c:pt idx="24">
                    <c:v>Hu Hku &amp; Ho Hko</c:v>
                  </c:pt>
                  <c:pt idx="25">
                    <c:v>IDP Boarding School, A Len Bum</c:v>
                  </c:pt>
                  <c:pt idx="26">
                    <c:v>Jan Mai Kawng Baptist Church</c:v>
                  </c:pt>
                  <c:pt idx="27">
                    <c:v>Jan Mai Kawng Catholic Church</c:v>
                  </c:pt>
                  <c:pt idx="28">
                    <c:v>Jaw Masat Camp</c:v>
                  </c:pt>
                  <c:pt idx="29">
                    <c:v>Je Yang Hka </c:v>
                  </c:pt>
                  <c:pt idx="30">
                    <c:v>Ka Bu Dam CoC</c:v>
                  </c:pt>
                  <c:pt idx="31">
                    <c:v>Kachin Su Baptist Church (ECCD)</c:v>
                  </c:pt>
                  <c:pt idx="32">
                    <c:v>Karmaing RC Church</c:v>
                  </c:pt>
                  <c:pt idx="33">
                    <c:v>Khar Nan (1) Baptist Church</c:v>
                  </c:pt>
                  <c:pt idx="34">
                    <c:v>Kutkai downtown (KBC Church)</c:v>
                  </c:pt>
                  <c:pt idx="35">
                    <c:v>Kutkai downtown (KBC Church-2)</c:v>
                  </c:pt>
                  <c:pt idx="36">
                    <c:v>Kyu Sot</c:v>
                  </c:pt>
                  <c:pt idx="37">
                    <c:v>Kyun Taw Baptist Church </c:v>
                  </c:pt>
                  <c:pt idx="38">
                    <c:v>Laiza Je Yang School</c:v>
                  </c:pt>
                  <c:pt idx="39">
                    <c:v>Lana Zup Ja</c:v>
                  </c:pt>
                  <c:pt idx="40">
                    <c:v>Lawng Hkang Shait Yang Camp​ ( Lel Pyin)​ </c:v>
                  </c:pt>
                  <c:pt idx="41">
                    <c:v>Le Kone Bethlehem Church</c:v>
                  </c:pt>
                  <c:pt idx="42">
                    <c:v>Le Kone Ziun Baptist Church </c:v>
                  </c:pt>
                  <c:pt idx="43">
                    <c:v>Lhaovao Baptist Church (LBC)</c:v>
                  </c:pt>
                  <c:pt idx="44">
                    <c:v>Lisu Baptist Church, Maw Shan Vil,. Seik Mu</c:v>
                  </c:pt>
                  <c:pt idx="45">
                    <c:v>Lisu Baptist Church, Maw Wan Ward</c:v>
                  </c:pt>
                  <c:pt idx="46">
                    <c:v>Lisu Boarding-House</c:v>
                  </c:pt>
                  <c:pt idx="47">
                    <c:v>Lisu Church Namtu</c:v>
                  </c:pt>
                  <c:pt idx="48">
                    <c:v>Loi Je Baptist Church</c:v>
                  </c:pt>
                  <c:pt idx="49">
                    <c:v>Loi Je Catholic Church</c:v>
                  </c:pt>
                  <c:pt idx="50">
                    <c:v>Loi Je Lisu Camp</c:v>
                  </c:pt>
                  <c:pt idx="51">
                    <c:v>Lone Khin Catholic Church</c:v>
                  </c:pt>
                  <c:pt idx="52">
                    <c:v>Ma Hawng Baptist Church</c:v>
                  </c:pt>
                  <c:pt idx="53">
                    <c:v>Mading Baptist Church</c:v>
                  </c:pt>
                  <c:pt idx="54">
                    <c:v>Maga Yang </c:v>
                  </c:pt>
                  <c:pt idx="55">
                    <c:v>Mai Yu Lay New (Ta'ang)</c:v>
                  </c:pt>
                  <c:pt idx="56">
                    <c:v>Maina AG Church</c:v>
                  </c:pt>
                  <c:pt idx="57">
                    <c:v>Maina Catholic Church (St. Joseph)</c:v>
                  </c:pt>
                  <c:pt idx="58">
                    <c:v>Maina KBC (Bawng Ring)</c:v>
                  </c:pt>
                  <c:pt idx="59">
                    <c:v>Maina Lawang Baptist Church</c:v>
                  </c:pt>
                  <c:pt idx="60">
                    <c:v>Maing Khaung</c:v>
                  </c:pt>
                  <c:pt idx="61">
                    <c:v>Maing Khaung Catholic Church</c:v>
                  </c:pt>
                  <c:pt idx="62">
                    <c:v>Maliyang Baptist Church</c:v>
                  </c:pt>
                  <c:pt idx="63">
                    <c:v>Man Bung Catholic compound</c:v>
                  </c:pt>
                  <c:pt idx="64">
                    <c:v>Man Bung Edin Baptist Church</c:v>
                  </c:pt>
                  <c:pt idx="65">
                    <c:v>Man Hkring Baptist Church</c:v>
                  </c:pt>
                  <c:pt idx="66">
                    <c:v>Man Kaung/Naung Ti Kyar Village</c:v>
                  </c:pt>
                  <c:pt idx="67">
                    <c:v>Man Loi</c:v>
                  </c:pt>
                  <c:pt idx="68">
                    <c:v>Man Wing Baptist Church</c:v>
                  </c:pt>
                  <c:pt idx="69">
                    <c:v>Man Wing Baptist Church Cultural Compound</c:v>
                  </c:pt>
                  <c:pt idx="70">
                    <c:v>Man Wing Catholic Church</c:v>
                  </c:pt>
                  <c:pt idx="71">
                    <c:v>Man Wing Catholic Church II</c:v>
                  </c:pt>
                  <c:pt idx="72">
                    <c:v>Mandung - Jinghpaw</c:v>
                  </c:pt>
                  <c:pt idx="73">
                    <c:v>Mandung - RC</c:v>
                  </c:pt>
                  <c:pt idx="74">
                    <c:v>Mansi Baptist Church</c:v>
                  </c:pt>
                  <c:pt idx="75">
                    <c:v>Maw Hpawng Hka Nan Baptist Church</c:v>
                  </c:pt>
                  <c:pt idx="76">
                    <c:v>Maw Hpawng Lhaovo Baptist Church</c:v>
                  </c:pt>
                  <c:pt idx="77">
                    <c:v>Maw Wan, Mu-yin Baptist Church</c:v>
                  </c:pt>
                  <c:pt idx="78">
                    <c:v>Mine Yu Lay village ( Old)</c:v>
                  </c:pt>
                  <c:pt idx="79">
                    <c:v>Momauk Baptist Church</c:v>
                  </c:pt>
                  <c:pt idx="80">
                    <c:v>Mung Hawm </c:v>
                  </c:pt>
                  <c:pt idx="81">
                    <c:v>Muyin church (Aung Yar pre-school compound)</c:v>
                  </c:pt>
                  <c:pt idx="82">
                    <c:v>Nam Hkam - Nay Win Ni (Palawng)</c:v>
                  </c:pt>
                  <c:pt idx="83">
                    <c:v>Nam Hkam (KBC Jaw Wang)</c:v>
                  </c:pt>
                  <c:pt idx="84">
                    <c:v>Nam Hkam (KBC Jaw Wang) II</c:v>
                  </c:pt>
                  <c:pt idx="85">
                    <c:v>Nam Hkam Catholic Church ( St. Thomas I)</c:v>
                  </c:pt>
                  <c:pt idx="86">
                    <c:v>Nam Hpak Ka Mare </c:v>
                  </c:pt>
                  <c:pt idx="87">
                    <c:v>Nam Hpak Ka Ta'ang ( Aung Tha Pyay)</c:v>
                  </c:pt>
                  <c:pt idx="88">
                    <c:v>Nam Ma Phyit, COC</c:v>
                  </c:pt>
                  <c:pt idx="89">
                    <c:v>Nam Sa Larp</c:v>
                  </c:pt>
                  <c:pt idx="90">
                    <c:v>Nam Tu Baptist</c:v>
                  </c:pt>
                  <c:pt idx="91">
                    <c:v>Namti Labraw Yang KBC Camp</c:v>
                  </c:pt>
                  <c:pt idx="92">
                    <c:v>Nan Kway St. John Catholic Church</c:v>
                  </c:pt>
                  <c:pt idx="93">
                    <c:v>Nant Ma Hpit Catholic Church</c:v>
                  </c:pt>
                  <c:pt idx="94">
                    <c:v>Nat Gyi Kone Baptist Church </c:v>
                  </c:pt>
                  <c:pt idx="95">
                    <c:v>Nawng Hee Village</c:v>
                  </c:pt>
                  <c:pt idx="96">
                    <c:v>Nawng Ing (Indawgyi) Baptist Church </c:v>
                  </c:pt>
                  <c:pt idx="97">
                    <c:v>Ndup Yang</c:v>
                  </c:pt>
                  <c:pt idx="98">
                    <c:v>New Pang Ku </c:v>
                  </c:pt>
                  <c:pt idx="99">
                    <c:v>Nhkawng Pa </c:v>
                  </c:pt>
                  <c:pt idx="100">
                    <c:v>Njang Dung Baptist Church </c:v>
                  </c:pt>
                  <c:pt idx="101">
                    <c:v>Nyaung Na Pin </c:v>
                  </c:pt>
                  <c:pt idx="102">
                    <c:v>Pa Dauk Myaing(Pa La Na)</c:v>
                  </c:pt>
                  <c:pt idx="103">
                    <c:v>Pa Dauk Myaing(Pa La Na)-II</c:v>
                  </c:pt>
                  <c:pt idx="104">
                    <c:v>Pa Kahtawng </c:v>
                  </c:pt>
                  <c:pt idx="105">
                    <c:v>Pajau - Jan Mai</c:v>
                  </c:pt>
                  <c:pt idx="106">
                    <c:v>Pan Law</c:v>
                  </c:pt>
                  <c:pt idx="107">
                    <c:v>Pang Hkawn Yang</c:v>
                  </c:pt>
                  <c:pt idx="108">
                    <c:v>Phan Khar Kone</c:v>
                  </c:pt>
                  <c:pt idx="109">
                    <c:v>Qtr. 2 Lhaovo Baptist Church</c:v>
                  </c:pt>
                  <c:pt idx="110">
                    <c:v>Qtr. 2 Myoma Baptist Church</c:v>
                  </c:pt>
                  <c:pt idx="111">
                    <c:v>Rawan Baptist Church, Maw Shan Vil., Seik Mu</c:v>
                  </c:pt>
                  <c:pt idx="112">
                    <c:v>Robert Church</c:v>
                  </c:pt>
                  <c:pt idx="113">
                    <c:v>Sadung</c:v>
                  </c:pt>
                  <c:pt idx="114">
                    <c:v>Salang Yang</c:v>
                  </c:pt>
                  <c:pt idx="115">
                    <c:v>Sar Hmaw - KBC</c:v>
                  </c:pt>
                  <c:pt idx="116">
                    <c:v>Seng Ja </c:v>
                  </c:pt>
                  <c:pt idx="117">
                    <c:v>Sha-It Yang</c:v>
                  </c:pt>
                  <c:pt idx="118">
                    <c:v>Shar Du Zut KBC church </c:v>
                  </c:pt>
                  <c:pt idx="119">
                    <c:v>Shatapru Sut Ngai Tawng</c:v>
                  </c:pt>
                  <c:pt idx="120">
                    <c:v>Shatapru Thida Aye Baptist Church</c:v>
                  </c:pt>
                  <c:pt idx="121">
                    <c:v>Shing Jai</c:v>
                  </c:pt>
                  <c:pt idx="122">
                    <c:v>Shwe Gu Baptist Church</c:v>
                  </c:pt>
                  <c:pt idx="123">
                    <c:v>Shwe Gu Catholic Church</c:v>
                  </c:pt>
                  <c:pt idx="124">
                    <c:v>Shwe Zet Baptist Church</c:v>
                  </c:pt>
                  <c:pt idx="125">
                    <c:v>St. Joseph Tanai RC camp </c:v>
                  </c:pt>
                  <c:pt idx="126">
                    <c:v>Tanai CoC</c:v>
                  </c:pt>
                  <c:pt idx="127">
                    <c:v>Tanai KBC Camp</c:v>
                  </c:pt>
                  <c:pt idx="128">
                    <c:v>Tat Kone Baptist Church</c:v>
                  </c:pt>
                  <c:pt idx="129">
                    <c:v>Tat Kone COC Baptist - Tat Kone Htoi San</c:v>
                  </c:pt>
                  <c:pt idx="130">
                    <c:v>Tat Kone Galile Baptist Church</c:v>
                  </c:pt>
                  <c:pt idx="131">
                    <c:v>Tat Kone San Pya Baptist Church</c:v>
                  </c:pt>
                  <c:pt idx="132">
                    <c:v>Thargaya Lisu Baptist Church</c:v>
                  </c:pt>
                  <c:pt idx="133">
                    <c:v>Trinity Camp</c:v>
                  </c:pt>
                  <c:pt idx="134">
                    <c:v>Tsan Lun - Namjarap</c:v>
                  </c:pt>
                  <c:pt idx="135">
                    <c:v>Waimaw Baptist Zonal Office 2</c:v>
                  </c:pt>
                  <c:pt idx="136">
                    <c:v>Waingmaw AG Church</c:v>
                  </c:pt>
                  <c:pt idx="137">
                    <c:v>Ward 2 Sai Taung Baptist Church, Seik Mu </c:v>
                  </c:pt>
                  <c:pt idx="138">
                    <c:v>Woi Chyai </c:v>
                  </c:pt>
                  <c:pt idx="139">
                    <c:v>Woi Chyai (Mong Lai)</c:v>
                  </c:pt>
                  <c:pt idx="140">
                    <c:v>Woi Chyai host families</c:v>
                  </c:pt>
                  <c:pt idx="141">
                    <c:v>Yumar Baptist Church</c:v>
                  </c:pt>
                  <c:pt idx="142">
                    <c:v>Zup Aung Camp</c:v>
                  </c:pt>
                  <c:pt idx="143">
                    <c:v>Hka Garan Yang </c:v>
                  </c:pt>
                  <c:pt idx="144">
                    <c:v>Htang Nya </c:v>
                  </c:pt>
                  <c:pt idx="145">
                    <c:v>Enai (Man Pyein)</c:v>
                  </c:pt>
                  <c:pt idx="146">
                    <c:v>Momauk IDP new extension camp (Kye Nan)</c:v>
                  </c:pt>
                  <c:pt idx="147">
                    <c:v>Sector 5 Pammati Quarter</c:v>
                  </c:pt>
                  <c:pt idx="148">
                    <c:v>Namatee Kan Hla AG</c:v>
                  </c:pt>
                  <c:pt idx="149">
                    <c:v>His Aw (Chyu Fan) </c:v>
                  </c:pt>
                  <c:pt idx="150">
                    <c:v>Shwe Sin (Ward 3) </c:v>
                  </c:pt>
                  <c:pt idx="151">
                    <c:v>Bum Ra Yang Camp </c:v>
                  </c:pt>
                  <c:pt idx="152">
                    <c:v>Mang Nawng Kawng (host)</c:v>
                  </c:pt>
                  <c:pt idx="153">
                    <c:v>Kyaukme Town (host)</c:v>
                  </c:pt>
                  <c:pt idx="154">
                    <c:v>Nam Hlaing Extension Ward camp</c:v>
                  </c:pt>
                  <c:pt idx="155">
                    <c:v>Naung Tar Law (Kyet Chan) </c:v>
                  </c:pt>
                  <c:pt idx="156">
                    <c:v>Waingmaw St.Joseph RC Church</c:v>
                  </c:pt>
                  <c:pt idx="157">
                    <c:v>Phaug Nhae Camp</c:v>
                  </c:pt>
                  <c:pt idx="158">
                    <c:v>Ding Jang Yang (1)</c:v>
                  </c:pt>
                  <c:pt idx="159">
                    <c:v>Ding Jang Yang (2)</c:v>
                  </c:pt>
                  <c:pt idx="160">
                    <c:v>Yi Hku Man Hkan </c:v>
                  </c:pt>
                  <c:pt idx="161">
                    <c:v>Maina Relocation Site</c:v>
                  </c:pt>
                  <c:pt idx="162">
                    <c:v>Lin Hao chun </c:v>
                  </c:pt>
                  <c:pt idx="163">
                    <c:v>Pyi Htaung Su</c:v>
                  </c:pt>
                  <c:pt idx="164">
                    <c:v>Momauk KBC church</c:v>
                  </c:pt>
                  <c:pt idx="165">
                    <c:v>St.Francis RCC 1</c:v>
                  </c:pt>
                  <c:pt idx="166">
                    <c:v>St.Francis RCC 2</c:v>
                  </c:pt>
                  <c:pt idx="167">
                    <c:v>Bang Yang Hka (Mung Ji Pa)-relocated</c:v>
                  </c:pt>
                  <c:pt idx="168">
                    <c:v>Galeng Zup Awng ward 5 RC</c:v>
                  </c:pt>
                  <c:pt idx="169">
                    <c:v>Man Wing- IDPs in Host</c:v>
                  </c:pt>
                  <c:pt idx="170">
                    <c:v>(3 mile) Shwe Pyi Tar (SLCA)</c:v>
                  </c:pt>
                  <c:pt idx="171">
                    <c:v>Bhamo- IDPs in Host </c:v>
                  </c:pt>
                  <c:pt idx="172">
                    <c:v>St.Columban lone Khin camp</c:v>
                  </c:pt>
                  <c:pt idx="173">
                    <c:v>Mansi- IDPs in Host</c:v>
                  </c:pt>
                  <c:pt idx="174">
                    <c:v>Hopin -IDPs in Host</c:v>
                  </c:pt>
                  <c:pt idx="175">
                    <c:v>Moenyin- IDPs in Host</c:v>
                  </c:pt>
                  <c:pt idx="176">
                    <c:v>Momauk-IDPs in Host</c:v>
                  </c:pt>
                  <c:pt idx="177">
                    <c:v>Myo Thit -IDP in Host</c:v>
                  </c:pt>
                  <c:pt idx="178">
                    <c:v>Saint Matthew (Shin ma ti-sitapru) camp</c:v>
                  </c:pt>
                  <c:pt idx="179">
                    <c:v>Na ru Kawng (Post 6 camp)</c:v>
                  </c:pt>
                  <c:pt idx="180">
                    <c:v>Man Pint community Hall </c:v>
                  </c:pt>
                  <c:pt idx="181">
                    <c:v>Mong Tin High School</c:v>
                  </c:pt>
                  <c:pt idx="182">
                    <c:v>Nar Mun Primary School</c:v>
                  </c:pt>
                  <c:pt idx="183">
                    <c:v>SLCA Building Compound (Kyaukme town)</c:v>
                  </c:pt>
                  <c:pt idx="184">
                    <c:v>SLCA Building Compound (Moungnawt town)</c:v>
                  </c:pt>
                  <c:pt idx="185">
                    <c:v>Theravada Monastery </c:v>
                  </c:pt>
                  <c:pt idx="186">
                    <c:v>Hseng Ja-Relocated</c:v>
                  </c:pt>
                  <c:pt idx="187">
                    <c:v>Maina Mu-yin  Baptist Church</c:v>
                  </c:pt>
                  <c:pt idx="188">
                    <c:v>LCC UM Camp Hka Shi</c:v>
                  </c:pt>
                  <c:pt idx="189">
                    <c:v>Lisu Ethnic Youth Development Center </c:v>
                  </c:pt>
                  <c:pt idx="190">
                    <c:v>Nbang Yang camp </c:v>
                  </c:pt>
                  <c:pt idx="191">
                    <c:v>Rawang Baptist Church</c:v>
                  </c:pt>
                  <c:pt idx="192">
                    <c:v>Sut Ngai yang camp </c:v>
                  </c:pt>
                  <c:pt idx="193">
                    <c:v>Sadung KBC</c:v>
                  </c:pt>
                  <c:pt idx="194">
                    <c:v>Sana Lisu Baptist Church (DTC)</c:v>
                  </c:pt>
                  <c:pt idx="195">
                    <c:v>Sutaung Taung Chae</c:v>
                  </c:pt>
                  <c:pt idx="196">
                    <c:v>Mohnyin IDP in host (2)</c:v>
                  </c:pt>
                  <c:pt idx="197">
                    <c:v>Wuyan Lisu (KLCC) </c:v>
                  </c:pt>
                  <c:pt idx="198">
                    <c:v>Lisu Church</c:v>
                  </c:pt>
                  <c:pt idx="199">
                    <c:v>Chinese Baptist Church Compound(Oak Hpo)</c:v>
                  </c:pt>
                  <c:pt idx="200">
                    <c:v>Farmland(Kyay Zu Taw)</c:v>
                  </c:pt>
                  <c:pt idx="201">
                    <c:v>Pong Mun School</c:v>
                  </c:pt>
                  <c:pt idx="202">
                    <c:v>Hka San Baptist church </c:v>
                  </c:pt>
                  <c:pt idx="203">
                    <c:v>Ward 3 </c:v>
                  </c:pt>
                  <c:pt idx="204">
                    <c:v>Sun Lon monastery </c:v>
                  </c:pt>
                  <c:pt idx="205">
                    <c:v>Farmland(Kaung Kye Peik)</c:v>
                  </c:pt>
                  <c:pt idx="206">
                    <c:v>Kaung Nyaung Ywar Thit (Ho Piek gyi)</c:v>
                  </c:pt>
                  <c:pt idx="207">
                    <c:v>Ward 5 &amp; 9</c:v>
                  </c:pt>
                  <c:pt idx="208">
                    <c:v>Kan Long </c:v>
                  </c:pt>
                  <c:pt idx="209">
                    <c:v>Chicken Farm </c:v>
                  </c:pt>
                  <c:pt idx="210">
                    <c:v>KBC Church </c:v>
                  </c:pt>
                  <c:pt idx="211">
                    <c:v>New Nant  Hlaing camp</c:v>
                  </c:pt>
                  <c:pt idx="212">
                    <c:v>Shan Culutre camp</c:v>
                  </c:pt>
                </c:lvl>
              </c:multiLvlStrCache>
            </c:multiLvlStrRef>
          </c:cat>
          <c:val>
            <c:numRef>
              <c:f>'Tracking Dashboard'!$O$5:$O$431</c:f>
              <c:numCache>
                <c:formatCode>General</c:formatCode>
                <c:ptCount val="213"/>
                <c:pt idx="0">
                  <c:v>715</c:v>
                </c:pt>
                <c:pt idx="1">
                  <c:v>368</c:v>
                </c:pt>
                <c:pt idx="2">
                  <c:v>60</c:v>
                </c:pt>
                <c:pt idx="3">
                  <c:v>502</c:v>
                </c:pt>
                <c:pt idx="4">
                  <c:v>40</c:v>
                </c:pt>
                <c:pt idx="5">
                  <c:v>200</c:v>
                </c:pt>
                <c:pt idx="6">
                  <c:v>405</c:v>
                </c:pt>
                <c:pt idx="7">
                  <c:v>1900</c:v>
                </c:pt>
                <c:pt idx="8">
                  <c:v>24</c:v>
                </c:pt>
                <c:pt idx="9">
                  <c:v>280</c:v>
                </c:pt>
                <c:pt idx="10">
                  <c:v>451</c:v>
                </c:pt>
                <c:pt idx="11">
                  <c:v>120</c:v>
                </c:pt>
                <c:pt idx="12">
                  <c:v>404</c:v>
                </c:pt>
                <c:pt idx="13">
                  <c:v>0</c:v>
                </c:pt>
                <c:pt idx="14">
                  <c:v>439</c:v>
                </c:pt>
                <c:pt idx="15">
                  <c:v>164</c:v>
                </c:pt>
                <c:pt idx="16">
                  <c:v>40</c:v>
                </c:pt>
                <c:pt idx="17">
                  <c:v>856</c:v>
                </c:pt>
                <c:pt idx="18">
                  <c:v>80</c:v>
                </c:pt>
                <c:pt idx="19">
                  <c:v>0</c:v>
                </c:pt>
                <c:pt idx="20">
                  <c:v>280</c:v>
                </c:pt>
                <c:pt idx="21">
                  <c:v>640</c:v>
                </c:pt>
                <c:pt idx="22">
                  <c:v>3545</c:v>
                </c:pt>
                <c:pt idx="23">
                  <c:v>220</c:v>
                </c:pt>
                <c:pt idx="24">
                  <c:v>130</c:v>
                </c:pt>
                <c:pt idx="25">
                  <c:v>2000</c:v>
                </c:pt>
                <c:pt idx="26">
                  <c:v>742</c:v>
                </c:pt>
                <c:pt idx="27">
                  <c:v>278</c:v>
                </c:pt>
                <c:pt idx="28">
                  <c:v>320</c:v>
                </c:pt>
                <c:pt idx="29">
                  <c:v>8225</c:v>
                </c:pt>
                <c:pt idx="30">
                  <c:v>62</c:v>
                </c:pt>
                <c:pt idx="31">
                  <c:v>57</c:v>
                </c:pt>
                <c:pt idx="32">
                  <c:v>52</c:v>
                </c:pt>
                <c:pt idx="33">
                  <c:v>100</c:v>
                </c:pt>
                <c:pt idx="34">
                  <c:v>240</c:v>
                </c:pt>
                <c:pt idx="35">
                  <c:v>180</c:v>
                </c:pt>
                <c:pt idx="36">
                  <c:v>270</c:v>
                </c:pt>
                <c:pt idx="37">
                  <c:v>74</c:v>
                </c:pt>
                <c:pt idx="38">
                  <c:v>0</c:v>
                </c:pt>
                <c:pt idx="39">
                  <c:v>2503</c:v>
                </c:pt>
                <c:pt idx="40">
                  <c:v>606</c:v>
                </c:pt>
                <c:pt idx="41">
                  <c:v>160</c:v>
                </c:pt>
                <c:pt idx="42">
                  <c:v>640</c:v>
                </c:pt>
                <c:pt idx="43">
                  <c:v>600</c:v>
                </c:pt>
                <c:pt idx="44">
                  <c:v>107</c:v>
                </c:pt>
                <c:pt idx="45">
                  <c:v>40</c:v>
                </c:pt>
                <c:pt idx="46">
                  <c:v>774</c:v>
                </c:pt>
                <c:pt idx="47">
                  <c:v>127</c:v>
                </c:pt>
                <c:pt idx="48">
                  <c:v>182</c:v>
                </c:pt>
                <c:pt idx="49">
                  <c:v>126</c:v>
                </c:pt>
                <c:pt idx="50">
                  <c:v>803</c:v>
                </c:pt>
                <c:pt idx="51">
                  <c:v>300</c:v>
                </c:pt>
                <c:pt idx="52">
                  <c:v>60</c:v>
                </c:pt>
                <c:pt idx="53">
                  <c:v>120</c:v>
                </c:pt>
                <c:pt idx="54">
                  <c:v>1342</c:v>
                </c:pt>
                <c:pt idx="55">
                  <c:v>502</c:v>
                </c:pt>
                <c:pt idx="56">
                  <c:v>560</c:v>
                </c:pt>
                <c:pt idx="57">
                  <c:v>1189</c:v>
                </c:pt>
                <c:pt idx="58">
                  <c:v>2600</c:v>
                </c:pt>
                <c:pt idx="59">
                  <c:v>198</c:v>
                </c:pt>
                <c:pt idx="60">
                  <c:v>1517</c:v>
                </c:pt>
                <c:pt idx="61">
                  <c:v>694</c:v>
                </c:pt>
                <c:pt idx="62">
                  <c:v>140</c:v>
                </c:pt>
                <c:pt idx="63">
                  <c:v>741</c:v>
                </c:pt>
                <c:pt idx="64">
                  <c:v>512</c:v>
                </c:pt>
                <c:pt idx="65">
                  <c:v>506</c:v>
                </c:pt>
                <c:pt idx="66">
                  <c:v>0</c:v>
                </c:pt>
                <c:pt idx="67">
                  <c:v>80</c:v>
                </c:pt>
                <c:pt idx="68">
                  <c:v>360</c:v>
                </c:pt>
                <c:pt idx="69">
                  <c:v>538</c:v>
                </c:pt>
                <c:pt idx="70">
                  <c:v>2354</c:v>
                </c:pt>
                <c:pt idx="71">
                  <c:v>737</c:v>
                </c:pt>
                <c:pt idx="72">
                  <c:v>125</c:v>
                </c:pt>
                <c:pt idx="73">
                  <c:v>157</c:v>
                </c:pt>
                <c:pt idx="74">
                  <c:v>789</c:v>
                </c:pt>
                <c:pt idx="75">
                  <c:v>82</c:v>
                </c:pt>
                <c:pt idx="76">
                  <c:v>78</c:v>
                </c:pt>
                <c:pt idx="77">
                  <c:v>0</c:v>
                </c:pt>
                <c:pt idx="78">
                  <c:v>251</c:v>
                </c:pt>
                <c:pt idx="79">
                  <c:v>120</c:v>
                </c:pt>
                <c:pt idx="80">
                  <c:v>176</c:v>
                </c:pt>
                <c:pt idx="81">
                  <c:v>0</c:v>
                </c:pt>
                <c:pt idx="82">
                  <c:v>396</c:v>
                </c:pt>
                <c:pt idx="83">
                  <c:v>200</c:v>
                </c:pt>
                <c:pt idx="84">
                  <c:v>31</c:v>
                </c:pt>
                <c:pt idx="85">
                  <c:v>213</c:v>
                </c:pt>
                <c:pt idx="86">
                  <c:v>250</c:v>
                </c:pt>
                <c:pt idx="87">
                  <c:v>158</c:v>
                </c:pt>
                <c:pt idx="88">
                  <c:v>24</c:v>
                </c:pt>
                <c:pt idx="89">
                  <c:v>206</c:v>
                </c:pt>
                <c:pt idx="90">
                  <c:v>141</c:v>
                </c:pt>
                <c:pt idx="91">
                  <c:v>400</c:v>
                </c:pt>
                <c:pt idx="92">
                  <c:v>274</c:v>
                </c:pt>
                <c:pt idx="93">
                  <c:v>228</c:v>
                </c:pt>
                <c:pt idx="94">
                  <c:v>51</c:v>
                </c:pt>
                <c:pt idx="95">
                  <c:v>81</c:v>
                </c:pt>
                <c:pt idx="96">
                  <c:v>100</c:v>
                </c:pt>
                <c:pt idx="97">
                  <c:v>673</c:v>
                </c:pt>
                <c:pt idx="98">
                  <c:v>525</c:v>
                </c:pt>
                <c:pt idx="99">
                  <c:v>1570</c:v>
                </c:pt>
                <c:pt idx="100">
                  <c:v>300</c:v>
                </c:pt>
                <c:pt idx="101">
                  <c:v>263</c:v>
                </c:pt>
                <c:pt idx="102">
                  <c:v>680</c:v>
                </c:pt>
                <c:pt idx="103">
                  <c:v>1213</c:v>
                </c:pt>
                <c:pt idx="104">
                  <c:v>3120</c:v>
                </c:pt>
                <c:pt idx="105">
                  <c:v>850</c:v>
                </c:pt>
                <c:pt idx="106">
                  <c:v>221</c:v>
                </c:pt>
                <c:pt idx="107">
                  <c:v>100</c:v>
                </c:pt>
                <c:pt idx="108">
                  <c:v>334</c:v>
                </c:pt>
                <c:pt idx="109">
                  <c:v>298</c:v>
                </c:pt>
                <c:pt idx="110">
                  <c:v>193</c:v>
                </c:pt>
                <c:pt idx="111">
                  <c:v>40</c:v>
                </c:pt>
                <c:pt idx="112">
                  <c:v>2983</c:v>
                </c:pt>
                <c:pt idx="113">
                  <c:v>0</c:v>
                </c:pt>
                <c:pt idx="114">
                  <c:v>362</c:v>
                </c:pt>
                <c:pt idx="115">
                  <c:v>141</c:v>
                </c:pt>
                <c:pt idx="116">
                  <c:v>266</c:v>
                </c:pt>
                <c:pt idx="117">
                  <c:v>1438</c:v>
                </c:pt>
                <c:pt idx="118">
                  <c:v>100</c:v>
                </c:pt>
                <c:pt idx="119">
                  <c:v>260</c:v>
                </c:pt>
                <c:pt idx="120">
                  <c:v>100</c:v>
                </c:pt>
                <c:pt idx="121">
                  <c:v>1050</c:v>
                </c:pt>
                <c:pt idx="122">
                  <c:v>284</c:v>
                </c:pt>
                <c:pt idx="123">
                  <c:v>182</c:v>
                </c:pt>
                <c:pt idx="124">
                  <c:v>340</c:v>
                </c:pt>
                <c:pt idx="125">
                  <c:v>20</c:v>
                </c:pt>
                <c:pt idx="126">
                  <c:v>40</c:v>
                </c:pt>
                <c:pt idx="127">
                  <c:v>413</c:v>
                </c:pt>
                <c:pt idx="128">
                  <c:v>220</c:v>
                </c:pt>
                <c:pt idx="129">
                  <c:v>268</c:v>
                </c:pt>
                <c:pt idx="130">
                  <c:v>100</c:v>
                </c:pt>
                <c:pt idx="131">
                  <c:v>241</c:v>
                </c:pt>
                <c:pt idx="132">
                  <c:v>120</c:v>
                </c:pt>
                <c:pt idx="133">
                  <c:v>560</c:v>
                </c:pt>
                <c:pt idx="134">
                  <c:v>195</c:v>
                </c:pt>
                <c:pt idx="135">
                  <c:v>161</c:v>
                </c:pt>
                <c:pt idx="136">
                  <c:v>180</c:v>
                </c:pt>
                <c:pt idx="137">
                  <c:v>133</c:v>
                </c:pt>
                <c:pt idx="138">
                  <c:v>5020</c:v>
                </c:pt>
                <c:pt idx="139">
                  <c:v>0</c:v>
                </c:pt>
                <c:pt idx="140">
                  <c:v>0</c:v>
                </c:pt>
                <c:pt idx="141">
                  <c:v>66</c:v>
                </c:pt>
                <c:pt idx="142">
                  <c:v>1025</c:v>
                </c:pt>
                <c:pt idx="143">
                  <c:v>0</c:v>
                </c:pt>
                <c:pt idx="144">
                  <c:v>32</c:v>
                </c:pt>
                <c:pt idx="145">
                  <c:v>103</c:v>
                </c:pt>
                <c:pt idx="146">
                  <c:v>144</c:v>
                </c:pt>
                <c:pt idx="147">
                  <c:v>120</c:v>
                </c:pt>
                <c:pt idx="148">
                  <c:v>32</c:v>
                </c:pt>
                <c:pt idx="149">
                  <c:v>600</c:v>
                </c:pt>
                <c:pt idx="150">
                  <c:v>0</c:v>
                </c:pt>
                <c:pt idx="151">
                  <c:v>591</c:v>
                </c:pt>
                <c:pt idx="152">
                  <c:v>0</c:v>
                </c:pt>
                <c:pt idx="153">
                  <c:v>0</c:v>
                </c:pt>
                <c:pt idx="154">
                  <c:v>160</c:v>
                </c:pt>
                <c:pt idx="155">
                  <c:v>0</c:v>
                </c:pt>
                <c:pt idx="156">
                  <c:v>0</c:v>
                </c:pt>
                <c:pt idx="157">
                  <c:v>0</c:v>
                </c:pt>
                <c:pt idx="158">
                  <c:v>0</c:v>
                </c:pt>
                <c:pt idx="159">
                  <c:v>0</c:v>
                </c:pt>
                <c:pt idx="160">
                  <c:v>0</c:v>
                </c:pt>
                <c:pt idx="161">
                  <c:v>0</c:v>
                </c:pt>
                <c:pt idx="162">
                  <c:v>0</c:v>
                </c:pt>
                <c:pt idx="163">
                  <c:v>0</c:v>
                </c:pt>
                <c:pt idx="164">
                  <c:v>1440</c:v>
                </c:pt>
                <c:pt idx="165">
                  <c:v>275</c:v>
                </c:pt>
                <c:pt idx="166">
                  <c:v>300</c:v>
                </c:pt>
                <c:pt idx="167">
                  <c:v>162</c:v>
                </c:pt>
                <c:pt idx="168">
                  <c:v>132</c:v>
                </c:pt>
                <c:pt idx="169">
                  <c:v>0</c:v>
                </c:pt>
                <c:pt idx="170">
                  <c:v>0</c:v>
                </c:pt>
                <c:pt idx="171">
                  <c:v>0</c:v>
                </c:pt>
                <c:pt idx="172">
                  <c:v>0</c:v>
                </c:pt>
                <c:pt idx="173">
                  <c:v>0</c:v>
                </c:pt>
                <c:pt idx="174">
                  <c:v>0</c:v>
                </c:pt>
                <c:pt idx="175">
                  <c:v>0</c:v>
                </c:pt>
                <c:pt idx="176">
                  <c:v>0</c:v>
                </c:pt>
                <c:pt idx="177">
                  <c:v>0</c:v>
                </c:pt>
                <c:pt idx="178">
                  <c:v>94</c:v>
                </c:pt>
                <c:pt idx="179">
                  <c:v>344</c:v>
                </c:pt>
                <c:pt idx="180">
                  <c:v>40</c:v>
                </c:pt>
                <c:pt idx="181">
                  <c:v>28</c:v>
                </c:pt>
                <c:pt idx="182">
                  <c:v>31</c:v>
                </c:pt>
                <c:pt idx="183">
                  <c:v>179</c:v>
                </c:pt>
                <c:pt idx="184">
                  <c:v>26</c:v>
                </c:pt>
                <c:pt idx="185">
                  <c:v>0</c:v>
                </c:pt>
                <c:pt idx="186">
                  <c:v>77</c:v>
                </c:pt>
                <c:pt idx="187">
                  <c:v>160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160</c:v>
                </c:pt>
                <c:pt idx="212">
                  <c:v>144</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Dashboard'!$L$5:$M$431</c:f>
              <c:multiLvlStrCache>
                <c:ptCount val="213"/>
                <c:lvl>
                  <c:pt idx="0">
                    <c:v>2023_Q1</c:v>
                  </c:pt>
                  <c:pt idx="1">
                    <c:v>2023_Q1</c:v>
                  </c:pt>
                  <c:pt idx="2">
                    <c:v>2023_Q1</c:v>
                  </c:pt>
                  <c:pt idx="3">
                    <c:v>2023_Q1</c:v>
                  </c:pt>
                  <c:pt idx="4">
                    <c:v>2023_Q1</c:v>
                  </c:pt>
                  <c:pt idx="5">
                    <c:v>2023_Q1</c:v>
                  </c:pt>
                  <c:pt idx="6">
                    <c:v>2023_Q1</c:v>
                  </c:pt>
                  <c:pt idx="7">
                    <c:v>2023_Q1</c:v>
                  </c:pt>
                  <c:pt idx="8">
                    <c:v>2023_Q1</c:v>
                  </c:pt>
                  <c:pt idx="9">
                    <c:v>2023_Q1</c:v>
                  </c:pt>
                  <c:pt idx="10">
                    <c:v>2023_Q1</c:v>
                  </c:pt>
                  <c:pt idx="11">
                    <c:v>2023_Q1</c:v>
                  </c:pt>
                  <c:pt idx="12">
                    <c:v>2023_Q1</c:v>
                  </c:pt>
                  <c:pt idx="13">
                    <c:v>2023_Q1</c:v>
                  </c:pt>
                  <c:pt idx="14">
                    <c:v>2023_Q1</c:v>
                  </c:pt>
                  <c:pt idx="15">
                    <c:v>2023_Q1</c:v>
                  </c:pt>
                  <c:pt idx="16">
                    <c:v>2023_Q1</c:v>
                  </c:pt>
                  <c:pt idx="17">
                    <c:v>2023_Q1</c:v>
                  </c:pt>
                  <c:pt idx="18">
                    <c:v>2023_Q1</c:v>
                  </c:pt>
                  <c:pt idx="19">
                    <c:v>2023_Q1</c:v>
                  </c:pt>
                  <c:pt idx="20">
                    <c:v>2023_Q1</c:v>
                  </c:pt>
                  <c:pt idx="21">
                    <c:v>2023_Q1</c:v>
                  </c:pt>
                  <c:pt idx="22">
                    <c:v>2023_Q1</c:v>
                  </c:pt>
                  <c:pt idx="23">
                    <c:v>2023_Q1</c:v>
                  </c:pt>
                  <c:pt idx="24">
                    <c:v>2023_Q1</c:v>
                  </c:pt>
                  <c:pt idx="25">
                    <c:v>2023_Q1</c:v>
                  </c:pt>
                  <c:pt idx="26">
                    <c:v>2023_Q1</c:v>
                  </c:pt>
                  <c:pt idx="27">
                    <c:v>2023_Q1</c:v>
                  </c:pt>
                  <c:pt idx="28">
                    <c:v>2023_Q1</c:v>
                  </c:pt>
                  <c:pt idx="29">
                    <c:v>2023_Q1</c:v>
                  </c:pt>
                  <c:pt idx="30">
                    <c:v>2023_Q1</c:v>
                  </c:pt>
                  <c:pt idx="31">
                    <c:v>2023_Q1</c:v>
                  </c:pt>
                  <c:pt idx="32">
                    <c:v>2023_Q1</c:v>
                  </c:pt>
                  <c:pt idx="33">
                    <c:v>2023_Q1</c:v>
                  </c:pt>
                  <c:pt idx="34">
                    <c:v>2023_Q1</c:v>
                  </c:pt>
                  <c:pt idx="35">
                    <c:v>2023_Q1</c:v>
                  </c:pt>
                  <c:pt idx="36">
                    <c:v>2023_Q1</c:v>
                  </c:pt>
                  <c:pt idx="37">
                    <c:v>2023_Q1</c:v>
                  </c:pt>
                  <c:pt idx="38">
                    <c:v>2023_Q1</c:v>
                  </c:pt>
                  <c:pt idx="39">
                    <c:v>2023_Q1</c:v>
                  </c:pt>
                  <c:pt idx="40">
                    <c:v>2023_Q1</c:v>
                  </c:pt>
                  <c:pt idx="41">
                    <c:v>2023_Q1</c:v>
                  </c:pt>
                  <c:pt idx="42">
                    <c:v>2023_Q1</c:v>
                  </c:pt>
                  <c:pt idx="43">
                    <c:v>2023_Q1</c:v>
                  </c:pt>
                  <c:pt idx="44">
                    <c:v>2023_Q1</c:v>
                  </c:pt>
                  <c:pt idx="45">
                    <c:v>2023_Q1</c:v>
                  </c:pt>
                  <c:pt idx="46">
                    <c:v>2023_Q1</c:v>
                  </c:pt>
                  <c:pt idx="47">
                    <c:v>2023_Q1</c:v>
                  </c:pt>
                  <c:pt idx="48">
                    <c:v>2023_Q1</c:v>
                  </c:pt>
                  <c:pt idx="49">
                    <c:v>2023_Q1</c:v>
                  </c:pt>
                  <c:pt idx="50">
                    <c:v>2023_Q1</c:v>
                  </c:pt>
                  <c:pt idx="51">
                    <c:v>2023_Q1</c:v>
                  </c:pt>
                  <c:pt idx="52">
                    <c:v>2023_Q1</c:v>
                  </c:pt>
                  <c:pt idx="53">
                    <c:v>2023_Q1</c:v>
                  </c:pt>
                  <c:pt idx="54">
                    <c:v>2023_Q1</c:v>
                  </c:pt>
                  <c:pt idx="55">
                    <c:v>2023_Q1</c:v>
                  </c:pt>
                  <c:pt idx="56">
                    <c:v>2023_Q1</c:v>
                  </c:pt>
                  <c:pt idx="57">
                    <c:v>2023_Q1</c:v>
                  </c:pt>
                  <c:pt idx="58">
                    <c:v>2023_Q1</c:v>
                  </c:pt>
                  <c:pt idx="59">
                    <c:v>2023_Q1</c:v>
                  </c:pt>
                  <c:pt idx="60">
                    <c:v>2023_Q1</c:v>
                  </c:pt>
                  <c:pt idx="61">
                    <c:v>2023_Q1</c:v>
                  </c:pt>
                  <c:pt idx="62">
                    <c:v>2023_Q1</c:v>
                  </c:pt>
                  <c:pt idx="63">
                    <c:v>2023_Q1</c:v>
                  </c:pt>
                  <c:pt idx="64">
                    <c:v>2023_Q1</c:v>
                  </c:pt>
                  <c:pt idx="65">
                    <c:v>2023_Q1</c:v>
                  </c:pt>
                  <c:pt idx="66">
                    <c:v>2023_Q1</c:v>
                  </c:pt>
                  <c:pt idx="67">
                    <c:v>2023_Q1</c:v>
                  </c:pt>
                  <c:pt idx="68">
                    <c:v>2023_Q1</c:v>
                  </c:pt>
                  <c:pt idx="69">
                    <c:v>2023_Q1</c:v>
                  </c:pt>
                  <c:pt idx="70">
                    <c:v>2023_Q1</c:v>
                  </c:pt>
                  <c:pt idx="71">
                    <c:v>2023_Q1</c:v>
                  </c:pt>
                  <c:pt idx="72">
                    <c:v>2023_Q1</c:v>
                  </c:pt>
                  <c:pt idx="73">
                    <c:v>2023_Q1</c:v>
                  </c:pt>
                  <c:pt idx="74">
                    <c:v>2023_Q1</c:v>
                  </c:pt>
                  <c:pt idx="75">
                    <c:v>2023_Q1</c:v>
                  </c:pt>
                  <c:pt idx="76">
                    <c:v>2023_Q1</c:v>
                  </c:pt>
                  <c:pt idx="77">
                    <c:v>2023_Q1</c:v>
                  </c:pt>
                  <c:pt idx="78">
                    <c:v>2023_Q1</c:v>
                  </c:pt>
                  <c:pt idx="79">
                    <c:v>2023_Q1</c:v>
                  </c:pt>
                  <c:pt idx="80">
                    <c:v>2023_Q1</c:v>
                  </c:pt>
                  <c:pt idx="81">
                    <c:v>2023_Q1</c:v>
                  </c:pt>
                  <c:pt idx="82">
                    <c:v>2023_Q1</c:v>
                  </c:pt>
                  <c:pt idx="83">
                    <c:v>2023_Q1</c:v>
                  </c:pt>
                  <c:pt idx="84">
                    <c:v>2023_Q1</c:v>
                  </c:pt>
                  <c:pt idx="85">
                    <c:v>2023_Q1</c:v>
                  </c:pt>
                  <c:pt idx="86">
                    <c:v>2023_Q1</c:v>
                  </c:pt>
                  <c:pt idx="87">
                    <c:v>2023_Q1</c:v>
                  </c:pt>
                  <c:pt idx="88">
                    <c:v>2023_Q1</c:v>
                  </c:pt>
                  <c:pt idx="89">
                    <c:v>2023_Q1</c:v>
                  </c:pt>
                  <c:pt idx="90">
                    <c:v>2023_Q1</c:v>
                  </c:pt>
                  <c:pt idx="91">
                    <c:v>2023_Q1</c:v>
                  </c:pt>
                  <c:pt idx="92">
                    <c:v>2023_Q1</c:v>
                  </c:pt>
                  <c:pt idx="93">
                    <c:v>2023_Q1</c:v>
                  </c:pt>
                  <c:pt idx="94">
                    <c:v>2023_Q1</c:v>
                  </c:pt>
                  <c:pt idx="95">
                    <c:v>2023_Q1</c:v>
                  </c:pt>
                  <c:pt idx="96">
                    <c:v>2023_Q1</c:v>
                  </c:pt>
                  <c:pt idx="97">
                    <c:v>2023_Q1</c:v>
                  </c:pt>
                  <c:pt idx="98">
                    <c:v>2023_Q1</c:v>
                  </c:pt>
                  <c:pt idx="99">
                    <c:v>2023_Q1</c:v>
                  </c:pt>
                  <c:pt idx="100">
                    <c:v>2023_Q1</c:v>
                  </c:pt>
                  <c:pt idx="101">
                    <c:v>2023_Q1</c:v>
                  </c:pt>
                  <c:pt idx="102">
                    <c:v>2023_Q1</c:v>
                  </c:pt>
                  <c:pt idx="103">
                    <c:v>2023_Q1</c:v>
                  </c:pt>
                  <c:pt idx="104">
                    <c:v>2023_Q1</c:v>
                  </c:pt>
                  <c:pt idx="105">
                    <c:v>2023_Q1</c:v>
                  </c:pt>
                  <c:pt idx="106">
                    <c:v>2023_Q1</c:v>
                  </c:pt>
                  <c:pt idx="107">
                    <c:v>2023_Q1</c:v>
                  </c:pt>
                  <c:pt idx="108">
                    <c:v>2023_Q1</c:v>
                  </c:pt>
                  <c:pt idx="109">
                    <c:v>2023_Q1</c:v>
                  </c:pt>
                  <c:pt idx="110">
                    <c:v>2023_Q1</c:v>
                  </c:pt>
                  <c:pt idx="111">
                    <c:v>2023_Q1</c:v>
                  </c:pt>
                  <c:pt idx="112">
                    <c:v>2023_Q1</c:v>
                  </c:pt>
                  <c:pt idx="113">
                    <c:v>2023_Q1</c:v>
                  </c:pt>
                  <c:pt idx="114">
                    <c:v>2023_Q1</c:v>
                  </c:pt>
                  <c:pt idx="115">
                    <c:v>2023_Q1</c:v>
                  </c:pt>
                  <c:pt idx="116">
                    <c:v>2023_Q1</c:v>
                  </c:pt>
                  <c:pt idx="117">
                    <c:v>2023_Q1</c:v>
                  </c:pt>
                  <c:pt idx="118">
                    <c:v>2023_Q1</c:v>
                  </c:pt>
                  <c:pt idx="119">
                    <c:v>2023_Q1</c:v>
                  </c:pt>
                  <c:pt idx="120">
                    <c:v>2023_Q1</c:v>
                  </c:pt>
                  <c:pt idx="121">
                    <c:v>2023_Q1</c:v>
                  </c:pt>
                  <c:pt idx="122">
                    <c:v>2023_Q1</c:v>
                  </c:pt>
                  <c:pt idx="123">
                    <c:v>2023_Q1</c:v>
                  </c:pt>
                  <c:pt idx="124">
                    <c:v>2023_Q1</c:v>
                  </c:pt>
                  <c:pt idx="125">
                    <c:v>2023_Q1</c:v>
                  </c:pt>
                  <c:pt idx="126">
                    <c:v>2023_Q1</c:v>
                  </c:pt>
                  <c:pt idx="127">
                    <c:v>2023_Q1</c:v>
                  </c:pt>
                  <c:pt idx="128">
                    <c:v>2023_Q1</c:v>
                  </c:pt>
                  <c:pt idx="129">
                    <c:v>2023_Q1</c:v>
                  </c:pt>
                  <c:pt idx="130">
                    <c:v>2023_Q1</c:v>
                  </c:pt>
                  <c:pt idx="131">
                    <c:v>2023_Q1</c:v>
                  </c:pt>
                  <c:pt idx="132">
                    <c:v>2023_Q1</c:v>
                  </c:pt>
                  <c:pt idx="133">
                    <c:v>2023_Q1</c:v>
                  </c:pt>
                  <c:pt idx="134">
                    <c:v>2023_Q1</c:v>
                  </c:pt>
                  <c:pt idx="135">
                    <c:v>2023_Q1</c:v>
                  </c:pt>
                  <c:pt idx="136">
                    <c:v>2023_Q1</c:v>
                  </c:pt>
                  <c:pt idx="137">
                    <c:v>2023_Q1</c:v>
                  </c:pt>
                  <c:pt idx="138">
                    <c:v>2023_Q1</c:v>
                  </c:pt>
                  <c:pt idx="139">
                    <c:v>2023_Q1</c:v>
                  </c:pt>
                  <c:pt idx="140">
                    <c:v>2023_Q1</c:v>
                  </c:pt>
                  <c:pt idx="141">
                    <c:v>2023_Q1</c:v>
                  </c:pt>
                  <c:pt idx="142">
                    <c:v>2023_Q1</c:v>
                  </c:pt>
                  <c:pt idx="143">
                    <c:v>2023_Q1</c:v>
                  </c:pt>
                  <c:pt idx="144">
                    <c:v>2023_Q1</c:v>
                  </c:pt>
                  <c:pt idx="145">
                    <c:v>2023_Q1</c:v>
                  </c:pt>
                  <c:pt idx="146">
                    <c:v>2023_Q1</c:v>
                  </c:pt>
                  <c:pt idx="147">
                    <c:v>2023_Q1</c:v>
                  </c:pt>
                  <c:pt idx="148">
                    <c:v>2023_Q1</c:v>
                  </c:pt>
                  <c:pt idx="149">
                    <c:v>2023_Q1</c:v>
                  </c:pt>
                  <c:pt idx="150">
                    <c:v>2023_Q1</c:v>
                  </c:pt>
                  <c:pt idx="151">
                    <c:v>2023_Q1</c:v>
                  </c:pt>
                  <c:pt idx="152">
                    <c:v>2023_Q1</c:v>
                  </c:pt>
                  <c:pt idx="153">
                    <c:v>2023_Q1</c:v>
                  </c:pt>
                  <c:pt idx="154">
                    <c:v>2023_Q1</c:v>
                  </c:pt>
                  <c:pt idx="155">
                    <c:v>2023_Q1</c:v>
                  </c:pt>
                  <c:pt idx="156">
                    <c:v>2023_Q1</c:v>
                  </c:pt>
                  <c:pt idx="157">
                    <c:v>2023_Q1</c:v>
                  </c:pt>
                  <c:pt idx="158">
                    <c:v>2023_Q1</c:v>
                  </c:pt>
                  <c:pt idx="159">
                    <c:v>2023_Q1</c:v>
                  </c:pt>
                  <c:pt idx="160">
                    <c:v>2023_Q1</c:v>
                  </c:pt>
                  <c:pt idx="161">
                    <c:v>2023_Q1</c:v>
                  </c:pt>
                  <c:pt idx="162">
                    <c:v>2023_Q1</c:v>
                  </c:pt>
                  <c:pt idx="163">
                    <c:v>2023_Q1</c:v>
                  </c:pt>
                  <c:pt idx="164">
                    <c:v>2023_Q1</c:v>
                  </c:pt>
                  <c:pt idx="165">
                    <c:v>2023_Q1</c:v>
                  </c:pt>
                  <c:pt idx="166">
                    <c:v>2023_Q1</c:v>
                  </c:pt>
                  <c:pt idx="167">
                    <c:v>2023_Q1</c:v>
                  </c:pt>
                  <c:pt idx="168">
                    <c:v>2023_Q1</c:v>
                  </c:pt>
                  <c:pt idx="169">
                    <c:v>2023_Q1</c:v>
                  </c:pt>
                  <c:pt idx="170">
                    <c:v>2023_Q1</c:v>
                  </c:pt>
                  <c:pt idx="171">
                    <c:v>2023_Q1</c:v>
                  </c:pt>
                  <c:pt idx="172">
                    <c:v>2023_Q1</c:v>
                  </c:pt>
                  <c:pt idx="173">
                    <c:v>2023_Q1</c:v>
                  </c:pt>
                  <c:pt idx="174">
                    <c:v>2023_Q1</c:v>
                  </c:pt>
                  <c:pt idx="175">
                    <c:v>2023_Q1</c:v>
                  </c:pt>
                  <c:pt idx="176">
                    <c:v>2023_Q1</c:v>
                  </c:pt>
                  <c:pt idx="177">
                    <c:v>2023_Q1</c:v>
                  </c:pt>
                  <c:pt idx="178">
                    <c:v>2023_Q1</c:v>
                  </c:pt>
                  <c:pt idx="179">
                    <c:v>2023_Q1</c:v>
                  </c:pt>
                  <c:pt idx="180">
                    <c:v>2023_Q1</c:v>
                  </c:pt>
                  <c:pt idx="181">
                    <c:v>2023_Q1</c:v>
                  </c:pt>
                  <c:pt idx="182">
                    <c:v>2023_Q1</c:v>
                  </c:pt>
                  <c:pt idx="183">
                    <c:v>2023_Q1</c:v>
                  </c:pt>
                  <c:pt idx="184">
                    <c:v>2023_Q1</c:v>
                  </c:pt>
                  <c:pt idx="185">
                    <c:v>2023_Q1</c:v>
                  </c:pt>
                  <c:pt idx="186">
                    <c:v>2023_Q1</c:v>
                  </c:pt>
                  <c:pt idx="187">
                    <c:v>2023_Q1</c:v>
                  </c:pt>
                  <c:pt idx="188">
                    <c:v>2023_Q1</c:v>
                  </c:pt>
                  <c:pt idx="189">
                    <c:v>2023_Q1</c:v>
                  </c:pt>
                  <c:pt idx="190">
                    <c:v>2023_Q1</c:v>
                  </c:pt>
                  <c:pt idx="191">
                    <c:v>2023_Q1</c:v>
                  </c:pt>
                  <c:pt idx="192">
                    <c:v>2023_Q1</c:v>
                  </c:pt>
                  <c:pt idx="193">
                    <c:v>2023_Q1</c:v>
                  </c:pt>
                  <c:pt idx="194">
                    <c:v>2023_Q1</c:v>
                  </c:pt>
                  <c:pt idx="195">
                    <c:v>2023_Q1</c:v>
                  </c:pt>
                  <c:pt idx="196">
                    <c:v>2023_Q1</c:v>
                  </c:pt>
                  <c:pt idx="197">
                    <c:v>2023_Q1</c:v>
                  </c:pt>
                  <c:pt idx="198">
                    <c:v>2023_Q1</c:v>
                  </c:pt>
                  <c:pt idx="199">
                    <c:v>2023_Q1</c:v>
                  </c:pt>
                  <c:pt idx="200">
                    <c:v>2023_Q1</c:v>
                  </c:pt>
                  <c:pt idx="201">
                    <c:v>2023_Q1</c:v>
                  </c:pt>
                  <c:pt idx="202">
                    <c:v>2023_Q1</c:v>
                  </c:pt>
                  <c:pt idx="203">
                    <c:v>2023_Q1</c:v>
                  </c:pt>
                  <c:pt idx="204">
                    <c:v>2023_Q1</c:v>
                  </c:pt>
                  <c:pt idx="205">
                    <c:v>2023_Q1</c:v>
                  </c:pt>
                  <c:pt idx="206">
                    <c:v>2023_Q1</c:v>
                  </c:pt>
                  <c:pt idx="207">
                    <c:v>2023_Q1</c:v>
                  </c:pt>
                  <c:pt idx="208">
                    <c:v>2023_Q1</c:v>
                  </c:pt>
                  <c:pt idx="209">
                    <c:v>2023_Q1</c:v>
                  </c:pt>
                  <c:pt idx="210">
                    <c:v>2023_Q1</c:v>
                  </c:pt>
                  <c:pt idx="211">
                    <c:v>2023_Q1</c:v>
                  </c:pt>
                  <c:pt idx="212">
                    <c:v>2023_Q1</c:v>
                  </c:pt>
                </c:lvl>
                <c:lvl>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Chin Church, Seik Mu</c:v>
                  </c:pt>
                  <c:pt idx="9">
                    <c:v>Chipwi KBC camp</c:v>
                  </c:pt>
                  <c:pt idx="10">
                    <c:v>Dhama Rakhita, Nyein Chan Tar Yar Ward(Lon Khin)</c:v>
                  </c:pt>
                  <c:pt idx="11">
                    <c:v>Du Kahtawng Baptist</c:v>
                  </c:pt>
                  <c:pt idx="12">
                    <c:v>Dum Bung </c:v>
                  </c:pt>
                  <c:pt idx="13">
                    <c:v>Emmanuel AG Church</c:v>
                  </c:pt>
                  <c:pt idx="14">
                    <c:v>Galeng (Palaung) &amp; Kone Khem</c:v>
                  </c:pt>
                  <c:pt idx="15">
                    <c:v>Hka Shi</c:v>
                  </c:pt>
                  <c:pt idx="16">
                    <c:v>Hkat Cho </c:v>
                  </c:pt>
                  <c:pt idx="17">
                    <c:v>Hkau Shau (BP 12)</c:v>
                  </c:pt>
                  <c:pt idx="18">
                    <c:v>Hlaing Naung Baptist</c:v>
                  </c:pt>
                  <c:pt idx="19">
                    <c:v>Hpai Kawng</c:v>
                  </c:pt>
                  <c:pt idx="20">
                    <c:v>Hpakant Baptist Church, Nam Ma Hpit</c:v>
                  </c:pt>
                  <c:pt idx="21">
                    <c:v>Hpare Hkyer - BP6</c:v>
                  </c:pt>
                  <c:pt idx="22">
                    <c:v>Hpun Lum Yang </c:v>
                  </c:pt>
                  <c:pt idx="23">
                    <c:v>Htoi San Church</c:v>
                  </c:pt>
                  <c:pt idx="24">
                    <c:v>Hu Hku &amp; Ho Hko</c:v>
                  </c:pt>
                  <c:pt idx="25">
                    <c:v>IDP Boarding School, A Len Bum</c:v>
                  </c:pt>
                  <c:pt idx="26">
                    <c:v>Jan Mai Kawng Baptist Church</c:v>
                  </c:pt>
                  <c:pt idx="27">
                    <c:v>Jan Mai Kawng Catholic Church</c:v>
                  </c:pt>
                  <c:pt idx="28">
                    <c:v>Jaw Masat Camp</c:v>
                  </c:pt>
                  <c:pt idx="29">
                    <c:v>Je Yang Hka </c:v>
                  </c:pt>
                  <c:pt idx="30">
                    <c:v>Ka Bu Dam CoC</c:v>
                  </c:pt>
                  <c:pt idx="31">
                    <c:v>Kachin Su Baptist Church (ECCD)</c:v>
                  </c:pt>
                  <c:pt idx="32">
                    <c:v>Karmaing RC Church</c:v>
                  </c:pt>
                  <c:pt idx="33">
                    <c:v>Khar Nan (1) Baptist Church</c:v>
                  </c:pt>
                  <c:pt idx="34">
                    <c:v>Kutkai downtown (KBC Church)</c:v>
                  </c:pt>
                  <c:pt idx="35">
                    <c:v>Kutkai downtown (KBC Church-2)</c:v>
                  </c:pt>
                  <c:pt idx="36">
                    <c:v>Kyu Sot</c:v>
                  </c:pt>
                  <c:pt idx="37">
                    <c:v>Kyun Taw Baptist Church </c:v>
                  </c:pt>
                  <c:pt idx="38">
                    <c:v>Laiza Je Yang School</c:v>
                  </c:pt>
                  <c:pt idx="39">
                    <c:v>Lana Zup Ja</c:v>
                  </c:pt>
                  <c:pt idx="40">
                    <c:v>Lawng Hkang Shait Yang Camp​ ( Lel Pyin)​ </c:v>
                  </c:pt>
                  <c:pt idx="41">
                    <c:v>Le Kone Bethlehem Church</c:v>
                  </c:pt>
                  <c:pt idx="42">
                    <c:v>Le Kone Ziun Baptist Church </c:v>
                  </c:pt>
                  <c:pt idx="43">
                    <c:v>Lhaovao Baptist Church (LBC)</c:v>
                  </c:pt>
                  <c:pt idx="44">
                    <c:v>Lisu Baptist Church, Maw Shan Vil,. Seik Mu</c:v>
                  </c:pt>
                  <c:pt idx="45">
                    <c:v>Lisu Baptist Church, Maw Wan Ward</c:v>
                  </c:pt>
                  <c:pt idx="46">
                    <c:v>Lisu Boarding-House</c:v>
                  </c:pt>
                  <c:pt idx="47">
                    <c:v>Lisu Church Namtu</c:v>
                  </c:pt>
                  <c:pt idx="48">
                    <c:v>Loi Je Baptist Church</c:v>
                  </c:pt>
                  <c:pt idx="49">
                    <c:v>Loi Je Catholic Church</c:v>
                  </c:pt>
                  <c:pt idx="50">
                    <c:v>Loi Je Lisu Camp</c:v>
                  </c:pt>
                  <c:pt idx="51">
                    <c:v>Lone Khin Catholic Church</c:v>
                  </c:pt>
                  <c:pt idx="52">
                    <c:v>Ma Hawng Baptist Church</c:v>
                  </c:pt>
                  <c:pt idx="53">
                    <c:v>Mading Baptist Church</c:v>
                  </c:pt>
                  <c:pt idx="54">
                    <c:v>Maga Yang </c:v>
                  </c:pt>
                  <c:pt idx="55">
                    <c:v>Mai Yu Lay New (Ta'ang)</c:v>
                  </c:pt>
                  <c:pt idx="56">
                    <c:v>Maina AG Church</c:v>
                  </c:pt>
                  <c:pt idx="57">
                    <c:v>Maina Catholic Church (St. Joseph)</c:v>
                  </c:pt>
                  <c:pt idx="58">
                    <c:v>Maina KBC (Bawng Ring)</c:v>
                  </c:pt>
                  <c:pt idx="59">
                    <c:v>Maina Lawang Baptist Church</c:v>
                  </c:pt>
                  <c:pt idx="60">
                    <c:v>Maing Khaung</c:v>
                  </c:pt>
                  <c:pt idx="61">
                    <c:v>Maing Khaung Catholic Church</c:v>
                  </c:pt>
                  <c:pt idx="62">
                    <c:v>Maliyang Baptist Church</c:v>
                  </c:pt>
                  <c:pt idx="63">
                    <c:v>Man Bung Catholic compound</c:v>
                  </c:pt>
                  <c:pt idx="64">
                    <c:v>Man Bung Edin Baptist Church</c:v>
                  </c:pt>
                  <c:pt idx="65">
                    <c:v>Man Hkring Baptist Church</c:v>
                  </c:pt>
                  <c:pt idx="66">
                    <c:v>Man Kaung/Naung Ti Kyar Village</c:v>
                  </c:pt>
                  <c:pt idx="67">
                    <c:v>Man Loi</c:v>
                  </c:pt>
                  <c:pt idx="68">
                    <c:v>Man Wing Baptist Church</c:v>
                  </c:pt>
                  <c:pt idx="69">
                    <c:v>Man Wing Baptist Church Cultural Compound</c:v>
                  </c:pt>
                  <c:pt idx="70">
                    <c:v>Man Wing Catholic Church</c:v>
                  </c:pt>
                  <c:pt idx="71">
                    <c:v>Man Wing Catholic Church II</c:v>
                  </c:pt>
                  <c:pt idx="72">
                    <c:v>Mandung - Jinghpaw</c:v>
                  </c:pt>
                  <c:pt idx="73">
                    <c:v>Mandung - RC</c:v>
                  </c:pt>
                  <c:pt idx="74">
                    <c:v>Mansi Baptist Church</c:v>
                  </c:pt>
                  <c:pt idx="75">
                    <c:v>Maw Hpawng Hka Nan Baptist Church</c:v>
                  </c:pt>
                  <c:pt idx="76">
                    <c:v>Maw Hpawng Lhaovo Baptist Church</c:v>
                  </c:pt>
                  <c:pt idx="77">
                    <c:v>Maw Wan, Mu-yin Baptist Church</c:v>
                  </c:pt>
                  <c:pt idx="78">
                    <c:v>Mine Yu Lay village ( Old)</c:v>
                  </c:pt>
                  <c:pt idx="79">
                    <c:v>Momauk Baptist Church</c:v>
                  </c:pt>
                  <c:pt idx="80">
                    <c:v>Mung Hawm </c:v>
                  </c:pt>
                  <c:pt idx="81">
                    <c:v>Muyin church (Aung Yar pre-school compound)</c:v>
                  </c:pt>
                  <c:pt idx="82">
                    <c:v>Nam Hkam - Nay Win Ni (Palawng)</c:v>
                  </c:pt>
                  <c:pt idx="83">
                    <c:v>Nam Hkam (KBC Jaw Wang)</c:v>
                  </c:pt>
                  <c:pt idx="84">
                    <c:v>Nam Hkam (KBC Jaw Wang) II</c:v>
                  </c:pt>
                  <c:pt idx="85">
                    <c:v>Nam Hkam Catholic Church ( St. Thomas I)</c:v>
                  </c:pt>
                  <c:pt idx="86">
                    <c:v>Nam Hpak Ka Mare </c:v>
                  </c:pt>
                  <c:pt idx="87">
                    <c:v>Nam Hpak Ka Ta'ang ( Aung Tha Pyay)</c:v>
                  </c:pt>
                  <c:pt idx="88">
                    <c:v>Nam Ma Phyit, COC</c:v>
                  </c:pt>
                  <c:pt idx="89">
                    <c:v>Nam Sa Larp</c:v>
                  </c:pt>
                  <c:pt idx="90">
                    <c:v>Nam Tu Baptist</c:v>
                  </c:pt>
                  <c:pt idx="91">
                    <c:v>Namti Labraw Yang KBC Camp</c:v>
                  </c:pt>
                  <c:pt idx="92">
                    <c:v>Nan Kway St. John Catholic Church</c:v>
                  </c:pt>
                  <c:pt idx="93">
                    <c:v>Nant Ma Hpit Catholic Church</c:v>
                  </c:pt>
                  <c:pt idx="94">
                    <c:v>Nat Gyi Kone Baptist Church </c:v>
                  </c:pt>
                  <c:pt idx="95">
                    <c:v>Nawng Hee Village</c:v>
                  </c:pt>
                  <c:pt idx="96">
                    <c:v>Nawng Ing (Indawgyi) Baptist Church </c:v>
                  </c:pt>
                  <c:pt idx="97">
                    <c:v>Ndup Yang</c:v>
                  </c:pt>
                  <c:pt idx="98">
                    <c:v>New Pang Ku </c:v>
                  </c:pt>
                  <c:pt idx="99">
                    <c:v>Nhkawng Pa </c:v>
                  </c:pt>
                  <c:pt idx="100">
                    <c:v>Njang Dung Baptist Church </c:v>
                  </c:pt>
                  <c:pt idx="101">
                    <c:v>Nyaung Na Pin </c:v>
                  </c:pt>
                  <c:pt idx="102">
                    <c:v>Pa Dauk Myaing(Pa La Na)</c:v>
                  </c:pt>
                  <c:pt idx="103">
                    <c:v>Pa Dauk Myaing(Pa La Na)-II</c:v>
                  </c:pt>
                  <c:pt idx="104">
                    <c:v>Pa Kahtawng </c:v>
                  </c:pt>
                  <c:pt idx="105">
                    <c:v>Pajau - Jan Mai</c:v>
                  </c:pt>
                  <c:pt idx="106">
                    <c:v>Pan Law</c:v>
                  </c:pt>
                  <c:pt idx="107">
                    <c:v>Pang Hkawn Yang</c:v>
                  </c:pt>
                  <c:pt idx="108">
                    <c:v>Phan Khar Kone</c:v>
                  </c:pt>
                  <c:pt idx="109">
                    <c:v>Qtr. 2 Lhaovo Baptist Church</c:v>
                  </c:pt>
                  <c:pt idx="110">
                    <c:v>Qtr. 2 Myoma Baptist Church</c:v>
                  </c:pt>
                  <c:pt idx="111">
                    <c:v>Rawan Baptist Church, Maw Shan Vil., Seik Mu</c:v>
                  </c:pt>
                  <c:pt idx="112">
                    <c:v>Robert Church</c:v>
                  </c:pt>
                  <c:pt idx="113">
                    <c:v>Sadung</c:v>
                  </c:pt>
                  <c:pt idx="114">
                    <c:v>Salang Yang</c:v>
                  </c:pt>
                  <c:pt idx="115">
                    <c:v>Sar Hmaw - KBC</c:v>
                  </c:pt>
                  <c:pt idx="116">
                    <c:v>Seng Ja </c:v>
                  </c:pt>
                  <c:pt idx="117">
                    <c:v>Sha-It Yang</c:v>
                  </c:pt>
                  <c:pt idx="118">
                    <c:v>Shar Du Zut KBC church </c:v>
                  </c:pt>
                  <c:pt idx="119">
                    <c:v>Shatapru Sut Ngai Tawng</c:v>
                  </c:pt>
                  <c:pt idx="120">
                    <c:v>Shatapru Thida Aye Baptist Church</c:v>
                  </c:pt>
                  <c:pt idx="121">
                    <c:v>Shing Jai</c:v>
                  </c:pt>
                  <c:pt idx="122">
                    <c:v>Shwe Gu Baptist Church</c:v>
                  </c:pt>
                  <c:pt idx="123">
                    <c:v>Shwe Gu Catholic Church</c:v>
                  </c:pt>
                  <c:pt idx="124">
                    <c:v>Shwe Zet Baptist Church</c:v>
                  </c:pt>
                  <c:pt idx="125">
                    <c:v>St. Joseph Tanai RC camp </c:v>
                  </c:pt>
                  <c:pt idx="126">
                    <c:v>Tanai CoC</c:v>
                  </c:pt>
                  <c:pt idx="127">
                    <c:v>Tanai KBC Camp</c:v>
                  </c:pt>
                  <c:pt idx="128">
                    <c:v>Tat Kone Baptist Church</c:v>
                  </c:pt>
                  <c:pt idx="129">
                    <c:v>Tat Kone COC Baptist - Tat Kone Htoi San</c:v>
                  </c:pt>
                  <c:pt idx="130">
                    <c:v>Tat Kone Galile Baptist Church</c:v>
                  </c:pt>
                  <c:pt idx="131">
                    <c:v>Tat Kone San Pya Baptist Church</c:v>
                  </c:pt>
                  <c:pt idx="132">
                    <c:v>Thargaya Lisu Baptist Church</c:v>
                  </c:pt>
                  <c:pt idx="133">
                    <c:v>Trinity Camp</c:v>
                  </c:pt>
                  <c:pt idx="134">
                    <c:v>Tsan Lun - Namjarap</c:v>
                  </c:pt>
                  <c:pt idx="135">
                    <c:v>Waimaw Baptist Zonal Office 2</c:v>
                  </c:pt>
                  <c:pt idx="136">
                    <c:v>Waingmaw AG Church</c:v>
                  </c:pt>
                  <c:pt idx="137">
                    <c:v>Ward 2 Sai Taung Baptist Church, Seik Mu </c:v>
                  </c:pt>
                  <c:pt idx="138">
                    <c:v>Woi Chyai </c:v>
                  </c:pt>
                  <c:pt idx="139">
                    <c:v>Woi Chyai (Mong Lai)</c:v>
                  </c:pt>
                  <c:pt idx="140">
                    <c:v>Woi Chyai host families</c:v>
                  </c:pt>
                  <c:pt idx="141">
                    <c:v>Yumar Baptist Church</c:v>
                  </c:pt>
                  <c:pt idx="142">
                    <c:v>Zup Aung Camp</c:v>
                  </c:pt>
                  <c:pt idx="143">
                    <c:v>Hka Garan Yang </c:v>
                  </c:pt>
                  <c:pt idx="144">
                    <c:v>Htang Nya </c:v>
                  </c:pt>
                  <c:pt idx="145">
                    <c:v>Enai (Man Pyein)</c:v>
                  </c:pt>
                  <c:pt idx="146">
                    <c:v>Momauk IDP new extension camp (Kye Nan)</c:v>
                  </c:pt>
                  <c:pt idx="147">
                    <c:v>Sector 5 Pammati Quarter</c:v>
                  </c:pt>
                  <c:pt idx="148">
                    <c:v>Namatee Kan Hla AG</c:v>
                  </c:pt>
                  <c:pt idx="149">
                    <c:v>His Aw (Chyu Fan) </c:v>
                  </c:pt>
                  <c:pt idx="150">
                    <c:v>Shwe Sin (Ward 3) </c:v>
                  </c:pt>
                  <c:pt idx="151">
                    <c:v>Bum Ra Yang Camp </c:v>
                  </c:pt>
                  <c:pt idx="152">
                    <c:v>Mang Nawng Kawng (host)</c:v>
                  </c:pt>
                  <c:pt idx="153">
                    <c:v>Kyaukme Town (host)</c:v>
                  </c:pt>
                  <c:pt idx="154">
                    <c:v>Nam Hlaing Extension Ward camp</c:v>
                  </c:pt>
                  <c:pt idx="155">
                    <c:v>Naung Tar Law (Kyet Chan) </c:v>
                  </c:pt>
                  <c:pt idx="156">
                    <c:v>Waingmaw St.Joseph RC Church</c:v>
                  </c:pt>
                  <c:pt idx="157">
                    <c:v>Phaug Nhae Camp</c:v>
                  </c:pt>
                  <c:pt idx="158">
                    <c:v>Ding Jang Yang (1)</c:v>
                  </c:pt>
                  <c:pt idx="159">
                    <c:v>Ding Jang Yang (2)</c:v>
                  </c:pt>
                  <c:pt idx="160">
                    <c:v>Yi Hku Man Hkan </c:v>
                  </c:pt>
                  <c:pt idx="161">
                    <c:v>Maina Relocation Site</c:v>
                  </c:pt>
                  <c:pt idx="162">
                    <c:v>Lin Hao chun </c:v>
                  </c:pt>
                  <c:pt idx="163">
                    <c:v>Pyi Htaung Su</c:v>
                  </c:pt>
                  <c:pt idx="164">
                    <c:v>Momauk KBC church</c:v>
                  </c:pt>
                  <c:pt idx="165">
                    <c:v>St.Francis RCC 1</c:v>
                  </c:pt>
                  <c:pt idx="166">
                    <c:v>St.Francis RCC 2</c:v>
                  </c:pt>
                  <c:pt idx="167">
                    <c:v>Bang Yang Hka (Mung Ji Pa)-relocated</c:v>
                  </c:pt>
                  <c:pt idx="168">
                    <c:v>Galeng Zup Awng ward 5 RC</c:v>
                  </c:pt>
                  <c:pt idx="169">
                    <c:v>Man Wing- IDPs in Host</c:v>
                  </c:pt>
                  <c:pt idx="170">
                    <c:v>(3 mile) Shwe Pyi Tar (SLCA)</c:v>
                  </c:pt>
                  <c:pt idx="171">
                    <c:v>Bhamo- IDPs in Host </c:v>
                  </c:pt>
                  <c:pt idx="172">
                    <c:v>St.Columban lone Khin camp</c:v>
                  </c:pt>
                  <c:pt idx="173">
                    <c:v>Mansi- IDPs in Host</c:v>
                  </c:pt>
                  <c:pt idx="174">
                    <c:v>Hopin -IDPs in Host</c:v>
                  </c:pt>
                  <c:pt idx="175">
                    <c:v>Moenyin- IDPs in Host</c:v>
                  </c:pt>
                  <c:pt idx="176">
                    <c:v>Momauk-IDPs in Host</c:v>
                  </c:pt>
                  <c:pt idx="177">
                    <c:v>Myo Thit -IDP in Host</c:v>
                  </c:pt>
                  <c:pt idx="178">
                    <c:v>Saint Matthew (Shin ma ti-sitapru) camp</c:v>
                  </c:pt>
                  <c:pt idx="179">
                    <c:v>Na ru Kawng (Post 6 camp)</c:v>
                  </c:pt>
                  <c:pt idx="180">
                    <c:v>Man Pint community Hall </c:v>
                  </c:pt>
                  <c:pt idx="181">
                    <c:v>Mong Tin High School</c:v>
                  </c:pt>
                  <c:pt idx="182">
                    <c:v>Nar Mun Primary School</c:v>
                  </c:pt>
                  <c:pt idx="183">
                    <c:v>SLCA Building Compound (Kyaukme town)</c:v>
                  </c:pt>
                  <c:pt idx="184">
                    <c:v>SLCA Building Compound (Moungnawt town)</c:v>
                  </c:pt>
                  <c:pt idx="185">
                    <c:v>Theravada Monastery </c:v>
                  </c:pt>
                  <c:pt idx="186">
                    <c:v>Hseng Ja-Relocated</c:v>
                  </c:pt>
                  <c:pt idx="187">
                    <c:v>Maina Mu-yin  Baptist Church</c:v>
                  </c:pt>
                  <c:pt idx="188">
                    <c:v>LCC UM Camp Hka Shi</c:v>
                  </c:pt>
                  <c:pt idx="189">
                    <c:v>Lisu Ethnic Youth Development Center </c:v>
                  </c:pt>
                  <c:pt idx="190">
                    <c:v>Nbang Yang camp </c:v>
                  </c:pt>
                  <c:pt idx="191">
                    <c:v>Rawang Baptist Church</c:v>
                  </c:pt>
                  <c:pt idx="192">
                    <c:v>Sut Ngai yang camp </c:v>
                  </c:pt>
                  <c:pt idx="193">
                    <c:v>Sadung KBC</c:v>
                  </c:pt>
                  <c:pt idx="194">
                    <c:v>Sana Lisu Baptist Church (DTC)</c:v>
                  </c:pt>
                  <c:pt idx="195">
                    <c:v>Sutaung Taung Chae</c:v>
                  </c:pt>
                  <c:pt idx="196">
                    <c:v>Mohnyin IDP in host (2)</c:v>
                  </c:pt>
                  <c:pt idx="197">
                    <c:v>Wuyan Lisu (KLCC) </c:v>
                  </c:pt>
                  <c:pt idx="198">
                    <c:v>Lisu Church</c:v>
                  </c:pt>
                  <c:pt idx="199">
                    <c:v>Chinese Baptist Church Compound(Oak Hpo)</c:v>
                  </c:pt>
                  <c:pt idx="200">
                    <c:v>Farmland(Kyay Zu Taw)</c:v>
                  </c:pt>
                  <c:pt idx="201">
                    <c:v>Pong Mun School</c:v>
                  </c:pt>
                  <c:pt idx="202">
                    <c:v>Hka San Baptist church </c:v>
                  </c:pt>
                  <c:pt idx="203">
                    <c:v>Ward 3 </c:v>
                  </c:pt>
                  <c:pt idx="204">
                    <c:v>Sun Lon monastery </c:v>
                  </c:pt>
                  <c:pt idx="205">
                    <c:v>Farmland(Kaung Kye Peik)</c:v>
                  </c:pt>
                  <c:pt idx="206">
                    <c:v>Kaung Nyaung Ywar Thit (Ho Piek gyi)</c:v>
                  </c:pt>
                  <c:pt idx="207">
                    <c:v>Ward 5 &amp; 9</c:v>
                  </c:pt>
                  <c:pt idx="208">
                    <c:v>Kan Long </c:v>
                  </c:pt>
                  <c:pt idx="209">
                    <c:v>Chicken Farm </c:v>
                  </c:pt>
                  <c:pt idx="210">
                    <c:v>KBC Church </c:v>
                  </c:pt>
                  <c:pt idx="211">
                    <c:v>New Nant  Hlaing camp</c:v>
                  </c:pt>
                  <c:pt idx="212">
                    <c:v>Shan Culutre camp</c:v>
                  </c:pt>
                </c:lvl>
              </c:multiLvlStrCache>
            </c:multiLvlStrRef>
          </c:cat>
          <c:val>
            <c:numRef>
              <c:f>'Tracking Dashboard'!$P$5:$P$431</c:f>
              <c:numCache>
                <c:formatCode>General</c:formatCode>
                <c:ptCount val="213"/>
                <c:pt idx="0">
                  <c:v>715</c:v>
                </c:pt>
                <c:pt idx="1">
                  <c:v>446</c:v>
                </c:pt>
                <c:pt idx="2">
                  <c:v>70</c:v>
                </c:pt>
                <c:pt idx="3">
                  <c:v>502</c:v>
                </c:pt>
                <c:pt idx="4">
                  <c:v>222</c:v>
                </c:pt>
                <c:pt idx="5">
                  <c:v>249</c:v>
                </c:pt>
                <c:pt idx="6">
                  <c:v>405</c:v>
                </c:pt>
                <c:pt idx="7">
                  <c:v>1900</c:v>
                </c:pt>
                <c:pt idx="8">
                  <c:v>0</c:v>
                </c:pt>
                <c:pt idx="9">
                  <c:v>704</c:v>
                </c:pt>
                <c:pt idx="10">
                  <c:v>451</c:v>
                </c:pt>
                <c:pt idx="11">
                  <c:v>198</c:v>
                </c:pt>
                <c:pt idx="12">
                  <c:v>404</c:v>
                </c:pt>
                <c:pt idx="13">
                  <c:v>0</c:v>
                </c:pt>
                <c:pt idx="14">
                  <c:v>439</c:v>
                </c:pt>
                <c:pt idx="15">
                  <c:v>381</c:v>
                </c:pt>
                <c:pt idx="16">
                  <c:v>0</c:v>
                </c:pt>
                <c:pt idx="17">
                  <c:v>856</c:v>
                </c:pt>
                <c:pt idx="18">
                  <c:v>128</c:v>
                </c:pt>
                <c:pt idx="19">
                  <c:v>1200</c:v>
                </c:pt>
                <c:pt idx="20">
                  <c:v>471</c:v>
                </c:pt>
                <c:pt idx="21">
                  <c:v>0</c:v>
                </c:pt>
                <c:pt idx="22">
                  <c:v>1933.3333333333335</c:v>
                </c:pt>
                <c:pt idx="23">
                  <c:v>226</c:v>
                </c:pt>
                <c:pt idx="24">
                  <c:v>130</c:v>
                </c:pt>
                <c:pt idx="25">
                  <c:v>533.33333333333337</c:v>
                </c:pt>
                <c:pt idx="26">
                  <c:v>742</c:v>
                </c:pt>
                <c:pt idx="27">
                  <c:v>278</c:v>
                </c:pt>
                <c:pt idx="28">
                  <c:v>661</c:v>
                </c:pt>
                <c:pt idx="29">
                  <c:v>2750</c:v>
                </c:pt>
                <c:pt idx="30">
                  <c:v>62</c:v>
                </c:pt>
                <c:pt idx="31">
                  <c:v>57</c:v>
                </c:pt>
                <c:pt idx="32">
                  <c:v>52</c:v>
                </c:pt>
                <c:pt idx="33">
                  <c:v>263</c:v>
                </c:pt>
                <c:pt idx="34">
                  <c:v>244</c:v>
                </c:pt>
                <c:pt idx="35">
                  <c:v>180</c:v>
                </c:pt>
                <c:pt idx="36">
                  <c:v>270</c:v>
                </c:pt>
                <c:pt idx="37">
                  <c:v>74</c:v>
                </c:pt>
                <c:pt idx="38">
                  <c:v>500</c:v>
                </c:pt>
                <c:pt idx="39">
                  <c:v>1850</c:v>
                </c:pt>
                <c:pt idx="40">
                  <c:v>634</c:v>
                </c:pt>
                <c:pt idx="41">
                  <c:v>678</c:v>
                </c:pt>
                <c:pt idx="42">
                  <c:v>640</c:v>
                </c:pt>
                <c:pt idx="43">
                  <c:v>885</c:v>
                </c:pt>
                <c:pt idx="44">
                  <c:v>107</c:v>
                </c:pt>
                <c:pt idx="45">
                  <c:v>56</c:v>
                </c:pt>
                <c:pt idx="46">
                  <c:v>774</c:v>
                </c:pt>
                <c:pt idx="47">
                  <c:v>127</c:v>
                </c:pt>
                <c:pt idx="48">
                  <c:v>255</c:v>
                </c:pt>
                <c:pt idx="49">
                  <c:v>426</c:v>
                </c:pt>
                <c:pt idx="50">
                  <c:v>1422</c:v>
                </c:pt>
                <c:pt idx="51">
                  <c:v>400</c:v>
                </c:pt>
                <c:pt idx="52">
                  <c:v>76</c:v>
                </c:pt>
                <c:pt idx="53">
                  <c:v>140</c:v>
                </c:pt>
                <c:pt idx="54">
                  <c:v>400</c:v>
                </c:pt>
                <c:pt idx="55">
                  <c:v>502</c:v>
                </c:pt>
                <c:pt idx="56">
                  <c:v>1900</c:v>
                </c:pt>
                <c:pt idx="57">
                  <c:v>1189</c:v>
                </c:pt>
                <c:pt idx="58">
                  <c:v>2973</c:v>
                </c:pt>
                <c:pt idx="59">
                  <c:v>198</c:v>
                </c:pt>
                <c:pt idx="60">
                  <c:v>899.99999999999989</c:v>
                </c:pt>
                <c:pt idx="61">
                  <c:v>694</c:v>
                </c:pt>
                <c:pt idx="62">
                  <c:v>322</c:v>
                </c:pt>
                <c:pt idx="63">
                  <c:v>741</c:v>
                </c:pt>
                <c:pt idx="64">
                  <c:v>512</c:v>
                </c:pt>
                <c:pt idx="65">
                  <c:v>506</c:v>
                </c:pt>
                <c:pt idx="66">
                  <c:v>0</c:v>
                </c:pt>
                <c:pt idx="67">
                  <c:v>104</c:v>
                </c:pt>
                <c:pt idx="68">
                  <c:v>655</c:v>
                </c:pt>
                <c:pt idx="69">
                  <c:v>538</c:v>
                </c:pt>
                <c:pt idx="70">
                  <c:v>1366.6666666666667</c:v>
                </c:pt>
                <c:pt idx="71">
                  <c:v>737</c:v>
                </c:pt>
                <c:pt idx="72">
                  <c:v>125</c:v>
                </c:pt>
                <c:pt idx="73">
                  <c:v>157</c:v>
                </c:pt>
                <c:pt idx="74">
                  <c:v>789</c:v>
                </c:pt>
                <c:pt idx="75">
                  <c:v>82</c:v>
                </c:pt>
                <c:pt idx="76">
                  <c:v>78</c:v>
                </c:pt>
                <c:pt idx="77">
                  <c:v>15</c:v>
                </c:pt>
                <c:pt idx="78">
                  <c:v>251</c:v>
                </c:pt>
                <c:pt idx="79">
                  <c:v>424</c:v>
                </c:pt>
                <c:pt idx="80">
                  <c:v>176</c:v>
                </c:pt>
                <c:pt idx="81">
                  <c:v>105</c:v>
                </c:pt>
                <c:pt idx="82">
                  <c:v>396</c:v>
                </c:pt>
                <c:pt idx="83">
                  <c:v>323</c:v>
                </c:pt>
                <c:pt idx="84">
                  <c:v>31</c:v>
                </c:pt>
                <c:pt idx="85">
                  <c:v>213</c:v>
                </c:pt>
                <c:pt idx="86">
                  <c:v>250</c:v>
                </c:pt>
                <c:pt idx="87">
                  <c:v>158</c:v>
                </c:pt>
                <c:pt idx="88">
                  <c:v>24</c:v>
                </c:pt>
                <c:pt idx="89">
                  <c:v>206</c:v>
                </c:pt>
                <c:pt idx="90">
                  <c:v>141</c:v>
                </c:pt>
                <c:pt idx="91">
                  <c:v>607</c:v>
                </c:pt>
                <c:pt idx="92">
                  <c:v>274</c:v>
                </c:pt>
                <c:pt idx="93">
                  <c:v>228</c:v>
                </c:pt>
                <c:pt idx="94">
                  <c:v>51</c:v>
                </c:pt>
                <c:pt idx="95">
                  <c:v>86</c:v>
                </c:pt>
                <c:pt idx="96">
                  <c:v>127</c:v>
                </c:pt>
                <c:pt idx="97">
                  <c:v>673</c:v>
                </c:pt>
                <c:pt idx="98">
                  <c:v>533.33333333333337</c:v>
                </c:pt>
                <c:pt idx="99">
                  <c:v>1500</c:v>
                </c:pt>
                <c:pt idx="100">
                  <c:v>320</c:v>
                </c:pt>
                <c:pt idx="101">
                  <c:v>297</c:v>
                </c:pt>
                <c:pt idx="102">
                  <c:v>948</c:v>
                </c:pt>
                <c:pt idx="103">
                  <c:v>1213</c:v>
                </c:pt>
                <c:pt idx="104">
                  <c:v>250</c:v>
                </c:pt>
                <c:pt idx="105">
                  <c:v>1059</c:v>
                </c:pt>
                <c:pt idx="106">
                  <c:v>221</c:v>
                </c:pt>
                <c:pt idx="107">
                  <c:v>1397</c:v>
                </c:pt>
                <c:pt idx="108">
                  <c:v>334</c:v>
                </c:pt>
                <c:pt idx="109">
                  <c:v>298</c:v>
                </c:pt>
                <c:pt idx="110">
                  <c:v>193</c:v>
                </c:pt>
                <c:pt idx="111">
                  <c:v>72</c:v>
                </c:pt>
                <c:pt idx="112">
                  <c:v>3451</c:v>
                </c:pt>
                <c:pt idx="113">
                  <c:v>0</c:v>
                </c:pt>
                <c:pt idx="114">
                  <c:v>362</c:v>
                </c:pt>
                <c:pt idx="115">
                  <c:v>141</c:v>
                </c:pt>
                <c:pt idx="116">
                  <c:v>266</c:v>
                </c:pt>
                <c:pt idx="117">
                  <c:v>1438</c:v>
                </c:pt>
                <c:pt idx="118">
                  <c:v>116</c:v>
                </c:pt>
                <c:pt idx="119">
                  <c:v>595</c:v>
                </c:pt>
                <c:pt idx="120">
                  <c:v>101</c:v>
                </c:pt>
                <c:pt idx="121">
                  <c:v>0</c:v>
                </c:pt>
                <c:pt idx="122">
                  <c:v>300</c:v>
                </c:pt>
                <c:pt idx="123">
                  <c:v>182</c:v>
                </c:pt>
                <c:pt idx="124">
                  <c:v>629</c:v>
                </c:pt>
                <c:pt idx="125">
                  <c:v>628</c:v>
                </c:pt>
                <c:pt idx="126">
                  <c:v>174</c:v>
                </c:pt>
                <c:pt idx="127">
                  <c:v>413</c:v>
                </c:pt>
                <c:pt idx="128">
                  <c:v>543</c:v>
                </c:pt>
                <c:pt idx="129">
                  <c:v>268</c:v>
                </c:pt>
                <c:pt idx="130">
                  <c:v>169</c:v>
                </c:pt>
                <c:pt idx="131">
                  <c:v>241</c:v>
                </c:pt>
                <c:pt idx="132">
                  <c:v>186</c:v>
                </c:pt>
                <c:pt idx="133">
                  <c:v>973</c:v>
                </c:pt>
                <c:pt idx="134">
                  <c:v>195</c:v>
                </c:pt>
                <c:pt idx="135">
                  <c:v>253</c:v>
                </c:pt>
                <c:pt idx="136">
                  <c:v>319</c:v>
                </c:pt>
                <c:pt idx="137">
                  <c:v>133</c:v>
                </c:pt>
                <c:pt idx="138">
                  <c:v>733.33333333333337</c:v>
                </c:pt>
                <c:pt idx="139">
                  <c:v>66.666666666666671</c:v>
                </c:pt>
                <c:pt idx="140">
                  <c:v>0</c:v>
                </c:pt>
                <c:pt idx="141">
                  <c:v>66</c:v>
                </c:pt>
                <c:pt idx="142">
                  <c:v>1101</c:v>
                </c:pt>
                <c:pt idx="143">
                  <c:v>0</c:v>
                </c:pt>
                <c:pt idx="144">
                  <c:v>32</c:v>
                </c:pt>
                <c:pt idx="145">
                  <c:v>103</c:v>
                </c:pt>
                <c:pt idx="146">
                  <c:v>203</c:v>
                </c:pt>
                <c:pt idx="147">
                  <c:v>404</c:v>
                </c:pt>
                <c:pt idx="148">
                  <c:v>32</c:v>
                </c:pt>
                <c:pt idx="149">
                  <c:v>1600</c:v>
                </c:pt>
                <c:pt idx="150">
                  <c:v>0</c:v>
                </c:pt>
                <c:pt idx="151">
                  <c:v>591</c:v>
                </c:pt>
                <c:pt idx="152">
                  <c:v>0</c:v>
                </c:pt>
                <c:pt idx="153">
                  <c:v>0</c:v>
                </c:pt>
                <c:pt idx="154">
                  <c:v>160</c:v>
                </c:pt>
                <c:pt idx="155">
                  <c:v>0</c:v>
                </c:pt>
                <c:pt idx="156">
                  <c:v>0</c:v>
                </c:pt>
                <c:pt idx="157">
                  <c:v>0</c:v>
                </c:pt>
                <c:pt idx="158">
                  <c:v>0</c:v>
                </c:pt>
                <c:pt idx="159">
                  <c:v>0</c:v>
                </c:pt>
                <c:pt idx="160">
                  <c:v>0</c:v>
                </c:pt>
                <c:pt idx="161">
                  <c:v>0</c:v>
                </c:pt>
                <c:pt idx="162">
                  <c:v>0</c:v>
                </c:pt>
                <c:pt idx="163">
                  <c:v>0</c:v>
                </c:pt>
                <c:pt idx="164">
                  <c:v>800</c:v>
                </c:pt>
                <c:pt idx="165">
                  <c:v>275</c:v>
                </c:pt>
                <c:pt idx="166">
                  <c:v>430</c:v>
                </c:pt>
                <c:pt idx="167">
                  <c:v>0</c:v>
                </c:pt>
                <c:pt idx="168">
                  <c:v>132</c:v>
                </c:pt>
                <c:pt idx="169">
                  <c:v>544</c:v>
                </c:pt>
                <c:pt idx="170">
                  <c:v>0</c:v>
                </c:pt>
                <c:pt idx="171">
                  <c:v>0</c:v>
                </c:pt>
                <c:pt idx="172">
                  <c:v>0</c:v>
                </c:pt>
                <c:pt idx="173">
                  <c:v>0</c:v>
                </c:pt>
                <c:pt idx="174">
                  <c:v>0</c:v>
                </c:pt>
                <c:pt idx="175">
                  <c:v>0</c:v>
                </c:pt>
                <c:pt idx="176">
                  <c:v>0</c:v>
                </c:pt>
                <c:pt idx="177">
                  <c:v>0</c:v>
                </c:pt>
                <c:pt idx="178">
                  <c:v>94</c:v>
                </c:pt>
                <c:pt idx="179">
                  <c:v>344</c:v>
                </c:pt>
                <c:pt idx="180">
                  <c:v>0</c:v>
                </c:pt>
                <c:pt idx="181">
                  <c:v>0</c:v>
                </c:pt>
                <c:pt idx="182">
                  <c:v>0</c:v>
                </c:pt>
                <c:pt idx="183">
                  <c:v>179</c:v>
                </c:pt>
                <c:pt idx="184">
                  <c:v>26</c:v>
                </c:pt>
                <c:pt idx="185">
                  <c:v>0</c:v>
                </c:pt>
                <c:pt idx="186">
                  <c:v>77</c:v>
                </c:pt>
                <c:pt idx="187">
                  <c:v>221</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37</c:v>
                </c:pt>
                <c:pt idx="203">
                  <c:v>0</c:v>
                </c:pt>
                <c:pt idx="204">
                  <c:v>0</c:v>
                </c:pt>
                <c:pt idx="205">
                  <c:v>0</c:v>
                </c:pt>
                <c:pt idx="206">
                  <c:v>66.666666666666671</c:v>
                </c:pt>
                <c:pt idx="207">
                  <c:v>0</c:v>
                </c:pt>
                <c:pt idx="208">
                  <c:v>0</c:v>
                </c:pt>
                <c:pt idx="209">
                  <c:v>0</c:v>
                </c:pt>
                <c:pt idx="210">
                  <c:v>0</c:v>
                </c:pt>
                <c:pt idx="211">
                  <c:v>213</c:v>
                </c:pt>
                <c:pt idx="212">
                  <c:v>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Sagaing  Number of ppl Covered against 2023 HRP targets</a:t>
            </a:r>
            <a:endParaRPr lang="en-US">
              <a:effectLst/>
            </a:endParaRPr>
          </a:p>
        </c:rich>
      </c:tx>
      <c:layout>
        <c:manualLayout>
          <c:xMode val="edge"/>
          <c:yMode val="edge"/>
          <c:x val="3.4293983013922003E-2"/>
          <c:y val="1.991948523443671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49782009310741099"/>
          <c:y val="0.11094722523192269"/>
          <c:w val="0.46160848402580373"/>
          <c:h val="0.81301726552884035"/>
        </c:manualLayout>
      </c:layout>
      <c:barChart>
        <c:barDir val="bar"/>
        <c:grouping val="percentStacked"/>
        <c:varyColors val="0"/>
        <c:ser>
          <c:idx val="0"/>
          <c:order val="0"/>
          <c:tx>
            <c:strRef>
              <c:f>HRP!$S$254</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HRP!$Q$255:$Q$260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HRP!$S$255:$S$260</c:f>
              <c:numCache>
                <c:formatCode>_(* #,##0_);_(* \(#,##0\);_(* "-"??_);_(@_)</c:formatCode>
                <c:ptCount val="6"/>
                <c:pt idx="0">
                  <c:v>0</c:v>
                </c:pt>
                <c:pt idx="1">
                  <c:v>0</c:v>
                </c:pt>
                <c:pt idx="2">
                  <c:v>0</c:v>
                </c:pt>
                <c:pt idx="3">
                  <c:v>0</c:v>
                </c:pt>
                <c:pt idx="4">
                  <c:v>41140</c:v>
                </c:pt>
                <c:pt idx="5">
                  <c:v>34872</c:v>
                </c:pt>
              </c:numCache>
            </c:numRef>
          </c:val>
          <c:extLst>
            <c:ext xmlns:c16="http://schemas.microsoft.com/office/drawing/2014/chart" uri="{C3380CC4-5D6E-409C-BE32-E72D297353CC}">
              <c16:uniqueId val="{00000001-CAD5-4496-BE8A-D440D686860E}"/>
            </c:ext>
          </c:extLst>
        </c:ser>
        <c:ser>
          <c:idx val="1"/>
          <c:order val="1"/>
          <c:tx>
            <c:strRef>
              <c:f>HRP!$T$254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HRP!$Q$255:$Q$260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HRP!$T$255:$T$260</c:f>
              <c:numCache>
                <c:formatCode>_(* #,##0_);_(* \(#,##0\);_(* "-"??_);_(@_)</c:formatCode>
                <c:ptCount val="6"/>
                <c:pt idx="0">
                  <c:v>13989.675000000001</c:v>
                </c:pt>
                <c:pt idx="1">
                  <c:v>22383.48</c:v>
                </c:pt>
                <c:pt idx="2">
                  <c:v>31591.949800117298</c:v>
                </c:pt>
                <c:pt idx="3">
                  <c:v>352045.49600234587</c:v>
                </c:pt>
                <c:pt idx="4">
                  <c:v>132756.33800117296</c:v>
                </c:pt>
                <c:pt idx="5">
                  <c:v>139024.33800117296</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Magway Number of ppl Covered against 2023 HRP targets</a:t>
            </a:r>
            <a:endParaRPr lang="en-US">
              <a:effectLst/>
            </a:endParaRPr>
          </a:p>
        </c:rich>
      </c:tx>
      <c:layout>
        <c:manualLayout>
          <c:xMode val="edge"/>
          <c:yMode val="edge"/>
          <c:x val="2.8565226209462613E-2"/>
          <c:y val="1.112737281578186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HRP!$E$266</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HRP!$C$267:$C$272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HRP!$E$267:$E$272</c:f>
              <c:numCache>
                <c:formatCode>_(* #,##0_);_(* \(#,##0\);_(* "-"??_);_(@_)</c:formatCode>
                <c:ptCount val="6"/>
                <c:pt idx="0">
                  <c:v>0</c:v>
                </c:pt>
                <c:pt idx="1">
                  <c:v>0</c:v>
                </c:pt>
                <c:pt idx="2">
                  <c:v>0</c:v>
                </c:pt>
                <c:pt idx="3">
                  <c:v>2656</c:v>
                </c:pt>
                <c:pt idx="4">
                  <c:v>2667</c:v>
                </c:pt>
                <c:pt idx="5">
                  <c:v>2000</c:v>
                </c:pt>
              </c:numCache>
            </c:numRef>
          </c:val>
          <c:extLst>
            <c:ext xmlns:c16="http://schemas.microsoft.com/office/drawing/2014/chart" uri="{C3380CC4-5D6E-409C-BE32-E72D297353CC}">
              <c16:uniqueId val="{00000001-CAD5-4496-BE8A-D440D686860E}"/>
            </c:ext>
          </c:extLst>
        </c:ser>
        <c:ser>
          <c:idx val="1"/>
          <c:order val="1"/>
          <c:tx>
            <c:strRef>
              <c:f>HRP!$F$266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HRP!$C$267:$C$272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HRP!$F$267:$F$272</c:f>
              <c:numCache>
                <c:formatCode>_(* #,##0_);_(* \(#,##0\);_(* "-"??_);_(@_)</c:formatCode>
                <c:ptCount val="6"/>
                <c:pt idx="0">
                  <c:v>4457.72</c:v>
                </c:pt>
                <c:pt idx="1">
                  <c:v>7132.3520000000008</c:v>
                </c:pt>
                <c:pt idx="2">
                  <c:v>10575.420582273773</c:v>
                </c:pt>
                <c:pt idx="3">
                  <c:v>119698.01164547546</c:v>
                </c:pt>
                <c:pt idx="4">
                  <c:v>58510.00582273773</c:v>
                </c:pt>
                <c:pt idx="5">
                  <c:v>85923.325822737723</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1108.4000000000001</c:v>
                </c:pt>
                <c:pt idx="1">
                  <c:v>1242</c:v>
                </c:pt>
                <c:pt idx="2" formatCode="General">
                  <c:v>9</c:v>
                </c:pt>
              </c:numCache>
            </c:numRef>
          </c:val>
          <c:extLst>
            <c:ext xmlns:c16="http://schemas.microsoft.com/office/drawing/2014/chart" uri="{C3380CC4-5D6E-409C-BE32-E72D297353CC}">
              <c16:uniqueId val="{00000000-CBDF-46C4-8398-2F2620566A1B}"/>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1191.5999999999999</c:v>
                </c:pt>
                <c:pt idx="1">
                  <c:v>1058</c:v>
                </c:pt>
                <c:pt idx="2" formatCode="General">
                  <c:v>2291</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96</c:v>
                </c:pt>
                <c:pt idx="1">
                  <c:v>10</c:v>
                </c:pt>
                <c:pt idx="2">
                  <c:v>9</c:v>
                </c:pt>
                <c:pt idx="3">
                  <c:v>8</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Analysis!$B$162</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Analysis!$C$162:$F$162</c:f>
              <c:numCache>
                <c:formatCode>General</c:formatCode>
                <c:ptCount val="4"/>
                <c:pt idx="0">
                  <c:v>13</c:v>
                </c:pt>
                <c:pt idx="1">
                  <c:v>14</c:v>
                </c:pt>
                <c:pt idx="2">
                  <c:v>3</c:v>
                </c:pt>
                <c:pt idx="3">
                  <c:v>10</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Analysis!$B$176</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Analysis!$C$176:$E$176</c:f>
              <c:numCache>
                <c:formatCode>General</c:formatCode>
                <c:ptCount val="3"/>
                <c:pt idx="0">
                  <c:v>8</c:v>
                </c:pt>
                <c:pt idx="1">
                  <c:v>1</c:v>
                </c:pt>
                <c:pt idx="2">
                  <c:v>114</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Analysis!$B$178</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Analysis!$C$175:$E$175</c:f>
              <c:strCache>
                <c:ptCount val="3"/>
                <c:pt idx="0">
                  <c:v>NA</c:v>
                </c:pt>
                <c:pt idx="1">
                  <c:v>No</c:v>
                </c:pt>
                <c:pt idx="2">
                  <c:v>Yes</c:v>
                </c:pt>
              </c:strCache>
            </c:strRef>
          </c:cat>
          <c:val>
            <c:numRef>
              <c:f>Analysis!$C$178:$E$178</c:f>
              <c:numCache>
                <c:formatCode>General</c:formatCode>
                <c:ptCount val="3"/>
                <c:pt idx="0">
                  <c:v>14</c:v>
                </c:pt>
                <c:pt idx="1">
                  <c:v>9</c:v>
                </c:pt>
                <c:pt idx="2">
                  <c:v>17</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[20230504_Myanmar_WASH_4W_2023_Q1_KachinShan_camp_Consolidate.xlsx]Analysis!K_water1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 people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c:v>
                </c:pt>
                <c:pt idx="1">
                  <c:v>NGCA</c:v>
                </c:pt>
              </c:strCache>
            </c:strRef>
          </c:cat>
          <c:val>
            <c:numRef>
              <c:f>Analysis!$C$39:$C$40</c:f>
              <c:numCache>
                <c:formatCode>_(* #,##0_);_(* \(#,##0\);_(* "-"??_);_(@_)</c:formatCode>
                <c:ptCount val="2"/>
                <c:pt idx="0">
                  <c:v>46744.666666666672</c:v>
                </c:pt>
                <c:pt idx="1">
                  <c:v>13510.666666666666</c:v>
                </c:pt>
              </c:numCache>
            </c:numRef>
          </c:val>
          <c:extLst>
            <c:ext xmlns:c16="http://schemas.microsoft.com/office/drawing/2014/chart" uri="{C3380CC4-5D6E-409C-BE32-E72D297353CC}">
              <c16:uniqueId val="{00000001-98B9-4EBA-9E48-AD7D761A595E}"/>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c:v>
                </c:pt>
                <c:pt idx="1">
                  <c:v>NGCA</c:v>
                </c:pt>
              </c:strCache>
            </c:strRef>
          </c:cat>
          <c:val>
            <c:numRef>
              <c:f>Analysis!$D$39:$D$40</c:f>
              <c:numCache>
                <c:formatCode>_(* #,##0_);_(* \(#,##0\);_(* "-"??_);_(@_)</c:formatCode>
                <c:ptCount val="2"/>
                <c:pt idx="0">
                  <c:v>4735.3333333333339</c:v>
                </c:pt>
                <c:pt idx="1">
                  <c:v>22444.333333333332</c:v>
                </c:pt>
              </c:numCache>
            </c:numRef>
          </c:val>
          <c:extLst>
            <c:ext xmlns:c16="http://schemas.microsoft.com/office/drawing/2014/chart" uri="{C3380CC4-5D6E-409C-BE32-E72D297353CC}">
              <c16:uniqueId val="{00000002-98B9-4EBA-9E48-AD7D761A595E}"/>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[20230504_Myanmar_WASH_4W_2023_Q1_KachinShan_camp_Consolidate.xlsx]Analysis!S_water1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c:v>
                </c:pt>
              </c:strCache>
            </c:strRef>
          </c:cat>
          <c:val>
            <c:numRef>
              <c:f>Analysis!$J$39</c:f>
              <c:numCache>
                <c:formatCode>_(* #,##0_);_(* \(#,##0\);_(* "-"??_);_(@_)</c:formatCode>
                <c:ptCount val="1"/>
                <c:pt idx="0">
                  <c:v>9894</c:v>
                </c:pt>
              </c:numCache>
            </c:numRef>
          </c:val>
          <c:extLst>
            <c:ext xmlns:c16="http://schemas.microsoft.com/office/drawing/2014/chart" uri="{C3380CC4-5D6E-409C-BE32-E72D297353CC}">
              <c16:uniqueId val="{00000001-DC9A-425E-B122-6BC7F6438E69}"/>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c:v>
                </c:pt>
              </c:strCache>
            </c:strRef>
          </c:cat>
          <c:val>
            <c:numRef>
              <c:f>Analysis!$K$39</c:f>
              <c:numCache>
                <c:formatCode>_(* #,##0_);_(* \(#,##0\);_(* "-"??_);_(@_)</c:formatCode>
                <c:ptCount val="1"/>
                <c:pt idx="0">
                  <c:v>1417</c:v>
                </c:pt>
              </c:numCache>
            </c:numRef>
          </c:val>
          <c:extLst>
            <c:ext xmlns:c16="http://schemas.microsoft.com/office/drawing/2014/chart" uri="{C3380CC4-5D6E-409C-BE32-E72D297353CC}">
              <c16:uniqueId val="{00000002-DC9A-425E-B122-6BC7F6438E69}"/>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2023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HRP!$E$201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1D7-4153-9C9E-72479DC73F8A}"/>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27C4-476C-B83C-B98D4B6BD8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HRP!$E$202:$E$207</c:f>
              <c:numCache>
                <c:formatCode>_(* #,##0_);_(* \(#,##0\);_(* "-"??_);_(@_)</c:formatCode>
                <c:ptCount val="6"/>
                <c:pt idx="0">
                  <c:v>1593</c:v>
                </c:pt>
                <c:pt idx="1">
                  <c:v>10418</c:v>
                </c:pt>
                <c:pt idx="2">
                  <c:v>26327.719999999998</c:v>
                </c:pt>
                <c:pt idx="3">
                  <c:v>54583</c:v>
                </c:pt>
                <c:pt idx="4">
                  <c:v>65270</c:v>
                </c:pt>
                <c:pt idx="5">
                  <c:v>60319.333333333336</c:v>
                </c:pt>
              </c:numCache>
            </c:numRef>
          </c:val>
          <c:extLst>
            <c:ext xmlns:c16="http://schemas.microsoft.com/office/drawing/2014/chart" uri="{C3380CC4-5D6E-409C-BE32-E72D297353CC}">
              <c16:uniqueId val="{00000008-E8A8-4037-987C-1EFA4CA8A785}"/>
            </c:ext>
          </c:extLst>
        </c:ser>
        <c:ser>
          <c:idx val="1"/>
          <c:order val="1"/>
          <c:tx>
            <c:strRef>
              <c:f>HRP!$F$201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7-A7A6-4DCF-BBF0-B9389A90C272}"/>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HRP!$F$202:$F$207</c:f>
              <c:numCache>
                <c:formatCode>_(* #,##0_);_(* \(#,##0\);_(* "-"??_);_(@_)</c:formatCode>
                <c:ptCount val="6"/>
                <c:pt idx="0">
                  <c:v>3728.6800000000003</c:v>
                </c:pt>
                <c:pt idx="1">
                  <c:v>225.36000000000058</c:v>
                </c:pt>
                <c:pt idx="3">
                  <c:v>66724.827654495894</c:v>
                </c:pt>
                <c:pt idx="5">
                  <c:v>34539.680493914617</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10176.799999999999</c:v>
                </c:pt>
                <c:pt idx="1">
                  <c:v>9669</c:v>
                </c:pt>
              </c:numCache>
            </c:numRef>
          </c:val>
          <c:extLst>
            <c:ext xmlns:c16="http://schemas.microsoft.com/office/drawing/2014/chart" uri="{C3380CC4-5D6E-409C-BE32-E72D297353CC}">
              <c16:uniqueId val="{00000000-8A12-41BD-89DE-DD9C030FDA43}"/>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6884.4000000000015</c:v>
                </c:pt>
                <c:pt idx="1">
                  <c:v>7392.2000000000007</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Analysis!$B$131</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Analysis!$C$131:$D$131</c:f>
              <c:numCache>
                <c:formatCode>_(* #,##0_);_(* \(#,##0\);_(* "-"??_);_(@_)</c:formatCode>
                <c:ptCount val="2"/>
                <c:pt idx="0">
                  <c:v>2470</c:v>
                </c:pt>
                <c:pt idx="1">
                  <c:v>2694</c:v>
                </c:pt>
              </c:numCache>
            </c:numRef>
          </c:val>
          <c:extLst>
            <c:ext xmlns:c16="http://schemas.microsoft.com/office/drawing/2014/chart" uri="{C3380CC4-5D6E-409C-BE32-E72D297353CC}">
              <c16:uniqueId val="{00000000-11DD-45FB-9A7E-843D5E549A65}"/>
            </c:ext>
          </c:extLst>
        </c:ser>
        <c:ser>
          <c:idx val="1"/>
          <c:order val="1"/>
          <c:tx>
            <c:strRef>
              <c:f>Analysis!$B$132</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Analysis!$C$132:$D$132</c:f>
              <c:numCache>
                <c:formatCode>_(* #,##0_);_(* \(#,##0\);_(* "-"??_);_(@_)</c:formatCode>
                <c:ptCount val="2"/>
                <c:pt idx="0">
                  <c:v>107</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678</c:v>
                </c:pt>
                <c:pt idx="1">
                  <c:v>645</c:v>
                </c:pt>
              </c:numCache>
            </c:numRef>
          </c:val>
          <c:extLst>
            <c:ext xmlns:c16="http://schemas.microsoft.com/office/drawing/2014/chart" uri="{C3380CC4-5D6E-409C-BE32-E72D297353CC}">
              <c16:uniqueId val="{00000000-EDB8-4005-B0CC-AA882CBF326D}"/>
            </c:ext>
          </c:extLst>
        </c:ser>
        <c:ser>
          <c:idx val="3"/>
          <c:order val="3"/>
          <c:tx>
            <c:strRef>
              <c:f>Analysis!$B$134</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1899</c:v>
                </c:pt>
                <c:pt idx="1">
                  <c:v>645</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2470</c:v>
                      </c:pt>
                      <c:pt idx="1">
                        <c:v>2694</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107</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Analysis!$B$135</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62</c:v>
                </c:pt>
                <c:pt idx="1">
                  <c:v>5</c:v>
                </c:pt>
              </c:numCache>
            </c:numRef>
          </c:val>
          <c:extLst>
            <c:ext xmlns:c16="http://schemas.microsoft.com/office/drawing/2014/chart" uri="{C3380CC4-5D6E-409C-BE32-E72D297353CC}">
              <c16:uniqueId val="{00000000-177F-4830-A166-C2511012B919}"/>
            </c:ext>
          </c:extLst>
        </c:ser>
        <c:ser>
          <c:idx val="1"/>
          <c:order val="1"/>
          <c:tx>
            <c:strRef>
              <c:f>Analysis!$B$136</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537</c:v>
                </c:pt>
                <c:pt idx="1">
                  <c:v>153</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5164</c:v>
                </c:pt>
                <c:pt idx="1">
                  <c:v>58</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Analysis!$J$131</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Analysis!$K$131:$L$131</c15:sqref>
                  </c15:fullRef>
                </c:ext>
              </c:extLst>
              <c:f>Analysis!$K$131</c:f>
              <c:numCache>
                <c:formatCode>General</c:formatCode>
                <c:ptCount val="1"/>
                <c:pt idx="0" formatCode="_(* #,##0_);_(* \(#,##0\);_(* &quot;-&quot;??_);_(@_)">
                  <c:v>1013</c:v>
                </c:pt>
              </c:numCache>
            </c:numRef>
          </c:val>
          <c:extLst>
            <c:ext xmlns:c16="http://schemas.microsoft.com/office/drawing/2014/chart" uri="{C3380CC4-5D6E-409C-BE32-E72D297353CC}">
              <c16:uniqueId val="{00000000-5769-47EB-833D-C7F3A5603476}"/>
            </c:ext>
          </c:extLst>
        </c:ser>
        <c:ser>
          <c:idx val="1"/>
          <c:order val="1"/>
          <c:tx>
            <c:strRef>
              <c:f>Analysis!$J$132</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Analysis!$K$132:$L$132</c15:sqref>
                  </c15:fullRef>
                </c:ext>
              </c:extLst>
              <c:f>Analysis!$K$132</c:f>
              <c:numCache>
                <c:formatCode>General</c:formatCode>
                <c:ptCount val="1"/>
                <c:pt idx="0" formatCode="_(* #,##0_);_(* \(#,##0\);_(* &quot;-&quot;??_);_(@_)">
                  <c:v>0</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Analysis!$J$133</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Analysis!$K$133:$L$133</c15:sqref>
                  </c15:fullRef>
                </c:ext>
              </c:extLst>
              <c:f>Analysis!$K$133</c:f>
              <c:numCache>
                <c:formatCode>General</c:formatCode>
                <c:ptCount val="1"/>
                <c:pt idx="0" formatCode="_(* #,##0_);_(* \(#,##0\);_(* &quot;-&quot;??_);_(@_)">
                  <c:v>96</c:v>
                </c:pt>
              </c:numCache>
            </c:numRef>
          </c:val>
          <c:extLst>
            <c:ext xmlns:c16="http://schemas.microsoft.com/office/drawing/2014/chart" uri="{C3380CC4-5D6E-409C-BE32-E72D297353CC}">
              <c16:uniqueId val="{00000000-56C5-41B0-B00A-3A7F63BCC9E4}"/>
            </c:ext>
          </c:extLst>
        </c:ser>
        <c:ser>
          <c:idx val="1"/>
          <c:order val="1"/>
          <c:tx>
            <c:strRef>
              <c:f>Analysis!$J$134</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Analysis!$K$134:$L$134</c15:sqref>
                  </c15:fullRef>
                </c:ext>
              </c:extLst>
              <c:f>Analysis!$K$134</c:f>
              <c:numCache>
                <c:formatCode>General</c:formatCode>
                <c:ptCount val="1"/>
                <c:pt idx="0" formatCode="_(* #,##0_);_(* \(#,##0\);_(* &quot;-&quot;??_);_(@_)">
                  <c:v>917</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Analysis!$J$135</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33CE-4B6D-9AB7-C8657740D81A}"/>
            </c:ext>
          </c:extLst>
        </c:ser>
        <c:ser>
          <c:idx val="1"/>
          <c:order val="1"/>
          <c:tx>
            <c:strRef>
              <c:f>Analysis!$J$136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1013</c:v>
                </c:pt>
                <c:pt idx="1">
                  <c:v>0</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Analysis!$C$381</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Analysis!$D$380:$I$380</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Analysis!$D$381:$I$381</c:f>
              <c:numCache>
                <c:formatCode>_(* #,##0_);_(* \(#,##0\);_(* "-"??_);_(@_)</c:formatCode>
                <c:ptCount val="6"/>
                <c:pt idx="0">
                  <c:v>97</c:v>
                </c:pt>
                <c:pt idx="1">
                  <c:v>54</c:v>
                </c:pt>
                <c:pt idx="2">
                  <c:v>175</c:v>
                </c:pt>
                <c:pt idx="3">
                  <c:v>45</c:v>
                </c:pt>
                <c:pt idx="4">
                  <c:v>7</c:v>
                </c:pt>
                <c:pt idx="5">
                  <c:v>9.5</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Shan(North) Number of ppl Covered against 2023 HRP targets</a:t>
            </a:r>
            <a:endParaRPr lang="en-US" sz="1600">
              <a:effectLst/>
            </a:endParaRPr>
          </a:p>
        </c:rich>
      </c:tx>
      <c:layout>
        <c:manualLayout>
          <c:xMode val="edge"/>
          <c:yMode val="edge"/>
          <c:x val="0.12160753657349213"/>
          <c:y val="1.207933928667692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2-ECCE-4705-8E13-3FA2A75322D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ECCE-4705-8E13-3FA2A75322D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C30E-4F5B-BB8F-2D4C569F6B73}"/>
              </c:ext>
            </c:extLst>
          </c:dPt>
          <c:dPt>
            <c:idx val="5"/>
            <c:invertIfNegative val="0"/>
            <c:bubble3D val="0"/>
            <c:spPr>
              <a:solidFill>
                <a:srgbClr val="0070C0"/>
              </a:solidFill>
              <a:ln>
                <a:noFill/>
              </a:ln>
              <a:effectLst/>
            </c:spPr>
            <c:extLst>
              <c:ext xmlns:c16="http://schemas.microsoft.com/office/drawing/2014/chart" uri="{C3380CC4-5D6E-409C-BE32-E72D297353CC}">
                <c16:uniqueId val="{00000007-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HRP!$E$218:$E$223</c:f>
              <c:numCache>
                <c:formatCode>_(* #,##0_);_(* \(#,##0\);_(* "-"??_);_(@_)</c:formatCode>
                <c:ptCount val="6"/>
                <c:pt idx="0">
                  <c:v>0</c:v>
                </c:pt>
                <c:pt idx="1">
                  <c:v>2223</c:v>
                </c:pt>
                <c:pt idx="2">
                  <c:v>0</c:v>
                </c:pt>
                <c:pt idx="3">
                  <c:v>6526</c:v>
                </c:pt>
                <c:pt idx="4">
                  <c:v>7640</c:v>
                </c:pt>
                <c:pt idx="5">
                  <c:v>10203.999999999998</c:v>
                </c:pt>
              </c:numCache>
            </c:numRef>
          </c:val>
          <c:extLst>
            <c:ext xmlns:c16="http://schemas.microsoft.com/office/drawing/2014/chart" uri="{C3380CC4-5D6E-409C-BE32-E72D297353CC}">
              <c16:uniqueId val="{00000001-0CB7-4264-A3F9-A84426FA15A3}"/>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C30E-4F5B-BB8F-2D4C569F6B73}"/>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2-79A4-41DA-B32A-CBB170878CE3}"/>
              </c:ext>
            </c:extLst>
          </c:dPt>
          <c:dPt>
            <c:idx val="2"/>
            <c:invertIfNegative val="0"/>
            <c:bubble3D val="0"/>
            <c:spPr>
              <a:solidFill>
                <a:srgbClr val="FFFF00">
                  <a:alpha val="29804"/>
                </a:srgbClr>
              </a:solidFill>
              <a:ln>
                <a:noFill/>
              </a:ln>
              <a:effectLst/>
            </c:spPr>
            <c:extLst>
              <c:ext xmlns:c16="http://schemas.microsoft.com/office/drawing/2014/chart" uri="{C3380CC4-5D6E-409C-BE32-E72D297353CC}">
                <c16:uniqueId val="{0000000F-7D73-40A0-A891-00815A3FCB59}"/>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79A4-41DA-B32A-CBB170878CE3}"/>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C30E-4F5B-BB8F-2D4C569F6B73}"/>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HRP!$F$218:$F$223</c:f>
              <c:numCache>
                <c:formatCode>_(* #,##0_);_(* \(#,##0\);_(* "-"??_);_(@_)</c:formatCode>
                <c:ptCount val="6"/>
                <c:pt idx="0">
                  <c:v>2036.2400000000002</c:v>
                </c:pt>
                <c:pt idx="1">
                  <c:v>1034.9840000000004</c:v>
                </c:pt>
                <c:pt idx="2">
                  <c:v>5426.6278725171751</c:v>
                </c:pt>
                <c:pt idx="3">
                  <c:v>61281.757450343488</c:v>
                </c:pt>
                <c:pt idx="4">
                  <c:v>19106.2414900687</c:v>
                </c:pt>
                <c:pt idx="5">
                  <c:v>32435.227235103055</c:v>
                </c:pt>
              </c:numCache>
            </c:numRef>
          </c:val>
          <c:extLst>
            <c:ext xmlns:c16="http://schemas.microsoft.com/office/drawing/2014/chart" uri="{C3380CC4-5D6E-409C-BE32-E72D297353CC}">
              <c16:uniqueId val="{0000000D-7D73-40A0-A891-00815A3FCB59}"/>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Analysis!$C$382</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411-4C91-9586-0CAC856F90A9}"/>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Analysis!$D$380:$I$380</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Analysis!$D$382:$I$382</c:f>
              <c:numCache>
                <c:formatCode>_(* #,##0_);_(* \(#,##0\);_(* "-"??_);_(@_)</c:formatCode>
                <c:ptCount val="6"/>
                <c:pt idx="0">
                  <c:v>25</c:v>
                </c:pt>
                <c:pt idx="1">
                  <c:v>0</c:v>
                </c:pt>
                <c:pt idx="2">
                  <c:v>11</c:v>
                </c:pt>
                <c:pt idx="3">
                  <c:v>6</c:v>
                </c:pt>
                <c:pt idx="4">
                  <c:v>0</c:v>
                </c:pt>
                <c:pt idx="5">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Analysis!$C$296:$C$298</c:f>
              <c:strCache>
                <c:ptCount val="3"/>
                <c:pt idx="0">
                  <c:v>Camp</c:v>
                </c:pt>
                <c:pt idx="1">
                  <c:v>Camp_not registered</c:v>
                </c:pt>
                <c:pt idx="2">
                  <c:v>Extenshion_camp</c:v>
                </c:pt>
              </c:strCache>
            </c:strRef>
          </c:cat>
          <c:val>
            <c:numRef>
              <c:f>Analysis!$D$296:$D$298</c:f>
              <c:numCache>
                <c:formatCode>General</c:formatCode>
                <c:ptCount val="3"/>
                <c:pt idx="0">
                  <c:v>111</c:v>
                </c:pt>
                <c:pt idx="1">
                  <c:v>4</c:v>
                </c:pt>
                <c:pt idx="2">
                  <c:v>8</c:v>
                </c:pt>
              </c:numCache>
            </c:numRef>
          </c:val>
          <c:extLst>
            <c:ext xmlns:c16="http://schemas.microsoft.com/office/drawing/2014/chart" uri="{C3380CC4-5D6E-409C-BE32-E72D297353CC}">
              <c16:uniqueId val="{00000001-7E2D-4FEA-8D34-C1D9EA8EBC52}"/>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2417892817497875"/>
          <c:h val="0.1372792925446792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Analysis!$H$297:$H$299</c:f>
              <c:strCache>
                <c:ptCount val="3"/>
                <c:pt idx="0">
                  <c:v>Camp</c:v>
                </c:pt>
                <c:pt idx="1">
                  <c:v>Camp_not registered</c:v>
                </c:pt>
                <c:pt idx="2">
                  <c:v>Relocated</c:v>
                </c:pt>
              </c:strCache>
            </c:strRef>
          </c:cat>
          <c:val>
            <c:numRef>
              <c:f>Analysis!$I$297:$I$299</c:f>
              <c:numCache>
                <c:formatCode>General</c:formatCode>
                <c:ptCount val="3"/>
                <c:pt idx="0">
                  <c:v>39</c:v>
                </c:pt>
                <c:pt idx="1">
                  <c:v>1</c:v>
                </c:pt>
              </c:numCache>
            </c:numRef>
          </c:val>
          <c:extLst>
            <c:ext xmlns:c16="http://schemas.microsoft.com/office/drawing/2014/chart" uri="{C3380CC4-5D6E-409C-BE32-E72D297353CC}">
              <c16:uniqueId val="{00000001-5D5A-48C2-8608-E25F5EEB8D23}"/>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Analysis!$H$297:$H$299</c:f>
              <c:strCache>
                <c:ptCount val="3"/>
                <c:pt idx="0">
                  <c:v>Camp</c:v>
                </c:pt>
                <c:pt idx="1">
                  <c:v>Camp_not registered</c:v>
                </c:pt>
                <c:pt idx="2">
                  <c:v>Relocated</c:v>
                </c:pt>
              </c:strCache>
            </c:strRef>
          </c:cat>
          <c:val>
            <c:numRef>
              <c:f>Analysis!$J$297:$J$299</c:f>
              <c:numCache>
                <c:formatCode>General</c:formatCode>
                <c:ptCount val="3"/>
                <c:pt idx="0">
                  <c:v>13</c:v>
                </c:pt>
                <c:pt idx="2">
                  <c:v>2</c:v>
                </c:pt>
              </c:numCache>
            </c:numRef>
          </c:val>
          <c:extLst>
            <c:ext xmlns:c16="http://schemas.microsoft.com/office/drawing/2014/chart" uri="{C3380CC4-5D6E-409C-BE32-E72D297353CC}">
              <c16:uniqueId val="{00000002-5D5A-48C2-8608-E25F5EEB8D23}"/>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8.8592795080933956E-2"/>
          <c:h val="0.1375934215977206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pivotFmt>
    </c:pivotFmts>
    <c:plotArea>
      <c:layout/>
      <c:barChart>
        <c:barDir val="col"/>
        <c:grouping val="percentStacked"/>
        <c:varyColors val="0"/>
        <c:ser>
          <c:idx val="0"/>
          <c:order val="0"/>
          <c:tx>
            <c:strRef>
              <c:f>Analysis!$C$80</c:f>
              <c:strCache>
                <c:ptCount val="1"/>
                <c:pt idx="0">
                  <c:v> % Water Coverage</c:v>
                </c:pt>
              </c:strCache>
            </c:strRef>
          </c:tx>
          <c:spPr>
            <a:solidFill>
              <a:srgbClr val="0070C0"/>
            </a:solidFill>
            <a:ln>
              <a:noFill/>
            </a:ln>
            <a:effectLst/>
          </c:spPr>
          <c:invertIfNegative val="0"/>
          <c:cat>
            <c:strRef>
              <c:f>Analysis!$B$81:$B$92</c:f>
              <c:strCache>
                <c:ptCount val="12"/>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strCache>
            </c:strRef>
          </c:cat>
          <c:val>
            <c:numRef>
              <c:f>Analysis!$C$81:$C$92</c:f>
              <c:numCache>
                <c:formatCode>0%</c:formatCode>
                <c:ptCount val="12"/>
                <c:pt idx="0">
                  <c:v>0.9510721836303232</c:v>
                </c:pt>
                <c:pt idx="1">
                  <c:v>0.5964714714714715</c:v>
                </c:pt>
                <c:pt idx="2">
                  <c:v>0.97841726618705038</c:v>
                </c:pt>
                <c:pt idx="3">
                  <c:v>0.79505195026400954</c:v>
                </c:pt>
                <c:pt idx="4">
                  <c:v>1</c:v>
                </c:pt>
                <c:pt idx="5">
                  <c:v>1</c:v>
                </c:pt>
                <c:pt idx="6">
                  <c:v>0.53865587897950962</c:v>
                </c:pt>
                <c:pt idx="7">
                  <c:v>1</c:v>
                </c:pt>
                <c:pt idx="8">
                  <c:v>1</c:v>
                </c:pt>
                <c:pt idx="9">
                  <c:v>1</c:v>
                </c:pt>
                <c:pt idx="10">
                  <c:v>1</c:v>
                </c:pt>
                <c:pt idx="11">
                  <c:v>0.49321698495577332</c:v>
                </c:pt>
              </c:numCache>
            </c:numRef>
          </c:val>
          <c:extLst>
            <c:ext xmlns:c16="http://schemas.microsoft.com/office/drawing/2014/chart" uri="{C3380CC4-5D6E-409C-BE32-E72D297353CC}">
              <c16:uniqueId val="{00000001-D42E-4631-9562-E6FF266B07AD}"/>
            </c:ext>
          </c:extLst>
        </c:ser>
        <c:ser>
          <c:idx val="1"/>
          <c:order val="1"/>
          <c:tx>
            <c:strRef>
              <c:f>Analysis!$D$80</c:f>
              <c:strCache>
                <c:ptCount val="1"/>
                <c:pt idx="0">
                  <c:v> % Water GAP</c:v>
                </c:pt>
              </c:strCache>
            </c:strRef>
          </c:tx>
          <c:spPr>
            <a:solidFill>
              <a:schemeClr val="accent1">
                <a:lumMod val="40000"/>
                <a:lumOff val="60000"/>
              </a:schemeClr>
            </a:solidFill>
            <a:ln>
              <a:noFill/>
            </a:ln>
            <a:effectLst/>
          </c:spPr>
          <c:invertIfNegative val="0"/>
          <c:cat>
            <c:strRef>
              <c:f>Analysis!$B$81:$B$92</c:f>
              <c:strCache>
                <c:ptCount val="12"/>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strCache>
            </c:strRef>
          </c:cat>
          <c:val>
            <c:numRef>
              <c:f>Analysis!$D$81:$D$92</c:f>
              <c:numCache>
                <c:formatCode>0%</c:formatCode>
                <c:ptCount val="12"/>
                <c:pt idx="0">
                  <c:v>4.8927816369676802E-2</c:v>
                </c:pt>
                <c:pt idx="1">
                  <c:v>0.4035285285285285</c:v>
                </c:pt>
                <c:pt idx="2">
                  <c:v>2.1582733812949617E-2</c:v>
                </c:pt>
                <c:pt idx="3">
                  <c:v>0.20494804973599046</c:v>
                </c:pt>
                <c:pt idx="4">
                  <c:v>0</c:v>
                </c:pt>
                <c:pt idx="5">
                  <c:v>0</c:v>
                </c:pt>
                <c:pt idx="6">
                  <c:v>0.46134412102049038</c:v>
                </c:pt>
                <c:pt idx="7">
                  <c:v>0</c:v>
                </c:pt>
                <c:pt idx="8">
                  <c:v>0</c:v>
                </c:pt>
                <c:pt idx="9">
                  <c:v>0</c:v>
                </c:pt>
                <c:pt idx="10">
                  <c:v>0</c:v>
                </c:pt>
                <c:pt idx="11">
                  <c:v>0.50678301504422674</c:v>
                </c:pt>
              </c:numCache>
            </c:numRef>
          </c:val>
          <c:extLst>
            <c:ext xmlns:c16="http://schemas.microsoft.com/office/drawing/2014/chart" uri="{C3380CC4-5D6E-409C-BE32-E72D297353CC}">
              <c16:uniqueId val="{00000002-D42E-4631-9562-E6FF266B07AD}"/>
            </c:ext>
          </c:extLst>
        </c:ser>
        <c:dLbls>
          <c:showLegendKey val="0"/>
          <c:showVal val="0"/>
          <c:showCatName val="0"/>
          <c:showSerName val="0"/>
          <c:showPercent val="0"/>
          <c:showBubbleSize val="0"/>
        </c:dLbls>
        <c:gapWidth val="1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Analysis!$C$101</c:f>
              <c:strCache>
                <c:ptCount val="1"/>
                <c:pt idx="0">
                  <c:v> % Water Coverage</c:v>
                </c:pt>
              </c:strCache>
            </c:strRef>
          </c:tx>
          <c:spPr>
            <a:solidFill>
              <a:srgbClr val="0070C0"/>
            </a:solidFill>
            <a:ln>
              <a:noFill/>
            </a:ln>
            <a:effectLst/>
          </c:spPr>
          <c:invertIfNegative val="0"/>
          <c:cat>
            <c:strRef>
              <c:f>Analysis!$B$102:$B$111</c:f>
              <c:strCache>
                <c:ptCount val="10"/>
                <c:pt idx="0">
                  <c:v>Hseni</c:v>
                </c:pt>
                <c:pt idx="1">
                  <c:v>Hsipaw</c:v>
                </c:pt>
                <c:pt idx="2">
                  <c:v>Kutkai</c:v>
                </c:pt>
                <c:pt idx="3">
                  <c:v>Kyaukme</c:v>
                </c:pt>
                <c:pt idx="4">
                  <c:v>Lashio</c:v>
                </c:pt>
                <c:pt idx="5">
                  <c:v>Laukkaing (Kokang SAZ)</c:v>
                </c:pt>
                <c:pt idx="6">
                  <c:v>Manton</c:v>
                </c:pt>
                <c:pt idx="7">
                  <c:v>Muse</c:v>
                </c:pt>
                <c:pt idx="8">
                  <c:v>Namhkan</c:v>
                </c:pt>
                <c:pt idx="9">
                  <c:v>Namtu</c:v>
                </c:pt>
              </c:strCache>
            </c:strRef>
          </c:cat>
          <c:val>
            <c:numRef>
              <c:f>Analysis!$C$102:$C$111</c:f>
              <c:numCache>
                <c:formatCode>0%</c:formatCode>
                <c:ptCount val="10"/>
                <c:pt idx="0">
                  <c:v>1</c:v>
                </c:pt>
                <c:pt idx="1">
                  <c:v>0</c:v>
                </c:pt>
                <c:pt idx="2">
                  <c:v>0.93791542921793258</c:v>
                </c:pt>
                <c:pt idx="3">
                  <c:v>0.67434210526315785</c:v>
                </c:pt>
                <c:pt idx="4">
                  <c:v>0.29662004662004665</c:v>
                </c:pt>
                <c:pt idx="5">
                  <c:v>0.95579450418160095</c:v>
                </c:pt>
                <c:pt idx="6">
                  <c:v>1</c:v>
                </c:pt>
                <c:pt idx="7">
                  <c:v>0.7424969987995198</c:v>
                </c:pt>
                <c:pt idx="8">
                  <c:v>1</c:v>
                </c:pt>
                <c:pt idx="9">
                  <c:v>1</c:v>
                </c:pt>
              </c:numCache>
            </c:numRef>
          </c:val>
          <c:extLst>
            <c:ext xmlns:c16="http://schemas.microsoft.com/office/drawing/2014/chart" uri="{C3380CC4-5D6E-409C-BE32-E72D297353CC}">
              <c16:uniqueId val="{00000001-8D2F-4677-8970-0F437EC7B4E8}"/>
            </c:ext>
          </c:extLst>
        </c:ser>
        <c:ser>
          <c:idx val="1"/>
          <c:order val="1"/>
          <c:tx>
            <c:strRef>
              <c:f>Analysis!$D$101</c:f>
              <c:strCache>
                <c:ptCount val="1"/>
                <c:pt idx="0">
                  <c:v> % Water GAP</c:v>
                </c:pt>
              </c:strCache>
            </c:strRef>
          </c:tx>
          <c:spPr>
            <a:solidFill>
              <a:schemeClr val="accent1">
                <a:lumMod val="40000"/>
                <a:lumOff val="60000"/>
              </a:schemeClr>
            </a:solidFill>
            <a:ln>
              <a:noFill/>
            </a:ln>
            <a:effectLst/>
          </c:spPr>
          <c:invertIfNegative val="0"/>
          <c:cat>
            <c:strRef>
              <c:f>Analysis!$B$102:$B$111</c:f>
              <c:strCache>
                <c:ptCount val="10"/>
                <c:pt idx="0">
                  <c:v>Hseni</c:v>
                </c:pt>
                <c:pt idx="1">
                  <c:v>Hsipaw</c:v>
                </c:pt>
                <c:pt idx="2">
                  <c:v>Kutkai</c:v>
                </c:pt>
                <c:pt idx="3">
                  <c:v>Kyaukme</c:v>
                </c:pt>
                <c:pt idx="4">
                  <c:v>Lashio</c:v>
                </c:pt>
                <c:pt idx="5">
                  <c:v>Laukkaing (Kokang SAZ)</c:v>
                </c:pt>
                <c:pt idx="6">
                  <c:v>Manton</c:v>
                </c:pt>
                <c:pt idx="7">
                  <c:v>Muse</c:v>
                </c:pt>
                <c:pt idx="8">
                  <c:v>Namhkan</c:v>
                </c:pt>
                <c:pt idx="9">
                  <c:v>Namtu</c:v>
                </c:pt>
              </c:strCache>
            </c:strRef>
          </c:cat>
          <c:val>
            <c:numRef>
              <c:f>Analysis!$D$102:$D$111</c:f>
              <c:numCache>
                <c:formatCode>0%</c:formatCode>
                <c:ptCount val="10"/>
                <c:pt idx="0">
                  <c:v>0</c:v>
                </c:pt>
                <c:pt idx="1">
                  <c:v>1</c:v>
                </c:pt>
                <c:pt idx="2">
                  <c:v>6.2084570782067416E-2</c:v>
                </c:pt>
                <c:pt idx="3">
                  <c:v>0.32565789473684215</c:v>
                </c:pt>
                <c:pt idx="4">
                  <c:v>0.7033799533799534</c:v>
                </c:pt>
                <c:pt idx="5">
                  <c:v>4.4205495818399054E-2</c:v>
                </c:pt>
                <c:pt idx="6">
                  <c:v>0</c:v>
                </c:pt>
                <c:pt idx="7">
                  <c:v>0.2575030012004802</c:v>
                </c:pt>
                <c:pt idx="8">
                  <c:v>0</c:v>
                </c:pt>
                <c:pt idx="9">
                  <c:v>0</c:v>
                </c:pt>
              </c:numCache>
            </c:numRef>
          </c:val>
          <c:extLst>
            <c:ext xmlns:c16="http://schemas.microsoft.com/office/drawing/2014/chart" uri="{C3380CC4-5D6E-409C-BE32-E72D297353CC}">
              <c16:uniqueId val="{00000002-8D2F-4677-8970-0F437EC7B4E8}"/>
            </c:ext>
          </c:extLst>
        </c:ser>
        <c:dLbls>
          <c:showLegendKey val="0"/>
          <c:showVal val="0"/>
          <c:showCatName val="0"/>
          <c:showSerName val="0"/>
          <c:showPercent val="0"/>
          <c:showBubbleSize val="0"/>
        </c:dLbls>
        <c:gapWidth val="1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Analysis!$C$187</c:f>
              <c:strCache>
                <c:ptCount val="1"/>
                <c:pt idx="0">
                  <c:v> % Latrine Coverage</c:v>
                </c:pt>
              </c:strCache>
            </c:strRef>
          </c:tx>
          <c:spPr>
            <a:solidFill>
              <a:schemeClr val="accent2">
                <a:lumMod val="75000"/>
              </a:schemeClr>
            </a:solidFill>
            <a:ln>
              <a:noFill/>
            </a:ln>
            <a:effectLst/>
          </c:spPr>
          <c:invertIfNegative val="0"/>
          <c:cat>
            <c:strRef>
              <c:f>Analysis!$B$188:$B$199</c:f>
              <c:strCache>
                <c:ptCount val="12"/>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strCache>
            </c:strRef>
          </c:cat>
          <c:val>
            <c:numRef>
              <c:f>Analysis!$C$188:$C$199</c:f>
              <c:numCache>
                <c:formatCode>0%</c:formatCode>
                <c:ptCount val="12"/>
                <c:pt idx="0">
                  <c:v>0.85684083358501961</c:v>
                </c:pt>
                <c:pt idx="1">
                  <c:v>0.57057057057057059</c:v>
                </c:pt>
                <c:pt idx="2">
                  <c:v>0.81166495375128467</c:v>
                </c:pt>
                <c:pt idx="3">
                  <c:v>0.89282064384261628</c:v>
                </c:pt>
                <c:pt idx="4">
                  <c:v>0.79062870699881371</c:v>
                </c:pt>
                <c:pt idx="5">
                  <c:v>0.78740157480314965</c:v>
                </c:pt>
                <c:pt idx="6">
                  <c:v>0.80526364735422673</c:v>
                </c:pt>
                <c:pt idx="7">
                  <c:v>0.716761956620383</c:v>
                </c:pt>
                <c:pt idx="8">
                  <c:v>0.30122405534858965</c:v>
                </c:pt>
                <c:pt idx="9">
                  <c:v>1</c:v>
                </c:pt>
                <c:pt idx="10">
                  <c:v>0.38930041152263373</c:v>
                </c:pt>
                <c:pt idx="11">
                  <c:v>0.68682497675416632</c:v>
                </c:pt>
              </c:numCache>
            </c:numRef>
          </c:val>
          <c:extLst>
            <c:ext xmlns:c16="http://schemas.microsoft.com/office/drawing/2014/chart" uri="{C3380CC4-5D6E-409C-BE32-E72D297353CC}">
              <c16:uniqueId val="{00000001-D892-44B9-AC07-D82DE7EFCC94}"/>
            </c:ext>
          </c:extLst>
        </c:ser>
        <c:ser>
          <c:idx val="1"/>
          <c:order val="1"/>
          <c:tx>
            <c:strRef>
              <c:f>Analysis!$D$187</c:f>
              <c:strCache>
                <c:ptCount val="1"/>
                <c:pt idx="0">
                  <c:v>  % Latrine GAP</c:v>
                </c:pt>
              </c:strCache>
            </c:strRef>
          </c:tx>
          <c:spPr>
            <a:solidFill>
              <a:schemeClr val="accent2">
                <a:lumMod val="40000"/>
                <a:lumOff val="60000"/>
              </a:schemeClr>
            </a:solidFill>
            <a:ln>
              <a:noFill/>
            </a:ln>
            <a:effectLst/>
          </c:spPr>
          <c:invertIfNegative val="0"/>
          <c:cat>
            <c:strRef>
              <c:f>Analysis!$B$188:$B$199</c:f>
              <c:strCache>
                <c:ptCount val="12"/>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strCache>
            </c:strRef>
          </c:cat>
          <c:val>
            <c:numRef>
              <c:f>Analysis!$D$188:$D$199</c:f>
              <c:numCache>
                <c:formatCode>0%</c:formatCode>
                <c:ptCount val="12"/>
                <c:pt idx="0">
                  <c:v>0.14315916641498039</c:v>
                </c:pt>
                <c:pt idx="1">
                  <c:v>0.42942942942942941</c:v>
                </c:pt>
                <c:pt idx="2">
                  <c:v>0.18833504624871533</c:v>
                </c:pt>
                <c:pt idx="3">
                  <c:v>0.10717935615738372</c:v>
                </c:pt>
                <c:pt idx="4">
                  <c:v>0.20937129300118629</c:v>
                </c:pt>
                <c:pt idx="5">
                  <c:v>0.21259842519685035</c:v>
                </c:pt>
                <c:pt idx="6">
                  <c:v>0.19473635264577327</c:v>
                </c:pt>
                <c:pt idx="7">
                  <c:v>0.283238043379617</c:v>
                </c:pt>
                <c:pt idx="8">
                  <c:v>0.69877594465141035</c:v>
                </c:pt>
                <c:pt idx="9">
                  <c:v>0</c:v>
                </c:pt>
                <c:pt idx="10">
                  <c:v>0.61069958847736627</c:v>
                </c:pt>
                <c:pt idx="11">
                  <c:v>0.31317502324583368</c:v>
                </c:pt>
              </c:numCache>
            </c:numRef>
          </c:val>
          <c:extLst>
            <c:ext xmlns:c16="http://schemas.microsoft.com/office/drawing/2014/chart" uri="{C3380CC4-5D6E-409C-BE32-E72D297353CC}">
              <c16:uniqueId val="{00000002-D892-44B9-AC07-D82DE7EFCC94}"/>
            </c:ext>
          </c:extLst>
        </c:ser>
        <c:dLbls>
          <c:showLegendKey val="0"/>
          <c:showVal val="0"/>
          <c:showCatName val="0"/>
          <c:showSerName val="0"/>
          <c:showPercent val="0"/>
          <c:showBubbleSize val="0"/>
        </c:dLbls>
        <c:gapWidth val="1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Analysis!$K$188</c:f>
              <c:strCache>
                <c:ptCount val="1"/>
                <c:pt idx="0">
                  <c:v>  % Latrine Coverage</c:v>
                </c:pt>
              </c:strCache>
            </c:strRef>
          </c:tx>
          <c:spPr>
            <a:solidFill>
              <a:schemeClr val="accent2">
                <a:lumMod val="75000"/>
              </a:schemeClr>
            </a:solidFill>
            <a:ln>
              <a:noFill/>
            </a:ln>
            <a:effectLst/>
          </c:spPr>
          <c:invertIfNegative val="0"/>
          <c:cat>
            <c:strRef>
              <c:f>Analysis!$J$189:$J$198</c:f>
              <c:strCache>
                <c:ptCount val="10"/>
                <c:pt idx="0">
                  <c:v>Hseni</c:v>
                </c:pt>
                <c:pt idx="1">
                  <c:v>Hsipaw</c:v>
                </c:pt>
                <c:pt idx="2">
                  <c:v>Kutkai</c:v>
                </c:pt>
                <c:pt idx="3">
                  <c:v>Lashio</c:v>
                </c:pt>
                <c:pt idx="4">
                  <c:v>Manton</c:v>
                </c:pt>
                <c:pt idx="5">
                  <c:v>Muse</c:v>
                </c:pt>
                <c:pt idx="6">
                  <c:v>Namhkan</c:v>
                </c:pt>
                <c:pt idx="7">
                  <c:v>Namtu</c:v>
                </c:pt>
                <c:pt idx="8">
                  <c:v>Laukkaing (Kokang SAZ)</c:v>
                </c:pt>
                <c:pt idx="9">
                  <c:v>Kyaukme</c:v>
                </c:pt>
              </c:strCache>
            </c:strRef>
          </c:cat>
          <c:val>
            <c:numRef>
              <c:f>Analysis!$K$189:$K$198</c:f>
              <c:numCache>
                <c:formatCode>0%</c:formatCode>
                <c:ptCount val="10"/>
                <c:pt idx="0">
                  <c:v>1</c:v>
                </c:pt>
                <c:pt idx="1">
                  <c:v>0</c:v>
                </c:pt>
                <c:pt idx="2">
                  <c:v>0.94845142129826054</c:v>
                </c:pt>
                <c:pt idx="3">
                  <c:v>0.18006993006993008</c:v>
                </c:pt>
                <c:pt idx="4">
                  <c:v>1</c:v>
                </c:pt>
                <c:pt idx="5">
                  <c:v>0</c:v>
                </c:pt>
                <c:pt idx="6">
                  <c:v>0.87227414330218067</c:v>
                </c:pt>
                <c:pt idx="7">
                  <c:v>1</c:v>
                </c:pt>
                <c:pt idx="8">
                  <c:v>0.35842293906810035</c:v>
                </c:pt>
                <c:pt idx="9">
                  <c:v>1</c:v>
                </c:pt>
              </c:numCache>
            </c:numRef>
          </c:val>
          <c:extLst>
            <c:ext xmlns:c16="http://schemas.microsoft.com/office/drawing/2014/chart" uri="{C3380CC4-5D6E-409C-BE32-E72D297353CC}">
              <c16:uniqueId val="{00000001-B416-4AA8-B6FB-BDD6607D8C3B}"/>
            </c:ext>
          </c:extLst>
        </c:ser>
        <c:ser>
          <c:idx val="1"/>
          <c:order val="1"/>
          <c:tx>
            <c:strRef>
              <c:f>Analysis!$L$188</c:f>
              <c:strCache>
                <c:ptCount val="1"/>
                <c:pt idx="0">
                  <c:v>  % Latrine GAP</c:v>
                </c:pt>
              </c:strCache>
            </c:strRef>
          </c:tx>
          <c:spPr>
            <a:solidFill>
              <a:schemeClr val="accent2">
                <a:lumMod val="40000"/>
                <a:lumOff val="60000"/>
              </a:schemeClr>
            </a:solidFill>
            <a:ln>
              <a:noFill/>
            </a:ln>
            <a:effectLst/>
          </c:spPr>
          <c:invertIfNegative val="0"/>
          <c:cat>
            <c:strRef>
              <c:f>Analysis!$J$189:$J$198</c:f>
              <c:strCache>
                <c:ptCount val="10"/>
                <c:pt idx="0">
                  <c:v>Hseni</c:v>
                </c:pt>
                <c:pt idx="1">
                  <c:v>Hsipaw</c:v>
                </c:pt>
                <c:pt idx="2">
                  <c:v>Kutkai</c:v>
                </c:pt>
                <c:pt idx="3">
                  <c:v>Lashio</c:v>
                </c:pt>
                <c:pt idx="4">
                  <c:v>Manton</c:v>
                </c:pt>
                <c:pt idx="5">
                  <c:v>Muse</c:v>
                </c:pt>
                <c:pt idx="6">
                  <c:v>Namhkan</c:v>
                </c:pt>
                <c:pt idx="7">
                  <c:v>Namtu</c:v>
                </c:pt>
                <c:pt idx="8">
                  <c:v>Laukkaing (Kokang SAZ)</c:v>
                </c:pt>
                <c:pt idx="9">
                  <c:v>Kyaukme</c:v>
                </c:pt>
              </c:strCache>
            </c:strRef>
          </c:cat>
          <c:val>
            <c:numRef>
              <c:f>Analysis!$L$189:$L$198</c:f>
              <c:numCache>
                <c:formatCode>0%</c:formatCode>
                <c:ptCount val="10"/>
                <c:pt idx="0">
                  <c:v>0</c:v>
                </c:pt>
                <c:pt idx="1">
                  <c:v>1</c:v>
                </c:pt>
                <c:pt idx="2">
                  <c:v>5.1548578701739456E-2</c:v>
                </c:pt>
                <c:pt idx="3">
                  <c:v>0.81993006993006989</c:v>
                </c:pt>
                <c:pt idx="4">
                  <c:v>0</c:v>
                </c:pt>
                <c:pt idx="5">
                  <c:v>1</c:v>
                </c:pt>
                <c:pt idx="6">
                  <c:v>0.12772585669781933</c:v>
                </c:pt>
                <c:pt idx="7">
                  <c:v>0</c:v>
                </c:pt>
                <c:pt idx="8">
                  <c:v>0.64157706093189959</c:v>
                </c:pt>
                <c:pt idx="9">
                  <c:v>0</c:v>
                </c:pt>
              </c:numCache>
            </c:numRef>
          </c:val>
          <c:extLst>
            <c:ext xmlns:c16="http://schemas.microsoft.com/office/drawing/2014/chart" uri="{C3380CC4-5D6E-409C-BE32-E72D297353CC}">
              <c16:uniqueId val="{00000002-B416-4AA8-B6FB-BDD6607D8C3B}"/>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Analysis!$C$267</c:f>
              <c:strCache>
                <c:ptCount val="1"/>
                <c:pt idx="0">
                  <c:v>  % Hygiene Coverage</c:v>
                </c:pt>
              </c:strCache>
            </c:strRef>
          </c:tx>
          <c:spPr>
            <a:solidFill>
              <a:schemeClr val="accent6">
                <a:lumMod val="75000"/>
              </a:schemeClr>
            </a:solidFill>
            <a:ln>
              <a:noFill/>
            </a:ln>
            <a:effectLst/>
          </c:spPr>
          <c:invertIfNegative val="0"/>
          <c:cat>
            <c:strRef>
              <c:f>Analysis!$B$268:$B$279</c:f>
              <c:strCache>
                <c:ptCount val="12"/>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strCache>
            </c:strRef>
          </c:cat>
          <c:val>
            <c:numRef>
              <c:f>Analysis!$C$268:$C$279</c:f>
              <c:numCache>
                <c:formatCode>0%</c:formatCode>
                <c:ptCount val="12"/>
                <c:pt idx="0">
                  <c:v>0.77242524916943522</c:v>
                </c:pt>
                <c:pt idx="1">
                  <c:v>0.89527027027027029</c:v>
                </c:pt>
                <c:pt idx="2">
                  <c:v>0.8761562178828366</c:v>
                </c:pt>
                <c:pt idx="3">
                  <c:v>0.57307102708226876</c:v>
                </c:pt>
                <c:pt idx="4">
                  <c:v>0.77817319098457893</c:v>
                </c:pt>
                <c:pt idx="5">
                  <c:v>0</c:v>
                </c:pt>
                <c:pt idx="6">
                  <c:v>0.74188598530642613</c:v>
                </c:pt>
                <c:pt idx="7">
                  <c:v>0.52518377348216716</c:v>
                </c:pt>
                <c:pt idx="8">
                  <c:v>0.15965939329430548</c:v>
                </c:pt>
                <c:pt idx="9">
                  <c:v>0.48309178743961351</c:v>
                </c:pt>
                <c:pt idx="10">
                  <c:v>0.55473251028806581</c:v>
                </c:pt>
                <c:pt idx="11">
                  <c:v>0.52424719261855379</c:v>
                </c:pt>
              </c:numCache>
            </c:numRef>
          </c:val>
          <c:extLst>
            <c:ext xmlns:c16="http://schemas.microsoft.com/office/drawing/2014/chart" uri="{C3380CC4-5D6E-409C-BE32-E72D297353CC}">
              <c16:uniqueId val="{00000001-544A-4609-AF18-1D77C4829C72}"/>
            </c:ext>
          </c:extLst>
        </c:ser>
        <c:ser>
          <c:idx val="1"/>
          <c:order val="1"/>
          <c:tx>
            <c:strRef>
              <c:f>Analysis!$D$267</c:f>
              <c:strCache>
                <c:ptCount val="1"/>
                <c:pt idx="0">
                  <c:v>  % Hygiene Gap</c:v>
                </c:pt>
              </c:strCache>
            </c:strRef>
          </c:tx>
          <c:spPr>
            <a:solidFill>
              <a:schemeClr val="accent6">
                <a:lumMod val="40000"/>
                <a:lumOff val="60000"/>
              </a:schemeClr>
            </a:solidFill>
            <a:ln>
              <a:noFill/>
            </a:ln>
            <a:effectLst/>
          </c:spPr>
          <c:invertIfNegative val="0"/>
          <c:cat>
            <c:strRef>
              <c:f>Analysis!$B$268:$B$279</c:f>
              <c:strCache>
                <c:ptCount val="12"/>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strCache>
            </c:strRef>
          </c:cat>
          <c:val>
            <c:numRef>
              <c:f>Analysis!$D$268:$D$279</c:f>
              <c:numCache>
                <c:formatCode>0%</c:formatCode>
                <c:ptCount val="12"/>
                <c:pt idx="0">
                  <c:v>0.22757475083056478</c:v>
                </c:pt>
                <c:pt idx="1">
                  <c:v>0.10472972972972971</c:v>
                </c:pt>
                <c:pt idx="2">
                  <c:v>0.1238437821171634</c:v>
                </c:pt>
                <c:pt idx="3">
                  <c:v>0.42692897291773124</c:v>
                </c:pt>
                <c:pt idx="4">
                  <c:v>0.22182680901542107</c:v>
                </c:pt>
                <c:pt idx="5">
                  <c:v>1</c:v>
                </c:pt>
                <c:pt idx="6">
                  <c:v>0.25811401469357387</c:v>
                </c:pt>
                <c:pt idx="7">
                  <c:v>0.47481622651783284</c:v>
                </c:pt>
                <c:pt idx="8">
                  <c:v>0.84034060670569455</c:v>
                </c:pt>
                <c:pt idx="9">
                  <c:v>0.51690821256038655</c:v>
                </c:pt>
                <c:pt idx="10">
                  <c:v>0.44526748971193419</c:v>
                </c:pt>
                <c:pt idx="11">
                  <c:v>0.47575280738144621</c:v>
                </c:pt>
              </c:numCache>
            </c:numRef>
          </c:val>
          <c:extLst>
            <c:ext xmlns:c16="http://schemas.microsoft.com/office/drawing/2014/chart" uri="{C3380CC4-5D6E-409C-BE32-E72D297353CC}">
              <c16:uniqueId val="{00000002-544A-4609-AF18-1D77C4829C72}"/>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Analysis!$L$266</c:f>
              <c:strCache>
                <c:ptCount val="1"/>
                <c:pt idx="0">
                  <c:v>  % Hygiene Coverage</c:v>
                </c:pt>
              </c:strCache>
            </c:strRef>
          </c:tx>
          <c:spPr>
            <a:solidFill>
              <a:schemeClr val="accent6">
                <a:lumMod val="75000"/>
              </a:schemeClr>
            </a:solidFill>
            <a:ln>
              <a:noFill/>
            </a:ln>
            <a:effectLst/>
          </c:spPr>
          <c:invertIfNegative val="0"/>
          <c:cat>
            <c:strRef>
              <c:f>Analysis!$K$267:$K$276</c:f>
              <c:strCache>
                <c:ptCount val="10"/>
                <c:pt idx="0">
                  <c:v>Hseni</c:v>
                </c:pt>
                <c:pt idx="1">
                  <c:v>Hsipaw</c:v>
                </c:pt>
                <c:pt idx="2">
                  <c:v>Kutkai</c:v>
                </c:pt>
                <c:pt idx="3">
                  <c:v>Kyaukme</c:v>
                </c:pt>
                <c:pt idx="4">
                  <c:v>Lashio</c:v>
                </c:pt>
                <c:pt idx="5">
                  <c:v>Laukkaing (Kokang SAZ)</c:v>
                </c:pt>
                <c:pt idx="6">
                  <c:v>Manton</c:v>
                </c:pt>
                <c:pt idx="7">
                  <c:v>Muse</c:v>
                </c:pt>
                <c:pt idx="8">
                  <c:v>Namhkan</c:v>
                </c:pt>
                <c:pt idx="9">
                  <c:v>Namtu</c:v>
                </c:pt>
              </c:strCache>
            </c:strRef>
          </c:cat>
          <c:val>
            <c:numRef>
              <c:f>Analysis!$L$267:$L$276</c:f>
              <c:numCache>
                <c:formatCode>0%</c:formatCode>
                <c:ptCount val="10"/>
                <c:pt idx="0">
                  <c:v>1</c:v>
                </c:pt>
                <c:pt idx="1">
                  <c:v>0.375</c:v>
                </c:pt>
                <c:pt idx="2">
                  <c:v>0.78086550700042423</c:v>
                </c:pt>
                <c:pt idx="3">
                  <c:v>0</c:v>
                </c:pt>
                <c:pt idx="4">
                  <c:v>0</c:v>
                </c:pt>
                <c:pt idx="5">
                  <c:v>0</c:v>
                </c:pt>
                <c:pt idx="6">
                  <c:v>1</c:v>
                </c:pt>
                <c:pt idx="7">
                  <c:v>0</c:v>
                </c:pt>
                <c:pt idx="8">
                  <c:v>0.66458982346832818</c:v>
                </c:pt>
                <c:pt idx="9">
                  <c:v>0.87479674796747964</c:v>
                </c:pt>
              </c:numCache>
            </c:numRef>
          </c:val>
          <c:extLst>
            <c:ext xmlns:c16="http://schemas.microsoft.com/office/drawing/2014/chart" uri="{C3380CC4-5D6E-409C-BE32-E72D297353CC}">
              <c16:uniqueId val="{00000001-60F5-471F-8F55-EDB418736E95}"/>
            </c:ext>
          </c:extLst>
        </c:ser>
        <c:ser>
          <c:idx val="1"/>
          <c:order val="1"/>
          <c:tx>
            <c:strRef>
              <c:f>Analysis!$M$266</c:f>
              <c:strCache>
                <c:ptCount val="1"/>
                <c:pt idx="0">
                  <c:v>  % Hygiene Gap</c:v>
                </c:pt>
              </c:strCache>
            </c:strRef>
          </c:tx>
          <c:spPr>
            <a:solidFill>
              <a:schemeClr val="accent6">
                <a:lumMod val="40000"/>
                <a:lumOff val="60000"/>
              </a:schemeClr>
            </a:solidFill>
            <a:ln>
              <a:noFill/>
            </a:ln>
            <a:effectLst/>
          </c:spPr>
          <c:invertIfNegative val="0"/>
          <c:cat>
            <c:strRef>
              <c:f>Analysis!$K$267:$K$276</c:f>
              <c:strCache>
                <c:ptCount val="10"/>
                <c:pt idx="0">
                  <c:v>Hseni</c:v>
                </c:pt>
                <c:pt idx="1">
                  <c:v>Hsipaw</c:v>
                </c:pt>
                <c:pt idx="2">
                  <c:v>Kutkai</c:v>
                </c:pt>
                <c:pt idx="3">
                  <c:v>Kyaukme</c:v>
                </c:pt>
                <c:pt idx="4">
                  <c:v>Lashio</c:v>
                </c:pt>
                <c:pt idx="5">
                  <c:v>Laukkaing (Kokang SAZ)</c:v>
                </c:pt>
                <c:pt idx="6">
                  <c:v>Manton</c:v>
                </c:pt>
                <c:pt idx="7">
                  <c:v>Muse</c:v>
                </c:pt>
                <c:pt idx="8">
                  <c:v>Namhkan</c:v>
                </c:pt>
                <c:pt idx="9">
                  <c:v>Namtu</c:v>
                </c:pt>
              </c:strCache>
            </c:strRef>
          </c:cat>
          <c:val>
            <c:numRef>
              <c:f>Analysis!$M$267:$M$276</c:f>
              <c:numCache>
                <c:formatCode>0%</c:formatCode>
                <c:ptCount val="10"/>
                <c:pt idx="0">
                  <c:v>0</c:v>
                </c:pt>
                <c:pt idx="1">
                  <c:v>0.625</c:v>
                </c:pt>
                <c:pt idx="2">
                  <c:v>0.21913449299957577</c:v>
                </c:pt>
                <c:pt idx="3">
                  <c:v>1</c:v>
                </c:pt>
                <c:pt idx="4">
                  <c:v>1</c:v>
                </c:pt>
                <c:pt idx="5">
                  <c:v>1</c:v>
                </c:pt>
                <c:pt idx="6">
                  <c:v>0</c:v>
                </c:pt>
                <c:pt idx="7">
                  <c:v>1</c:v>
                </c:pt>
                <c:pt idx="8">
                  <c:v>0.33541017653167182</c:v>
                </c:pt>
                <c:pt idx="9">
                  <c:v>0.12520325203252036</c:v>
                </c:pt>
              </c:numCache>
            </c:numRef>
          </c:val>
          <c:extLst>
            <c:ext xmlns:c16="http://schemas.microsoft.com/office/drawing/2014/chart" uri="{C3380CC4-5D6E-409C-BE32-E72D297353CC}">
              <c16:uniqueId val="{00000002-60F5-471F-8F55-EDB418736E95}"/>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66377196964110063"/>
          <c:h val="7.66394204959642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layout>
        <c:manualLayout>
          <c:xMode val="edge"/>
          <c:yMode val="edge"/>
          <c:x val="6.9592379601115043E-2"/>
          <c:y val="1.083016174462819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10</c:v>
                </c:pt>
                <c:pt idx="1">
                  <c:v>113</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0</c:v>
                      </c:pt>
                      <c:pt idx="1">
                        <c:v>40</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2023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b="1" i="0" baseline="0">
                <a:effectLst/>
              </a:rPr>
              <a:t>(Non-IDPs) </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HRP!$S$183</c:f>
              <c:strCache>
                <c:ptCount val="1"/>
                <c:pt idx="0">
                  <c:v>Coverage</c:v>
                </c:pt>
              </c:strCache>
            </c:strRef>
          </c:tx>
          <c:spPr>
            <a:solidFill>
              <a:srgbClr val="0070C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F654-4E6C-B062-4A2622CDB622}"/>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3FE3-484D-8596-F3C5C9549EEA}"/>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F379-4455-BCD4-40AFC80E23A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654-4E6C-B062-4A2622CDB6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HRP!$Q$186:$Q$189</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HRP!$S$186:$S$189</c:f>
              <c:numCache>
                <c:formatCode>_(* #,##0_);_(* \(#,##0\);_(* "-"??_);_(@_)</c:formatCode>
                <c:ptCount val="4"/>
                <c:pt idx="0">
                  <c:v>19127.18</c:v>
                </c:pt>
                <c:pt idx="1">
                  <c:v>25779</c:v>
                </c:pt>
                <c:pt idx="2">
                  <c:v>1313</c:v>
                </c:pt>
                <c:pt idx="3">
                  <c:v>15503</c:v>
                </c:pt>
              </c:numCache>
            </c:numRef>
          </c:val>
          <c:extLst>
            <c:ext xmlns:c16="http://schemas.microsoft.com/office/drawing/2014/chart" uri="{C3380CC4-5D6E-409C-BE32-E72D297353CC}">
              <c16:uniqueId val="{00000000-851F-45C7-9C99-A7FF6B6487FE}"/>
            </c:ext>
          </c:extLst>
        </c:ser>
        <c:ser>
          <c:idx val="1"/>
          <c:order val="1"/>
          <c:tx>
            <c:strRef>
              <c:f>HRP!$T$183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A-F654-4E6C-B062-4A2622CDB622}"/>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FE3-484D-8596-F3C5C9549EEA}"/>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F379-4455-BCD4-40AFC80E23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HRP!$Q$186:$Q$189</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HRP!$T$186:$T$189</c:f>
              <c:numCache>
                <c:formatCode>_(* #,##0_);_(* \(#,##0\);_(* "-"??_);_(@_)</c:formatCode>
                <c:ptCount val="4"/>
                <c:pt idx="0">
                  <c:v>2584.9078833065178</c:v>
                </c:pt>
                <c:pt idx="1">
                  <c:v>508135.00766613043</c:v>
                </c:pt>
                <c:pt idx="2">
                  <c:v>287421.41335045081</c:v>
                </c:pt>
                <c:pt idx="3">
                  <c:v>301438.63726056903</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0</c:v>
                </c:pt>
                <c:pt idx="1">
                  <c:v>40</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10</c:v>
                      </c:pt>
                      <c:pt idx="1">
                        <c:v>113</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layout>
        <c:manualLayout>
          <c:xMode val="edge"/>
          <c:yMode val="edge"/>
          <c:x val="0.31292038784537074"/>
          <c:y val="2.831318935370575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Analysis!$K$61:$K$64</c:f>
              <c:strCache>
                <c:ptCount val="4"/>
                <c:pt idx="0">
                  <c:v>2023_Q1</c:v>
                </c:pt>
                <c:pt idx="1">
                  <c:v>2023_Q2</c:v>
                </c:pt>
                <c:pt idx="2">
                  <c:v>2023_Q3</c:v>
                </c:pt>
                <c:pt idx="3">
                  <c:v>2023_Q4</c:v>
                </c:pt>
              </c:strCache>
            </c:strRef>
          </c:cat>
          <c:val>
            <c:numRef>
              <c:f>Analysis!$L$61:$L$64</c:f>
              <c:numCache>
                <c:formatCode>General</c:formatCode>
                <c:ptCount val="4"/>
                <c:pt idx="0">
                  <c:v>36</c:v>
                </c:pt>
                <c:pt idx="1">
                  <c:v>0</c:v>
                </c:pt>
                <c:pt idx="2">
                  <c:v>0</c:v>
                </c:pt>
                <c:pt idx="3">
                  <c:v>0</c:v>
                </c:pt>
              </c:numCache>
            </c:numRef>
          </c:val>
          <c:extLst>
            <c:ext xmlns:c16="http://schemas.microsoft.com/office/drawing/2014/chart" uri="{C3380CC4-5D6E-409C-BE32-E72D297353CC}">
              <c16:uniqueId val="{00000000-F935-4EB7-A6DD-5FF2CD715C68}"/>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Analysis!$K$61:$K$64</c:f>
              <c:strCache>
                <c:ptCount val="4"/>
                <c:pt idx="0">
                  <c:v>2023_Q1</c:v>
                </c:pt>
                <c:pt idx="1">
                  <c:v>2023_Q2</c:v>
                </c:pt>
                <c:pt idx="2">
                  <c:v>2023_Q3</c:v>
                </c:pt>
                <c:pt idx="3">
                  <c:v>2023_Q4</c:v>
                </c:pt>
              </c:strCache>
            </c:strRef>
          </c:cat>
          <c:val>
            <c:numRef>
              <c:f>Analysis!$M$61:$M$64</c:f>
              <c:numCache>
                <c:formatCode>General</c:formatCode>
                <c:ptCount val="4"/>
                <c:pt idx="0">
                  <c:v>37</c:v>
                </c:pt>
                <c:pt idx="1">
                  <c:v>0</c:v>
                </c:pt>
                <c:pt idx="2">
                  <c:v>0</c:v>
                </c:pt>
                <c:pt idx="3">
                  <c:v>0</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10</c:v>
                </c:pt>
                <c:pt idx="1">
                  <c:v>113</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10</c:v>
                      </c:pt>
                      <c:pt idx="1">
                        <c:v>113</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Analysis!$Y$59:$Y$62</c:f>
              <c:strCache>
                <c:ptCount val="4"/>
                <c:pt idx="0">
                  <c:v>2023_Q1</c:v>
                </c:pt>
                <c:pt idx="1">
                  <c:v>2023_Q2</c:v>
                </c:pt>
                <c:pt idx="2">
                  <c:v>2023_Q3</c:v>
                </c:pt>
                <c:pt idx="3">
                  <c:v>2023_Q4</c:v>
                </c:pt>
              </c:strCache>
            </c:strRef>
          </c:cat>
          <c:val>
            <c:numRef>
              <c:f>Analysis!$Z$59:$Z$62</c:f>
              <c:numCache>
                <c:formatCode>General</c:formatCode>
                <c:ptCount val="4"/>
                <c:pt idx="0">
                  <c:v>132</c:v>
                </c:pt>
              </c:numCache>
            </c:numRef>
          </c:val>
          <c:extLst>
            <c:ext xmlns:c16="http://schemas.microsoft.com/office/drawing/2014/chart" uri="{C3380CC4-5D6E-409C-BE32-E72D297353CC}">
              <c16:uniqueId val="{00000000-A528-4231-8455-2E23C4C4DBA8}"/>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Analysis!$Y$59:$Y$62</c:f>
              <c:strCache>
                <c:ptCount val="4"/>
                <c:pt idx="0">
                  <c:v>2023_Q1</c:v>
                </c:pt>
                <c:pt idx="1">
                  <c:v>2023_Q2</c:v>
                </c:pt>
                <c:pt idx="2">
                  <c:v>2023_Q3</c:v>
                </c:pt>
                <c:pt idx="3">
                  <c:v>2023_Q4</c:v>
                </c:pt>
              </c:strCache>
            </c:strRef>
          </c:cat>
          <c:val>
            <c:numRef>
              <c:f>Analysis!$AA$59:$AA$62</c:f>
              <c:numCache>
                <c:formatCode>General</c:formatCode>
                <c:ptCount val="4"/>
                <c:pt idx="0">
                  <c:v>128</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1509</c:v>
                </c:pt>
                <c:pt idx="1">
                  <c:v>681</c:v>
                </c:pt>
              </c:numCache>
            </c:numRef>
          </c:val>
          <c:extLst>
            <c:ext xmlns:c16="http://schemas.microsoft.com/office/drawing/2014/chart" uri="{C3380CC4-5D6E-409C-BE32-E72D297353CC}">
              <c16:uniqueId val="{00000000-508F-4540-BAAC-3440C3BC2E85}"/>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971.75</c:v>
                </c:pt>
                <c:pt idx="1">
                  <c:v>6457.2</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1356</c:v>
                </c:pt>
                <c:pt idx="1">
                  <c:v>1773</c:v>
                </c:pt>
              </c:numCache>
            </c:numRef>
          </c:val>
          <c:extLst>
            <c:ext xmlns:c16="http://schemas.microsoft.com/office/drawing/2014/chart" uri="{C3380CC4-5D6E-409C-BE32-E72D297353CC}">
              <c16:uniqueId val="{00000000-60D0-4AE6-A456-9C602536AFEE}"/>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13573.199999999999</c:v>
                </c:pt>
                <c:pt idx="1">
                  <c:v>8653.9499999999989</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GCA</c:v>
                </c:pt>
                <c:pt idx="1">
                  <c:v>NGCA</c:v>
                </c:pt>
              </c:strCache>
            </c:strRef>
          </c:cat>
          <c:val>
            <c:numRef>
              <c:f>Analysis!$P$121:$P$122</c:f>
              <c:numCache>
                <c:formatCode>_(* #,##0_);_(* \(#,##0\);_(* "-"??_);_(@_)</c:formatCode>
                <c:ptCount val="2"/>
                <c:pt idx="0">
                  <c:v>39574</c:v>
                </c:pt>
                <c:pt idx="1">
                  <c:v>35544</c:v>
                </c:pt>
              </c:numCache>
            </c:numRef>
          </c:val>
          <c:extLst>
            <c:ext xmlns:c16="http://schemas.microsoft.com/office/drawing/2014/chart" uri="{C3380CC4-5D6E-409C-BE32-E72D297353CC}">
              <c16:uniqueId val="{00000001-9769-432A-AA7F-7BA9E82BFE53}"/>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GCA</c:v>
                </c:pt>
                <c:pt idx="1">
                  <c:v>NGCA</c:v>
                </c:pt>
              </c:strCache>
            </c:strRef>
          </c:cat>
          <c:val>
            <c:numRef>
              <c:f>Analysis!$Q$121:$Q$122</c:f>
              <c:numCache>
                <c:formatCode>_(* #,##0_);_(* \(#,##0\);_(* "-"??_);_(@_)</c:formatCode>
                <c:ptCount val="2"/>
                <c:pt idx="0">
                  <c:v>12287</c:v>
                </c:pt>
                <c:pt idx="1">
                  <c:v>10657</c:v>
                </c:pt>
              </c:numCache>
            </c:numRef>
          </c:val>
          <c:extLst>
            <c:ext xmlns:c16="http://schemas.microsoft.com/office/drawing/2014/chart" uri="{C3380CC4-5D6E-409C-BE32-E72D297353CC}">
              <c16:uniqueId val="{00000002-9769-432A-AA7F-7BA9E82BFE53}"/>
            </c:ext>
          </c:extLst>
        </c:ser>
        <c:dLbls>
          <c:dLblPos val="ctr"/>
          <c:showLegendKey val="0"/>
          <c:showVal val="1"/>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solidFill>
              <a:schemeClr val="accent2">
                <a:lumMod val="75000"/>
              </a:schemeClr>
            </a:solidFill>
            <a:ln>
              <a:noFill/>
            </a:ln>
            <a:effectLst/>
          </c:spPr>
          <c:invertIfNegative val="0"/>
          <c:cat>
            <c:strRef>
              <c:f>Analysis!$X$121</c:f>
              <c:strCache>
                <c:ptCount val="1"/>
                <c:pt idx="0">
                  <c:v>GCA</c:v>
                </c:pt>
              </c:strCache>
            </c:strRef>
          </c:cat>
          <c:val>
            <c:numRef>
              <c:f>Analysis!$Y$121</c:f>
              <c:numCache>
                <c:formatCode>_(* #,##0_);_(* \(#,##0\);_(* "-"??_);_(@_)</c:formatCode>
                <c:ptCount val="1"/>
                <c:pt idx="0">
                  <c:v>7616</c:v>
                </c:pt>
              </c:numCache>
            </c:numRef>
          </c:val>
          <c:extLst>
            <c:ext xmlns:c16="http://schemas.microsoft.com/office/drawing/2014/chart" uri="{C3380CC4-5D6E-409C-BE32-E72D297353CC}">
              <c16:uniqueId val="{00000001-2860-460A-B57B-C1FF2C522B93}"/>
            </c:ext>
          </c:extLst>
        </c:ser>
        <c:ser>
          <c:idx val="1"/>
          <c:order val="1"/>
          <c:tx>
            <c:strRef>
              <c:f>Analysis!$Z$120</c:f>
              <c:strCache>
                <c:ptCount val="1"/>
                <c:pt idx="0">
                  <c:v>Not-accessed</c:v>
                </c:pt>
              </c:strCache>
            </c:strRef>
          </c:tx>
          <c:spPr>
            <a:solidFill>
              <a:schemeClr val="accent2">
                <a:lumMod val="40000"/>
                <a:lumOff val="60000"/>
              </a:schemeClr>
            </a:solidFill>
            <a:ln>
              <a:noFill/>
            </a:ln>
            <a:effectLst/>
          </c:spPr>
          <c:invertIfNegative val="0"/>
          <c:cat>
            <c:strRef>
              <c:f>Analysis!$X$121</c:f>
              <c:strCache>
                <c:ptCount val="1"/>
                <c:pt idx="0">
                  <c:v>GCA</c:v>
                </c:pt>
              </c:strCache>
            </c:strRef>
          </c:cat>
          <c:val>
            <c:numRef>
              <c:f>Analysis!$Z$121</c:f>
              <c:numCache>
                <c:formatCode>_(* #,##0_);_(* \(#,##0\);_(* "-"??_);_(@_)</c:formatCode>
                <c:ptCount val="1"/>
                <c:pt idx="0">
                  <c:v>3695</c:v>
                </c:pt>
              </c:numCache>
            </c:numRef>
          </c:val>
          <c:extLst>
            <c:ext xmlns:c16="http://schemas.microsoft.com/office/drawing/2014/chart" uri="{C3380CC4-5D6E-409C-BE32-E72D297353CC}">
              <c16:uniqueId val="{00000002-2860-460A-B57B-C1FF2C522B93}"/>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90F-44CB-B473-33BAE2E627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14</c:v>
                </c:pt>
              </c:numCache>
            </c:numRef>
          </c:val>
          <c:extLst>
            <c:ext xmlns:c16="http://schemas.microsoft.com/office/drawing/2014/chart" uri="{C3380CC4-5D6E-409C-BE32-E72D297353CC}">
              <c16:uniqueId val="{00000000-35E5-4CBD-893B-463E52BE8668}"/>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3266.1899999999996</c:v>
                </c:pt>
              </c:numCache>
            </c:numRef>
          </c:val>
          <c:extLst>
            <c:ext xmlns:c16="http://schemas.microsoft.com/office/drawing/2014/chart" uri="{C3380CC4-5D6E-409C-BE32-E72D297353CC}">
              <c16:uniqueId val="{00000001-35E5-4CBD-893B-463E52BE8668}"/>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2023 HRP targets</a:t>
            </a:r>
          </a:p>
          <a:p>
            <a:pPr>
              <a:defRPr sz="1400"/>
            </a:pPr>
            <a:r>
              <a:rPr lang="en-US" sz="1400" b="1" i="0" baseline="0">
                <a:effectLst/>
              </a:rPr>
              <a:t>Total (IDPs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HRP!$AC$183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rgbClr val="FFFF00"/>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1277-43EF-B124-13DB270E2D9D}"/>
              </c:ext>
            </c:extLst>
          </c:dPt>
          <c:dPt>
            <c:idx val="5"/>
            <c:invertIfNegative val="0"/>
            <c:bubble3D val="0"/>
            <c:spPr>
              <a:solidFill>
                <a:srgbClr val="0070C0"/>
              </a:solidFill>
              <a:ln>
                <a:noFill/>
              </a:ln>
              <a:effectLst/>
            </c:spPr>
            <c:extLst>
              <c:ext xmlns:c16="http://schemas.microsoft.com/office/drawing/2014/chart" uri="{C3380CC4-5D6E-409C-BE32-E72D297353CC}">
                <c16:uniqueId val="{0000000B-2C08-4149-A500-9760685181D2}"/>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F59-4E13-A78D-D1FAA28709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HRP!$AA$184:$AA$189</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HRP!$AC$184:$AC$189</c:f>
              <c:numCache>
                <c:formatCode>_(* #,##0_);_(* \(#,##0\);_(* "-"??_);_(@_)</c:formatCode>
                <c:ptCount val="6"/>
                <c:pt idx="0">
                  <c:v>1643</c:v>
                </c:pt>
                <c:pt idx="1">
                  <c:v>17941</c:v>
                </c:pt>
                <c:pt idx="2">
                  <c:v>47997.899999999994</c:v>
                </c:pt>
                <c:pt idx="3">
                  <c:v>322968.18497434334</c:v>
                </c:pt>
                <c:pt idx="4">
                  <c:v>325531</c:v>
                </c:pt>
                <c:pt idx="5">
                  <c:v>391586.33333333337</c:v>
                </c:pt>
              </c:numCache>
            </c:numRef>
          </c:val>
          <c:extLst>
            <c:ext xmlns:c16="http://schemas.microsoft.com/office/drawing/2014/chart" uri="{C3380CC4-5D6E-409C-BE32-E72D297353CC}">
              <c16:uniqueId val="{00000006-DF59-4E13-A78D-D1FAA2870958}"/>
            </c:ext>
          </c:extLst>
        </c:ser>
        <c:ser>
          <c:idx val="1"/>
          <c:order val="1"/>
          <c:tx>
            <c:strRef>
              <c:f>HRP!$AD$183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1277-43EF-B124-13DB270E2D9D}"/>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2C08-4149-A500-9760685181D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HRP!$AA$184:$AA$189</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HRP!$AD$184:$AD$189</c:f>
              <c:numCache>
                <c:formatCode>_(* #,##0_);_(* \(#,##0\);_(* "-"??_);_(@_)</c:formatCode>
                <c:ptCount val="6"/>
                <c:pt idx="0">
                  <c:v>68481.640000000014</c:v>
                </c:pt>
                <c:pt idx="1">
                  <c:v>87993.290999999997</c:v>
                </c:pt>
                <c:pt idx="2">
                  <c:v>180565.52788330655</c:v>
                </c:pt>
                <c:pt idx="3">
                  <c:v>1306762.6226917871</c:v>
                </c:pt>
                <c:pt idx="4">
                  <c:v>673488.11335045088</c:v>
                </c:pt>
                <c:pt idx="5">
                  <c:v>706533.84392723569</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[20230504_Myanmar_WASH_4W_2023_Q1_KachinShan_camp_Consolidate.xlsx]Analysis!PivotTable13</c:name>
    <c:fmtId val="24"/>
  </c:pivotSource>
  <c:chart>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solidFill>
              <a:schemeClr val="accent2">
                <a:lumMod val="40000"/>
                <a:lumOff val="60000"/>
              </a:schemeClr>
            </a:solidFill>
            <a:ln>
              <a:noFill/>
            </a:ln>
            <a:effectLst/>
          </c:spPr>
          <c:invertIfNegative val="0"/>
          <c:cat>
            <c:strRef>
              <c:f>Analysis!$AI$121:$AI$133</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Analysis!$AJ$121:$AJ$133</c:f>
              <c:numCache>
                <c:formatCode>General</c:formatCode>
                <c:ptCount val="13"/>
                <c:pt idx="0">
                  <c:v>318</c:v>
                </c:pt>
                <c:pt idx="1">
                  <c:v>76</c:v>
                </c:pt>
                <c:pt idx="2">
                  <c:v>171</c:v>
                </c:pt>
                <c:pt idx="3">
                  <c:v>60</c:v>
                </c:pt>
                <c:pt idx="4">
                  <c:v>1059</c:v>
                </c:pt>
                <c:pt idx="5">
                  <c:v>79</c:v>
                </c:pt>
                <c:pt idx="6">
                  <c:v>5</c:v>
                </c:pt>
                <c:pt idx="7">
                  <c:v>1571</c:v>
                </c:pt>
                <c:pt idx="8">
                  <c:v>442</c:v>
                </c:pt>
                <c:pt idx="9">
                  <c:v>27</c:v>
                </c:pt>
                <c:pt idx="10">
                  <c:v>176</c:v>
                </c:pt>
                <c:pt idx="11">
                  <c:v>63</c:v>
                </c:pt>
                <c:pt idx="12">
                  <c:v>2141</c:v>
                </c:pt>
              </c:numCache>
            </c:numRef>
          </c:val>
          <c:extLst>
            <c:ext xmlns:c16="http://schemas.microsoft.com/office/drawing/2014/chart" uri="{C3380CC4-5D6E-409C-BE32-E72D297353CC}">
              <c16:uniqueId val="{00000001-AD47-4A2A-B050-28C4E52D04CD}"/>
            </c:ext>
          </c:extLst>
        </c:ser>
        <c:ser>
          <c:idx val="1"/>
          <c:order val="1"/>
          <c:tx>
            <c:strRef>
              <c:f>Analysis!$AK$120</c:f>
              <c:strCache>
                <c:ptCount val="1"/>
                <c:pt idx="0">
                  <c:v>Target (20:1)</c:v>
                </c:pt>
              </c:strCache>
            </c:strRef>
          </c:tx>
          <c:spPr>
            <a:solidFill>
              <a:schemeClr val="accent2">
                <a:lumMod val="75000"/>
              </a:schemeClr>
            </a:solidFill>
            <a:ln>
              <a:noFill/>
            </a:ln>
            <a:effectLst/>
          </c:spPr>
          <c:invertIfNegative val="0"/>
          <c:cat>
            <c:strRef>
              <c:f>Analysis!$AI$121:$AI$133</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Analysis!$AK$121:$AK$133</c:f>
              <c:numCache>
                <c:formatCode>General</c:formatCode>
                <c:ptCount val="13"/>
                <c:pt idx="0">
                  <c:v>332</c:v>
                </c:pt>
                <c:pt idx="1">
                  <c:v>133</c:v>
                </c:pt>
                <c:pt idx="2">
                  <c:v>195</c:v>
                </c:pt>
                <c:pt idx="3">
                  <c:v>30</c:v>
                </c:pt>
                <c:pt idx="4">
                  <c:v>612</c:v>
                </c:pt>
                <c:pt idx="5">
                  <c:v>86</c:v>
                </c:pt>
                <c:pt idx="6">
                  <c:v>6</c:v>
                </c:pt>
                <c:pt idx="7">
                  <c:v>1338</c:v>
                </c:pt>
                <c:pt idx="8">
                  <c:v>550</c:v>
                </c:pt>
                <c:pt idx="9">
                  <c:v>94</c:v>
                </c:pt>
                <c:pt idx="10">
                  <c:v>52</c:v>
                </c:pt>
                <c:pt idx="11">
                  <c:v>61</c:v>
                </c:pt>
                <c:pt idx="12">
                  <c:v>1699</c:v>
                </c:pt>
              </c:numCache>
            </c:numRef>
          </c:val>
          <c:extLst>
            <c:ext xmlns:c16="http://schemas.microsoft.com/office/drawing/2014/chart" uri="{C3380CC4-5D6E-409C-BE32-E72D297353CC}">
              <c16:uniqueId val="{00000002-AD47-4A2A-B050-28C4E52D04CD}"/>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[20230504_Myanmar_WASH_4W_2023_Q1_KachinShan_camp_Consolidate.xlsx]Analysis!PivotTable15</c:name>
    <c:fmtId val="31"/>
  </c:pivotSource>
  <c:chart>
    <c:autoTitleDeleted val="0"/>
    <c:pivotFmts>
      <c:pivotFmt>
        <c:idx val="0"/>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Analysis!$AJ$140</c:f>
              <c:strCache>
                <c:ptCount val="1"/>
                <c:pt idx="0">
                  <c:v>Reached</c:v>
                </c:pt>
              </c:strCache>
            </c:strRef>
          </c:tx>
          <c:spPr>
            <a:solidFill>
              <a:schemeClr val="accent2">
                <a:lumMod val="40000"/>
                <a:lumOff val="60000"/>
              </a:schemeClr>
            </a:solidFill>
            <a:ln>
              <a:noFill/>
            </a:ln>
            <a:effectLst/>
          </c:spPr>
          <c:invertIfNegative val="0"/>
          <c:cat>
            <c:strRef>
              <c:f>Analysis!$AI$141:$AI$150</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Analysis!$AJ$141:$AJ$150</c:f>
              <c:numCache>
                <c:formatCode>General</c:formatCode>
                <c:ptCount val="10"/>
                <c:pt idx="0">
                  <c:v>54</c:v>
                </c:pt>
                <c:pt idx="1">
                  <c:v>0</c:v>
                </c:pt>
                <c:pt idx="2">
                  <c:v>711</c:v>
                </c:pt>
                <c:pt idx="3">
                  <c:v>45</c:v>
                </c:pt>
                <c:pt idx="4">
                  <c:v>23</c:v>
                </c:pt>
                <c:pt idx="5">
                  <c:v>30</c:v>
                </c:pt>
                <c:pt idx="6">
                  <c:v>56</c:v>
                </c:pt>
                <c:pt idx="7">
                  <c:v>0</c:v>
                </c:pt>
                <c:pt idx="8">
                  <c:v>54</c:v>
                </c:pt>
                <c:pt idx="9">
                  <c:v>40</c:v>
                </c:pt>
              </c:numCache>
            </c:numRef>
          </c:val>
          <c:extLst>
            <c:ext xmlns:c16="http://schemas.microsoft.com/office/drawing/2014/chart" uri="{C3380CC4-5D6E-409C-BE32-E72D297353CC}">
              <c16:uniqueId val="{00000001-2D44-4A8A-A855-F2F02E0990FE}"/>
            </c:ext>
          </c:extLst>
        </c:ser>
        <c:ser>
          <c:idx val="1"/>
          <c:order val="1"/>
          <c:tx>
            <c:strRef>
              <c:f>Analysis!$AK$140</c:f>
              <c:strCache>
                <c:ptCount val="1"/>
                <c:pt idx="0">
                  <c:v>Target (20:1)</c:v>
                </c:pt>
              </c:strCache>
            </c:strRef>
          </c:tx>
          <c:spPr>
            <a:solidFill>
              <a:schemeClr val="accent2">
                <a:lumMod val="75000"/>
              </a:schemeClr>
            </a:solidFill>
            <a:ln>
              <a:noFill/>
            </a:ln>
            <a:effectLst/>
          </c:spPr>
          <c:invertIfNegative val="0"/>
          <c:cat>
            <c:strRef>
              <c:f>Analysis!$AI$141:$AI$150</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Analysis!$AK$141:$AK$150</c:f>
              <c:numCache>
                <c:formatCode>General</c:formatCode>
                <c:ptCount val="10"/>
                <c:pt idx="0">
                  <c:v>20</c:v>
                </c:pt>
                <c:pt idx="1">
                  <c:v>6</c:v>
                </c:pt>
                <c:pt idx="2">
                  <c:v>473</c:v>
                </c:pt>
                <c:pt idx="3">
                  <c:v>15</c:v>
                </c:pt>
                <c:pt idx="4">
                  <c:v>28</c:v>
                </c:pt>
                <c:pt idx="5">
                  <c:v>84</c:v>
                </c:pt>
                <c:pt idx="6">
                  <c:v>14</c:v>
                </c:pt>
                <c:pt idx="7">
                  <c:v>84</c:v>
                </c:pt>
                <c:pt idx="8">
                  <c:v>49</c:v>
                </c:pt>
                <c:pt idx="9">
                  <c:v>31</c:v>
                </c:pt>
              </c:numCache>
            </c:numRef>
          </c:val>
          <c:extLst>
            <c:ext xmlns:c16="http://schemas.microsoft.com/office/drawing/2014/chart" uri="{C3380CC4-5D6E-409C-BE32-E72D297353CC}">
              <c16:uniqueId val="{00000002-2D44-4A8A-A855-F2F02E0990FE}"/>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[20230504_Myanmar_WASH_4W_2023_Q1_KachinShan_camp_Consolidate.xlsx]Analysis!PivotTable3</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2023_Q1-Kachin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Analysis!$D$408:$D$409</c:f>
              <c:strCache>
                <c:ptCount val="1"/>
                <c:pt idx="0">
                  <c:v>2023_Q1</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Analysis!$C$410:$C$413</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Analysis!$D$410:$D$413</c:f>
              <c:numCache>
                <c:formatCode>0%</c:formatCode>
                <c:ptCount val="4"/>
                <c:pt idx="0">
                  <c:v>0.86780487804878048</c:v>
                </c:pt>
                <c:pt idx="1">
                  <c:v>0.85650000000000015</c:v>
                </c:pt>
                <c:pt idx="2">
                  <c:v>0.82594594594594584</c:v>
                </c:pt>
                <c:pt idx="3">
                  <c:v>8.800912246350269E-2</c:v>
                </c:pt>
              </c:numCache>
            </c:numRef>
          </c:val>
          <c:extLst>
            <c:ext xmlns:c16="http://schemas.microsoft.com/office/drawing/2014/chart" uri="{C3380CC4-5D6E-409C-BE32-E72D297353CC}">
              <c16:uniqueId val="{00000000-4BC3-4991-AC11-AEBD3462C7AA}"/>
            </c:ext>
          </c:extLst>
        </c:ser>
        <c:dLbls>
          <c:showLegendKey val="0"/>
          <c:showVal val="0"/>
          <c:showCatName val="0"/>
          <c:showSerName val="0"/>
          <c:showPercent val="0"/>
          <c:showBubbleSize val="0"/>
        </c:dLbls>
        <c:gapWidth val="10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[20230504_Myanmar_WASH_4W_2023_Q1_KachinShan_camp_Consolidate.xlsx]Analysis!PivotTable4</c:name>
    <c:fmtId val="2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2023_Q1- Shan(North)</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Analysis!$D$423:$D$424</c:f>
              <c:strCache>
                <c:ptCount val="1"/>
                <c:pt idx="0">
                  <c:v>2023_Q1</c:v>
                </c:pt>
              </c:strCache>
            </c:strRef>
          </c:tx>
          <c:spPr>
            <a:solidFill>
              <a:schemeClr val="accent4">
                <a:lumMod val="40000"/>
                <a:lumOff val="60000"/>
              </a:schemeClr>
            </a:solidFill>
            <a:ln>
              <a:noFill/>
            </a:ln>
            <a:effectLst/>
          </c:spPr>
          <c:invertIfNegative val="0"/>
          <c:cat>
            <c:strRef>
              <c:f>Analysis!$C$425:$C$428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Analysis!$D$425:$D$428</c:f>
              <c:numCache>
                <c:formatCode>0%</c:formatCode>
                <c:ptCount val="4"/>
                <c:pt idx="3">
                  <c:v>#N/A</c:v>
                </c:pt>
              </c:numCache>
            </c:numRef>
          </c:val>
          <c:extLst>
            <c:ext xmlns:c16="http://schemas.microsoft.com/office/drawing/2014/chart" uri="{C3380CC4-5D6E-409C-BE32-E72D297353CC}">
              <c16:uniqueId val="{00000000-F8BB-4D3C-80CD-661BBADB251C}"/>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[20230504_Myanmar_WASH_4W_2023_Q1_KachinShan_camp_Consolidate.xlsx]Analysis!PivotTable17</c:name>
    <c:fmtId val="62"/>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t>
            </a:r>
            <a:r>
              <a:rPr lang="en-US" baseline="0"/>
              <a:t> of sites covered/gap</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pivotFmt>
      <c:pivotFmt>
        <c:idx val="9"/>
        <c:spPr>
          <a:solidFill>
            <a:schemeClr val="accent1">
              <a:lumMod val="40000"/>
              <a:lumOff val="60000"/>
            </a:schemeClr>
          </a:solidFill>
          <a:ln>
            <a:noFill/>
          </a:ln>
          <a:effectLst/>
        </c:spPr>
      </c:pivotFmt>
      <c:pivotFmt>
        <c:idx val="10"/>
        <c:spPr>
          <a:solidFill>
            <a:schemeClr val="accent2"/>
          </a:solidFill>
          <a:ln>
            <a:noFill/>
          </a:ln>
          <a:effectLst/>
        </c:spPr>
      </c:pivotFmt>
      <c:pivotFmt>
        <c:idx val="11"/>
        <c:spPr>
          <a:solidFill>
            <a:schemeClr val="accent1">
              <a:lumMod val="20000"/>
              <a:lumOff val="80000"/>
            </a:schemeClr>
          </a:solidFill>
          <a:ln>
            <a:noFill/>
          </a:ln>
          <a:effectLst/>
        </c:spPr>
      </c:pivotFmt>
    </c:pivotFmts>
    <c:plotArea>
      <c:layout/>
      <c:barChart>
        <c:barDir val="bar"/>
        <c:grouping val="clustered"/>
        <c:varyColors val="0"/>
        <c:ser>
          <c:idx val="0"/>
          <c:order val="0"/>
          <c:tx>
            <c:strRef>
              <c:f>Analysis!$S$11</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6-EAB9-4132-A423-B6BAD047205A}"/>
              </c:ext>
            </c:extLst>
          </c:dPt>
          <c:dPt>
            <c:idx val="1"/>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EAB9-4132-A423-B6BAD047205A}"/>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8-EAB9-4132-A423-B6BAD04720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Analysis!$R$12:$R$16</c:f>
              <c:multiLvlStrCache>
                <c:ptCount val="3"/>
                <c:lvl>
                  <c:pt idx="0">
                    <c:v>reported</c:v>
                  </c:pt>
                  <c:pt idx="1">
                    <c:v>Not reported</c:v>
                  </c:pt>
                  <c:pt idx="2">
                    <c:v> </c:v>
                  </c:pt>
                </c:lvl>
                <c:lvl>
                  <c:pt idx="0">
                    <c:v>Covered</c:v>
                  </c:pt>
                  <c:pt idx="2">
                    <c:v>Notcovered</c:v>
                  </c:pt>
                </c:lvl>
              </c:multiLvlStrCache>
            </c:multiLvlStrRef>
          </c:cat>
          <c:val>
            <c:numRef>
              <c:f>Analysis!$S$12:$S$16</c:f>
              <c:numCache>
                <c:formatCode>_(* #,##0_);_(* \(#,##0\);_(* "-"??_);_(@_)</c:formatCode>
                <c:ptCount val="3"/>
                <c:pt idx="0">
                  <c:v>123</c:v>
                </c:pt>
                <c:pt idx="1">
                  <c:v>6</c:v>
                </c:pt>
                <c:pt idx="2">
                  <c:v>29</c:v>
                </c:pt>
              </c:numCache>
            </c:numRef>
          </c:val>
          <c:extLst>
            <c:ext xmlns:c16="http://schemas.microsoft.com/office/drawing/2014/chart" uri="{C3380CC4-5D6E-409C-BE32-E72D297353CC}">
              <c16:uniqueId val="{00000000-EAB9-4132-A423-B6BAD047205A}"/>
            </c:ext>
          </c:extLst>
        </c:ser>
        <c:dLbls>
          <c:showLegendKey val="0"/>
          <c:showVal val="0"/>
          <c:showCatName val="0"/>
          <c:showSerName val="0"/>
          <c:showPercent val="0"/>
          <c:showBubbleSize val="0"/>
        </c:dLbls>
        <c:gapWidth val="50"/>
        <c:axId val="541503664"/>
        <c:axId val="541500336"/>
      </c:barChart>
      <c:catAx>
        <c:axId val="541503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0336"/>
        <c:crosses val="autoZero"/>
        <c:auto val="1"/>
        <c:lblAlgn val="ctr"/>
        <c:lblOffset val="100"/>
        <c:noMultiLvlLbl val="0"/>
      </c:catAx>
      <c:valAx>
        <c:axId val="541500336"/>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Analysis!$D$294:$D$295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Analysis!$C$296:$C$298</c:f>
              <c:strCache>
                <c:ptCount val="3"/>
                <c:pt idx="0">
                  <c:v>Camp</c:v>
                </c:pt>
                <c:pt idx="1">
                  <c:v>Camp_not registered</c:v>
                </c:pt>
                <c:pt idx="2">
                  <c:v>Extenshion_camp</c:v>
                </c:pt>
              </c:strCache>
            </c:strRef>
          </c:cat>
          <c:val>
            <c:numRef>
              <c:f>Analysis!$D$296:$D$298</c:f>
              <c:numCache>
                <c:formatCode>General</c:formatCode>
                <c:ptCount val="3"/>
                <c:pt idx="0">
                  <c:v>111</c:v>
                </c:pt>
                <c:pt idx="1">
                  <c:v>4</c:v>
                </c:pt>
                <c:pt idx="2">
                  <c:v>8</c:v>
                </c:pt>
              </c:numCache>
            </c:numRef>
          </c:val>
          <c:extLst>
            <c:ext xmlns:c16="http://schemas.microsoft.com/office/drawing/2014/chart" uri="{C3380CC4-5D6E-409C-BE32-E72D297353CC}">
              <c16:uniqueId val="{00000000-68FF-4C4C-9588-43952E1E90E4}"/>
            </c:ext>
          </c:extLst>
        </c:ser>
        <c:dLbls>
          <c:dLblPos val="outEnd"/>
          <c:showLegendKey val="0"/>
          <c:showVal val="1"/>
          <c:showCatName val="0"/>
          <c:showSerName val="0"/>
          <c:showPercent val="0"/>
          <c:showBubbleSize val="0"/>
        </c:dLbls>
        <c:gapWidth val="5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0566659580620207"/>
          <c:h val="0.2456330667698018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a:t>
            </a:r>
            <a:r>
              <a:rPr lang="en-US" sz="1400" b="1" i="0" u="none" strike="noStrike" baseline="0">
                <a:effectLst/>
              </a:rPr>
              <a:t>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3354523017471334"/>
        </c:manualLayout>
      </c:layout>
      <c:barChart>
        <c:barDir val="bar"/>
        <c:grouping val="clustered"/>
        <c:varyColors val="0"/>
        <c:ser>
          <c:idx val="0"/>
          <c:order val="0"/>
          <c:tx>
            <c:strRef>
              <c:f>Analysis!$C$381</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2944-48D6-BA4A-20E4707EC1A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Analysis!$D$380:$I$380</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Analysis!$D$381:$I$381</c:f>
              <c:numCache>
                <c:formatCode>_(* #,##0_);_(* \(#,##0\);_(* "-"??_);_(@_)</c:formatCode>
                <c:ptCount val="6"/>
                <c:pt idx="0">
                  <c:v>97</c:v>
                </c:pt>
                <c:pt idx="1">
                  <c:v>54</c:v>
                </c:pt>
                <c:pt idx="2">
                  <c:v>175</c:v>
                </c:pt>
                <c:pt idx="3">
                  <c:v>45</c:v>
                </c:pt>
                <c:pt idx="4">
                  <c:v>7</c:v>
                </c:pt>
                <c:pt idx="5">
                  <c:v>9.5</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
          <c:y val="0.73082254347293263"/>
          <c:w val="0.89586400502724717"/>
          <c:h val="0.1853395303773618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[20230504_Myanmar_WASH_4W_2023_Q1_KachinShan_camp_Consolidate.xlsx]Analysis!K_water1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386297079974847"/>
          <c:y val="0.20644349485245883"/>
          <c:w val="0.81087662311365027"/>
          <c:h val="0.58260814164100438"/>
        </c:manualLayout>
      </c:layout>
      <c:barChart>
        <c:barDir val="col"/>
        <c:grouping val="percentStacked"/>
        <c:varyColors val="0"/>
        <c:ser>
          <c:idx val="0"/>
          <c:order val="0"/>
          <c:tx>
            <c:strRef>
              <c:f>Analysis!$C$38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c:v>
                </c:pt>
                <c:pt idx="1">
                  <c:v>NGCA</c:v>
                </c:pt>
              </c:strCache>
            </c:strRef>
          </c:cat>
          <c:val>
            <c:numRef>
              <c:f>Analysis!$C$39:$C$40</c:f>
              <c:numCache>
                <c:formatCode>_(* #,##0_);_(* \(#,##0\);_(* "-"??_);_(@_)</c:formatCode>
                <c:ptCount val="2"/>
                <c:pt idx="0">
                  <c:v>46744.666666666672</c:v>
                </c:pt>
                <c:pt idx="1">
                  <c:v>13510.666666666666</c:v>
                </c:pt>
              </c:numCache>
            </c:numRef>
          </c:val>
          <c:extLst>
            <c:ext xmlns:c16="http://schemas.microsoft.com/office/drawing/2014/chart" uri="{C3380CC4-5D6E-409C-BE32-E72D297353CC}">
              <c16:uniqueId val="{00000001-7BA8-4014-B66B-C14399439E38}"/>
            </c:ext>
          </c:extLst>
        </c:ser>
        <c:ser>
          <c:idx val="1"/>
          <c:order val="1"/>
          <c:tx>
            <c:strRef>
              <c:f>Analysis!$D$38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Analysis!$B$39:$B$40</c:f>
              <c:strCache>
                <c:ptCount val="2"/>
                <c:pt idx="0">
                  <c:v>GCA</c:v>
                </c:pt>
                <c:pt idx="1">
                  <c:v>NGCA</c:v>
                </c:pt>
              </c:strCache>
            </c:strRef>
          </c:cat>
          <c:val>
            <c:numRef>
              <c:f>Analysis!$D$39:$D$40</c:f>
              <c:numCache>
                <c:formatCode>_(* #,##0_);_(* \(#,##0\);_(* "-"??_);_(@_)</c:formatCode>
                <c:ptCount val="2"/>
                <c:pt idx="0">
                  <c:v>4735.3333333333339</c:v>
                </c:pt>
                <c:pt idx="1">
                  <c:v>22444.333333333332</c:v>
                </c:pt>
              </c:numCache>
            </c:numRef>
          </c:val>
          <c:extLst>
            <c:ext xmlns:c16="http://schemas.microsoft.com/office/drawing/2014/chart" uri="{C3380CC4-5D6E-409C-BE32-E72D297353CC}">
              <c16:uniqueId val="{00000002-7BA8-4014-B66B-C14399439E38}"/>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Q1-2023</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609156297382302"/>
          <c:y val="0.29434772146771826"/>
          <c:w val="0.49333439632829035"/>
          <c:h val="0.37400288453903668"/>
        </c:manualLayout>
      </c:layout>
      <c:pieChart>
        <c:varyColors val="1"/>
        <c:ser>
          <c:idx val="0"/>
          <c:order val="0"/>
          <c:tx>
            <c:strRef>
              <c:f>Analysis!$H$53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6.7806034860844827E-2"/>
                  <c:y val="0.1036271381666298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strRef>
          </c:cat>
          <c:val>
            <c:numRef>
              <c:f>Analysis!$J$53:$K$53</c:f>
              <c:numCache>
                <c:formatCode>General</c:formatCode>
                <c:ptCount val="2"/>
                <c:pt idx="0">
                  <c:v>10</c:v>
                </c:pt>
                <c:pt idx="1">
                  <c:v>113</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Analysis!$J$54:$K$54</c15:sqref>
                        </c15:formulaRef>
                      </c:ext>
                    </c:extLst>
                    <c:numCache>
                      <c:formatCode>General</c:formatCode>
                      <c:ptCount val="2"/>
                      <c:pt idx="0">
                        <c:v>0</c:v>
                      </c:pt>
                      <c:pt idx="1">
                        <c:v>40</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4.0299863413656122E-2"/>
          <c:y val="0.66259219570373629"/>
          <c:w val="0.30866841122897848"/>
          <c:h val="0.1706234467752773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Q1-2023</a:t>
            </a:r>
            <a:endParaRPr lang="en-US" sz="1400">
              <a:effectLst/>
            </a:endParaRPr>
          </a:p>
        </c:rich>
      </c:tx>
      <c:layout>
        <c:manualLayout>
          <c:xMode val="edge"/>
          <c:yMode val="edge"/>
          <c:x val="0.13170037249080918"/>
          <c:y val="7.5923630393006421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9398213746792757E-2"/>
          <c:y val="0.20552195661201295"/>
          <c:w val="0.54492070914695012"/>
          <c:h val="0.36761942504565009"/>
        </c:manualLayout>
      </c:layout>
      <c:pieChart>
        <c:varyColors val="1"/>
        <c:ser>
          <c:idx val="0"/>
          <c:order val="0"/>
          <c:tx>
            <c:strRef>
              <c:f>Analysis!$V$53</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layout>
                <c:manualLayout>
                  <c:x val="-3.3838894292663547E-2"/>
                  <c:y val="7.726156019473513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strRef>
          </c:cat>
          <c:val>
            <c:numRef>
              <c:f>Analysis!$X$53:$Y$53</c:f>
              <c:numCache>
                <c:formatCode>General</c:formatCode>
                <c:ptCount val="2"/>
                <c:pt idx="0">
                  <c:v>10</c:v>
                </c:pt>
                <c:pt idx="1">
                  <c:v>113</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Analysis!$V$54</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Analysis!$X$54:$Y$54</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0.60479221518499382"/>
          <c:y val="0.3109081631951533"/>
          <c:w val="0.27328142253801696"/>
          <c:h val="0.16407563981258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Kayin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HRP!$E$231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2"/>
            <c:invertIfNegative val="0"/>
            <c:bubble3D val="0"/>
            <c:spPr>
              <a:solidFill>
                <a:srgbClr val="FFFF00"/>
              </a:solidFill>
              <a:ln>
                <a:noFill/>
              </a:ln>
              <a:effectLst/>
            </c:spPr>
            <c:extLst>
              <c:ext xmlns:c16="http://schemas.microsoft.com/office/drawing/2014/chart" uri="{C3380CC4-5D6E-409C-BE32-E72D297353CC}">
                <c16:uniqueId val="{00000011-C862-4B01-A4CD-34DAB467B30C}"/>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3-046B-47CF-91D0-69549E2F40B6}"/>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dLbl>
              <c:idx val="2"/>
              <c:layout>
                <c:manualLayout>
                  <c:x val="4.4251938974395173E-2"/>
                  <c:y val="4.5759112143512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62-4B01-A4CD-34DAB467B30C}"/>
                </c:ext>
              </c:extLst>
            </c:dLbl>
            <c:dLbl>
              <c:idx val="4"/>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3-046B-47CF-91D0-69549E2F40B6}"/>
                </c:ext>
              </c:extLst>
            </c:dLbl>
            <c:dLbl>
              <c:idx val="5"/>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536-470B-9DC6-209F9010E8C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HRP!$C$232:$C$237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HRP!$E$232:$E$237</c:f>
              <c:numCache>
                <c:formatCode>_(* #,##0_);_(* \(#,##0\);_(* "-"??_);_(@_)</c:formatCode>
                <c:ptCount val="6"/>
                <c:pt idx="0">
                  <c:v>0</c:v>
                </c:pt>
                <c:pt idx="1">
                  <c:v>0</c:v>
                </c:pt>
                <c:pt idx="2">
                  <c:v>0</c:v>
                </c:pt>
                <c:pt idx="3">
                  <c:v>9356</c:v>
                </c:pt>
                <c:pt idx="4">
                  <c:v>16465</c:v>
                </c:pt>
                <c:pt idx="5">
                  <c:v>24432</c:v>
                </c:pt>
              </c:numCache>
            </c:numRef>
          </c:val>
          <c:extLst>
            <c:ext xmlns:c16="http://schemas.microsoft.com/office/drawing/2014/chart" uri="{C3380CC4-5D6E-409C-BE32-E72D297353CC}">
              <c16:uniqueId val="{00000000-4536-470B-9DC6-209F9010E8C8}"/>
            </c:ext>
          </c:extLst>
        </c:ser>
        <c:ser>
          <c:idx val="1"/>
          <c:order val="1"/>
          <c:tx>
            <c:strRef>
              <c:f>HRP!$F$231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HRP!$C$232:$C$237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HRP!$F$232:$F$237</c:f>
              <c:numCache>
                <c:formatCode>_(* #,##0_);_(* \(#,##0\);_(* "-"??_);_(@_)</c:formatCode>
                <c:ptCount val="6"/>
                <c:pt idx="0">
                  <c:v>2571.42</c:v>
                </c:pt>
                <c:pt idx="1">
                  <c:v>4114.2719999999999</c:v>
                </c:pt>
                <c:pt idx="2">
                  <c:v>6367.5952269109766</c:v>
                </c:pt>
                <c:pt idx="3">
                  <c:v>66567.504538219524</c:v>
                </c:pt>
                <c:pt idx="4">
                  <c:v>16597.731361465856</c:v>
                </c:pt>
                <c:pt idx="5">
                  <c:v>12878.332269109756</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Analysis!$C$221:$C$222</c:f>
              <c:numCache>
                <c:formatCode>0</c:formatCode>
                <c:ptCount val="2"/>
                <c:pt idx="0">
                  <c:v>10176.799999999999</c:v>
                </c:pt>
                <c:pt idx="1">
                  <c:v>9669</c:v>
                </c:pt>
              </c:numCache>
            </c:numRef>
          </c:val>
          <c:extLst>
            <c:ext xmlns:c16="http://schemas.microsoft.com/office/drawing/2014/chart" uri="{C3380CC4-5D6E-409C-BE32-E72D297353CC}">
              <c16:uniqueId val="{00000000-1389-4B41-AB26-BD561376BE5E}"/>
            </c:ext>
          </c:extLst>
        </c:ser>
        <c:ser>
          <c:idx val="1"/>
          <c:order val="1"/>
          <c:tx>
            <c:strRef>
              <c:f>Analysis!$D$220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Analysis!$B$221:$B$222</c:f>
              <c:strCache>
                <c:ptCount val="2"/>
                <c:pt idx="0">
                  <c:v>#HH reached by regular dedicated hygiene promotion</c:v>
                </c:pt>
                <c:pt idx="1">
                  <c:v>#HH with access to Hand Washing Station</c:v>
                </c:pt>
              </c:strCache>
            </c:strRef>
          </c:cat>
          <c:val>
            <c:numRef>
              <c:f>Analysis!$D$221:$D$222</c:f>
              <c:numCache>
                <c:formatCode>0</c:formatCode>
                <c:ptCount val="2"/>
                <c:pt idx="0">
                  <c:v>6884.4000000000015</c:v>
                </c:pt>
                <c:pt idx="1">
                  <c:v>7392.2000000000007</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Analysis!$H$239</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Analysis!$H$240:$H$241</c:f>
              <c:numCache>
                <c:formatCode>General</c:formatCode>
                <c:ptCount val="2"/>
                <c:pt idx="0">
                  <c:v>1509</c:v>
                </c:pt>
                <c:pt idx="1">
                  <c:v>681</c:v>
                </c:pt>
              </c:numCache>
            </c:numRef>
          </c:val>
          <c:extLst>
            <c:ext xmlns:c16="http://schemas.microsoft.com/office/drawing/2014/chart" uri="{C3380CC4-5D6E-409C-BE32-E72D297353CC}">
              <c16:uniqueId val="{00000000-D8C3-41A2-A2F3-A019286DD688}"/>
            </c:ext>
          </c:extLst>
        </c:ser>
        <c:ser>
          <c:idx val="1"/>
          <c:order val="1"/>
          <c:tx>
            <c:strRef>
              <c:f>Analysis!$I$239</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Analysis!$G$240:$G$241</c:f>
              <c:strCache>
                <c:ptCount val="2"/>
                <c:pt idx="0">
                  <c:v>GCA (25% of HH targeted)</c:v>
                </c:pt>
                <c:pt idx="1">
                  <c:v>NGCA (100% HH targeted)</c:v>
                </c:pt>
              </c:strCache>
            </c:strRef>
          </c:cat>
          <c:val>
            <c:numRef>
              <c:f>Analysis!$I$240:$I$241</c:f>
              <c:numCache>
                <c:formatCode>0</c:formatCode>
                <c:ptCount val="2"/>
                <c:pt idx="0">
                  <c:v>971.75</c:v>
                </c:pt>
                <c:pt idx="1">
                  <c:v>6457.2</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Analysis!$L$239</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layout>
                <c:manualLayout>
                  <c:x val="7.8567931446309913E-17"/>
                  <c:y val="-2.484456130344343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Analysis!$L$240:$L$241</c:f>
              <c:numCache>
                <c:formatCode>0</c:formatCode>
                <c:ptCount val="2"/>
                <c:pt idx="0">
                  <c:v>1356</c:v>
                </c:pt>
                <c:pt idx="1">
                  <c:v>1773</c:v>
                </c:pt>
              </c:numCache>
            </c:numRef>
          </c:val>
          <c:extLst>
            <c:ext xmlns:c16="http://schemas.microsoft.com/office/drawing/2014/chart" uri="{C3380CC4-5D6E-409C-BE32-E72D297353CC}">
              <c16:uniqueId val="{00000000-06ED-4B2E-A650-D2BCC4F3ED16}"/>
            </c:ext>
          </c:extLst>
        </c:ser>
        <c:ser>
          <c:idx val="1"/>
          <c:order val="1"/>
          <c:tx>
            <c:strRef>
              <c:f>Analysis!$M$239</c:f>
              <c:strCache>
                <c:ptCount val="1"/>
                <c:pt idx="0">
                  <c:v>Gap</c:v>
                </c:pt>
              </c:strCache>
            </c:strRef>
          </c:tx>
          <c:spPr>
            <a:solidFill>
              <a:schemeClr val="accent6">
                <a:lumMod val="40000"/>
                <a:lumOff val="60000"/>
              </a:schemeClr>
            </a:solidFill>
            <a:ln>
              <a:noFill/>
            </a:ln>
            <a:effectLst/>
          </c:spPr>
          <c:invertIfNegative val="0"/>
          <c:dLbls>
            <c:dLbl>
              <c:idx val="1"/>
              <c:layout>
                <c:manualLayout>
                  <c:x val="-7.8567931446309913E-17"/>
                  <c:y val="-4.6500407031121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1-40B9-AE05-9A1CC3A0B8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Analysis!$K$240:$K$241</c:f>
              <c:strCache>
                <c:ptCount val="2"/>
                <c:pt idx="0">
                  <c:v>GCA (29% of Total population)</c:v>
                </c:pt>
                <c:pt idx="1">
                  <c:v>NGCA  (29% of Total population)</c:v>
                </c:pt>
              </c:strCache>
            </c:strRef>
          </c:cat>
          <c:val>
            <c:numRef>
              <c:f>Analysis!$M$240:$M$241</c:f>
              <c:numCache>
                <c:formatCode>0</c:formatCode>
                <c:ptCount val="2"/>
                <c:pt idx="0">
                  <c:v>13573.199999999999</c:v>
                </c:pt>
                <c:pt idx="1">
                  <c:v>8653.9499999999989</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2023 HRP targets</a:t>
            </a:r>
            <a:endParaRPr lang="en-US" sz="1600">
              <a:effectLst/>
            </a:endParaRPr>
          </a:p>
        </c:rich>
      </c:tx>
      <c:layout>
        <c:manualLayout>
          <c:xMode val="edge"/>
          <c:yMode val="edge"/>
          <c:x val="9.3088254416486774E-3"/>
          <c:y val="2.710778217870314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592398441544288"/>
          <c:y val="0.10104524782569099"/>
          <c:w val="0.48029054845652946"/>
          <c:h val="0.79157761201675703"/>
        </c:manualLayout>
      </c:layout>
      <c:barChart>
        <c:barDir val="bar"/>
        <c:grouping val="percentStacked"/>
        <c:varyColors val="0"/>
        <c:ser>
          <c:idx val="0"/>
          <c:order val="0"/>
          <c:tx>
            <c:strRef>
              <c:f>HRP!$E$201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8-4A3C-4B47-99DD-18DFA3A2EBEF}"/>
              </c:ext>
            </c:extLst>
          </c:dPt>
          <c:dPt>
            <c:idx val="1"/>
            <c:invertIfNegative val="0"/>
            <c:bubble3D val="0"/>
            <c:spPr>
              <a:solidFill>
                <a:srgbClr val="BF9000"/>
              </a:solidFill>
              <a:ln>
                <a:noFill/>
              </a:ln>
              <a:effectLst/>
            </c:spPr>
            <c:extLst>
              <c:ext xmlns:c16="http://schemas.microsoft.com/office/drawing/2014/chart" uri="{C3380CC4-5D6E-409C-BE32-E72D297353CC}">
                <c16:uniqueId val="{00000009-4A3C-4B47-99DD-18DFA3A2EBEF}"/>
              </c:ext>
            </c:extLst>
          </c:dPt>
          <c:dPt>
            <c:idx val="2"/>
            <c:invertIfNegative val="0"/>
            <c:bubble3D val="0"/>
            <c:spPr>
              <a:solidFill>
                <a:srgbClr val="FFFF00"/>
              </a:solidFill>
              <a:ln>
                <a:noFill/>
              </a:ln>
              <a:effectLst/>
            </c:spPr>
            <c:extLst>
              <c:ext xmlns:c16="http://schemas.microsoft.com/office/drawing/2014/chart" uri="{C3380CC4-5D6E-409C-BE32-E72D297353CC}">
                <c16:uniqueId val="{00000005-4A3C-4B47-99DD-18DFA3A2EBE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4A3C-4B47-99DD-18DFA3A2EBEF}"/>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2-4A3C-4B47-99DD-18DFA3A2EBEF}"/>
              </c:ext>
            </c:extLst>
          </c:dPt>
          <c:dPt>
            <c:idx val="5"/>
            <c:invertIfNegative val="0"/>
            <c:bubble3D val="0"/>
            <c:spPr>
              <a:solidFill>
                <a:srgbClr val="0070C0"/>
              </a:solidFill>
              <a:ln>
                <a:noFill/>
              </a:ln>
              <a:effectLst/>
            </c:spPr>
            <c:extLst>
              <c:ext xmlns:c16="http://schemas.microsoft.com/office/drawing/2014/chart" uri="{C3380CC4-5D6E-409C-BE32-E72D297353CC}">
                <c16:uniqueId val="{0000000B-3D5E-4673-B1FF-1E8E1FE5CEC2}"/>
              </c:ext>
            </c:extLst>
          </c:dPt>
          <c:dLbls>
            <c:dLbl>
              <c:idx val="2"/>
              <c:layout>
                <c:manualLayout>
                  <c:x val="2.7726206548449692E-2"/>
                  <c:y val="-8.1837791167416265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C-4B47-99DD-18DFA3A2EB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HRP!$E$202:$E$207</c:f>
              <c:numCache>
                <c:formatCode>_(* #,##0_);_(* \(#,##0\);_(* "-"??_);_(@_)</c:formatCode>
                <c:ptCount val="6"/>
                <c:pt idx="0">
                  <c:v>1593</c:v>
                </c:pt>
                <c:pt idx="1">
                  <c:v>10418</c:v>
                </c:pt>
                <c:pt idx="2">
                  <c:v>26327.719999999998</c:v>
                </c:pt>
                <c:pt idx="3">
                  <c:v>54583</c:v>
                </c:pt>
                <c:pt idx="4">
                  <c:v>65270</c:v>
                </c:pt>
                <c:pt idx="5">
                  <c:v>60319.333333333336</c:v>
                </c:pt>
              </c:numCache>
            </c:numRef>
          </c:val>
          <c:extLst>
            <c:ext xmlns:c16="http://schemas.microsoft.com/office/drawing/2014/chart" uri="{C3380CC4-5D6E-409C-BE32-E72D297353CC}">
              <c16:uniqueId val="{00000008-B308-4468-B0EF-D5596C95F4FD}"/>
            </c:ext>
          </c:extLst>
        </c:ser>
        <c:ser>
          <c:idx val="1"/>
          <c:order val="1"/>
          <c:tx>
            <c:strRef>
              <c:f>HRP!$F$201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3-93B7-4774-BC91-4B7E19D11E06}"/>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7-39A7-480A-A5CA-267EAAB240BB}"/>
              </c:ext>
            </c:extLst>
          </c:dPt>
          <c:dPt>
            <c:idx val="2"/>
            <c:invertIfNegative val="0"/>
            <c:bubble3D val="0"/>
            <c:spPr>
              <a:solidFill>
                <a:srgbClr val="F7FECE"/>
              </a:solidFill>
              <a:ln>
                <a:noFill/>
              </a:ln>
              <a:effectLst/>
            </c:spPr>
            <c:extLst>
              <c:ext xmlns:c16="http://schemas.microsoft.com/office/drawing/2014/chart" uri="{C3380CC4-5D6E-409C-BE32-E72D297353CC}">
                <c16:uniqueId val="{00000006-4A3C-4B47-99DD-18DFA3A2EBEF}"/>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4A3C-4B47-99DD-18DFA3A2EBEF}"/>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4A3C-4B47-99DD-18DFA3A2EBEF}"/>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3D5E-4673-B1FF-1E8E1FE5CEC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HRP!$F$202:$F$207</c:f>
              <c:numCache>
                <c:formatCode>_(* #,##0_);_(* \(#,##0\);_(* "-"??_);_(@_)</c:formatCode>
                <c:ptCount val="6"/>
                <c:pt idx="0">
                  <c:v>3728.6800000000003</c:v>
                </c:pt>
                <c:pt idx="1">
                  <c:v>225.36000000000058</c:v>
                </c:pt>
                <c:pt idx="3">
                  <c:v>66724.827654495894</c:v>
                </c:pt>
                <c:pt idx="5">
                  <c:v>34539.680493914617</c:v>
                </c:pt>
              </c:numCache>
            </c:numRef>
          </c:val>
          <c:extLst>
            <c:ext xmlns:c16="http://schemas.microsoft.com/office/drawing/2014/chart" uri="{C3380CC4-5D6E-409C-BE32-E72D297353CC}">
              <c16:uniqueId val="{00000011-B308-4468-B0EF-D5596C95F4FD}"/>
            </c:ext>
          </c:extLst>
        </c:ser>
        <c:dLbls>
          <c:showLegendKey val="0"/>
          <c:showVal val="0"/>
          <c:showCatName val="0"/>
          <c:showSerName val="0"/>
          <c:showPercent val="0"/>
          <c:showBubbleSize val="0"/>
        </c:dLbls>
        <c:gapWidth val="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r>
              <a:rPr lang="en-US" sz="12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6648821590936264E-2"/>
          <c:y val="0.2979842137113754"/>
          <c:w val="0.42977897445616753"/>
          <c:h val="0.67825951443569554"/>
        </c:manualLayout>
      </c:layout>
      <c:pieChart>
        <c:varyColors val="1"/>
        <c:ser>
          <c:idx val="0"/>
          <c:order val="0"/>
          <c:tx>
            <c:strRef>
              <c:f>Analysis!$B$160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layout>
                <c:manualLayout>
                  <c:x val="0.13149758852384683"/>
                  <c:y val="-2.368575928804945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strRef>
          </c:cat>
          <c:val>
            <c:numRef>
              <c:f>Analysis!$C$160:$F$160</c:f>
              <c:numCache>
                <c:formatCode>General</c:formatCode>
                <c:ptCount val="4"/>
                <c:pt idx="0">
                  <c:v>96</c:v>
                </c:pt>
                <c:pt idx="1">
                  <c:v>10</c:v>
                </c:pt>
                <c:pt idx="2">
                  <c:v>9</c:v>
                </c:pt>
                <c:pt idx="3">
                  <c:v>8</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Analysis!$C$161:$F$161</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Analysis!$B$162</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Analysis!$C$162:$F$162</c15:sqref>
                        </c15:formulaRef>
                      </c:ext>
                    </c:extLst>
                    <c:numCache>
                      <c:formatCode>General</c:formatCode>
                      <c:ptCount val="4"/>
                      <c:pt idx="0">
                        <c:v>13</c:v>
                      </c:pt>
                      <c:pt idx="1">
                        <c:v>14</c:v>
                      </c:pt>
                      <c:pt idx="2">
                        <c:v>3</c:v>
                      </c:pt>
                      <c:pt idx="3">
                        <c:v>10</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5576606377313342"/>
          <c:y val="0.37689577865266843"/>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0997552043223934E-2"/>
          <c:y val="0.23919892825896763"/>
          <c:w val="0.4796720559641337"/>
          <c:h val="0.74691218285214356"/>
        </c:manualLayout>
      </c:layout>
      <c:pieChart>
        <c:varyColors val="1"/>
        <c:ser>
          <c:idx val="0"/>
          <c:order val="0"/>
          <c:tx>
            <c:strRef>
              <c:f>Analysis!$B$176</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Analysis!$C$176:$F$176</c15:sqref>
                  </c15:fullRef>
                </c:ext>
              </c:extLst>
              <c:f>Analysis!$C$176:$E$176</c:f>
              <c:numCache>
                <c:formatCode>General</c:formatCode>
                <c:ptCount val="3"/>
                <c:pt idx="0">
                  <c:v>8</c:v>
                </c:pt>
                <c:pt idx="1">
                  <c:v>1</c:v>
                </c:pt>
                <c:pt idx="2">
                  <c:v>114</c:v>
                </c:pt>
              </c:numCache>
            </c:numRef>
          </c:val>
          <c:extLst>
            <c:ext xmlns:c15="http://schemas.microsoft.com/office/drawing/2012/char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4-A954-439F-88D9-73BCE02E0370}"/>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Analysis!$C$177:$F$177</c15:sqref>
                        </c15:fullRef>
                        <c15:formulaRef>
                          <c15:sqref>Analysis!$C$177:$E$177</c15:sqref>
                        </c15:formulaRef>
                      </c:ext>
                    </c:extLst>
                    <c:numCache>
                      <c:formatCode>General</c:formatCode>
                      <c:ptCount val="3"/>
                    </c:numCache>
                  </c:numRef>
                </c:val>
                <c:extLst>
                  <c:ex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Analysis!$B$178</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15:formulaRef>
                          <c15:sqref>Analysis!$C$178:$E$178</c15:sqref>
                        </c15:formulaRef>
                      </c:ext>
                    </c:extLst>
                    <c:numCache>
                      <c:formatCode>General</c:formatCode>
                      <c:ptCount val="3"/>
                      <c:pt idx="0">
                        <c:v>14</c:v>
                      </c:pt>
                      <c:pt idx="1">
                        <c:v>9</c:v>
                      </c:pt>
                      <c:pt idx="2">
                        <c:v>17</c:v>
                      </c:pt>
                    </c:numCache>
                  </c:numRef>
                </c:val>
                <c:extLst xmlns:c15="http://schemas.microsoft.com/office/drawing/2012/char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 over to families</a:t>
            </a:r>
          </a:p>
        </c:rich>
      </c:tx>
      <c:layout>
        <c:manualLayout>
          <c:xMode val="edge"/>
          <c:yMode val="edge"/>
          <c:x val="0.17240594925634298"/>
          <c:y val="4.9212598425212798E-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2347872922134733"/>
          <c:w val="0.89814814814814814"/>
          <c:h val="0.44178368328958878"/>
        </c:manualLayout>
      </c:layout>
      <c:barChart>
        <c:barDir val="col"/>
        <c:grouping val="percentStacked"/>
        <c:varyColors val="0"/>
        <c:ser>
          <c:idx val="2"/>
          <c:order val="2"/>
          <c:tx>
            <c:strRef>
              <c:f>Analysis!$B$133</c:f>
              <c:strCache>
                <c:ptCount val="1"/>
                <c:pt idx="0">
                  <c:v> Latrines handed over </c:v>
                </c:pt>
              </c:strCache>
            </c:strRef>
          </c:tx>
          <c:spPr>
            <a:solidFill>
              <a:schemeClr val="accent2">
                <a:lumMod val="75000"/>
              </a:schemeClr>
            </a:solidFill>
            <a:ln>
              <a:noFill/>
            </a:ln>
            <a:effectLst/>
          </c:spPr>
          <c:invertIfNegative val="0"/>
          <c:dLbls>
            <c:dLbl>
              <c:idx val="1"/>
              <c:layout>
                <c:manualLayout>
                  <c:x val="-1.5598414490412774E-2"/>
                  <c:y val="-1.3090688054877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Analysis!$C$133:$D$133</c:f>
              <c:numCache>
                <c:formatCode>_(* #,##0_);_(* \(#,##0\);_(* "-"??_);_(@_)</c:formatCode>
                <c:ptCount val="2"/>
                <c:pt idx="0">
                  <c:v>678</c:v>
                </c:pt>
                <c:pt idx="1">
                  <c:v>645</c:v>
                </c:pt>
              </c:numCache>
            </c:numRef>
          </c:val>
          <c:extLst>
            <c:ext xmlns:c16="http://schemas.microsoft.com/office/drawing/2014/chart" uri="{C3380CC4-5D6E-409C-BE32-E72D297353CC}">
              <c16:uniqueId val="{00000000-89DD-4829-838C-9132D2EEC9DD}"/>
            </c:ext>
          </c:extLst>
        </c:ser>
        <c:ser>
          <c:idx val="3"/>
          <c:order val="3"/>
          <c:tx>
            <c:strRef>
              <c:f>Analysis!$B$134</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Analysis!$C$134:$D$134</c:f>
              <c:numCache>
                <c:formatCode>_(* #,##0_);_(* \(#,##0\);_(* "-"??_);_(@_)</c:formatCode>
                <c:ptCount val="2"/>
                <c:pt idx="0">
                  <c:v>1899</c:v>
                </c:pt>
                <c:pt idx="1">
                  <c:v>645</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Analysis!$B$131</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Analysis!$C$130:$D$130</c15:sqref>
                        </c15:formulaRef>
                      </c:ext>
                    </c:extLst>
                    <c:strCache>
                      <c:ptCount val="2"/>
                      <c:pt idx="0">
                        <c:v> # in GCA (20:1) </c:v>
                      </c:pt>
                      <c:pt idx="1">
                        <c:v> # in NGCA (20:1) </c:v>
                      </c:pt>
                    </c:strCache>
                  </c:strRef>
                </c:cat>
                <c:val>
                  <c:numRef>
                    <c:extLst>
                      <c:ext uri="{02D57815-91ED-43cb-92C2-25804820EDAC}">
                        <c15:formulaRef>
                          <c15:sqref>Analysis!$C$131:$D$131</c15:sqref>
                        </c15:formulaRef>
                      </c:ext>
                    </c:extLst>
                    <c:numCache>
                      <c:formatCode>_(* #,##0_);_(* \(#,##0\);_(* "-"??_);_(@_)</c:formatCode>
                      <c:ptCount val="2"/>
                      <c:pt idx="0">
                        <c:v>2470</c:v>
                      </c:pt>
                      <c:pt idx="1">
                        <c:v>2694</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Analysis!$B$132</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Analysis!$C$130:$D$130</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Analysis!$C$132:$D$132</c15:sqref>
                        </c15:formulaRef>
                      </c:ext>
                    </c:extLst>
                    <c:numCache>
                      <c:formatCode>_(* #,##0_);_(* \(#,##0\);_(* "-"??_);_(@_)</c:formatCode>
                      <c:ptCount val="2"/>
                      <c:pt idx="0">
                        <c:v>107</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majorUnit val="0.5"/>
      </c:valAx>
      <c:spPr>
        <a:noFill/>
        <a:ln>
          <a:noFill/>
        </a:ln>
        <a:effectLst/>
      </c:spPr>
    </c:plotArea>
    <c:legend>
      <c:legendPos val="b"/>
      <c:layout>
        <c:manualLayout>
          <c:xMode val="edge"/>
          <c:yMode val="edge"/>
          <c:x val="1.303769320501603E-2"/>
          <c:y val="0.80444444444444441"/>
          <c:w val="0.94206328375619719"/>
          <c:h val="0.1955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8110503941046066"/>
          <c:w val="0.8269872515935508"/>
          <c:h val="0.45797951668100412"/>
        </c:manualLayout>
      </c:layout>
      <c:barChart>
        <c:barDir val="col"/>
        <c:grouping val="clustered"/>
        <c:varyColors val="0"/>
        <c:ser>
          <c:idx val="0"/>
          <c:order val="0"/>
          <c:tx>
            <c:strRef>
              <c:f>Analysis!$B$135</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Analysis!$C$135:$D$135</c:f>
              <c:numCache>
                <c:formatCode>_(* #,##0_);_(* \(#,##0\);_(* "-"??_);_(@_)</c:formatCode>
                <c:ptCount val="2"/>
                <c:pt idx="0">
                  <c:v>62</c:v>
                </c:pt>
                <c:pt idx="1">
                  <c:v>5</c:v>
                </c:pt>
              </c:numCache>
            </c:numRef>
          </c:val>
          <c:extLst>
            <c:ext xmlns:c16="http://schemas.microsoft.com/office/drawing/2014/chart" uri="{C3380CC4-5D6E-409C-BE32-E72D297353CC}">
              <c16:uniqueId val="{00000000-BE5C-460C-9416-9E341743CD67}"/>
            </c:ext>
          </c:extLst>
        </c:ser>
        <c:ser>
          <c:idx val="1"/>
          <c:order val="1"/>
          <c:tx>
            <c:strRef>
              <c:f>Analysis!$B$136</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Analysis!$C$130:$D$130</c:f>
              <c:strCache>
                <c:ptCount val="2"/>
                <c:pt idx="0">
                  <c:v> # in GCA (20:1) </c:v>
                </c:pt>
                <c:pt idx="1">
                  <c:v> # in NGCA (20:1) </c:v>
                </c:pt>
              </c:strCache>
            </c:strRef>
          </c:cat>
          <c:val>
            <c:numRef>
              <c:f>Analysis!$C$136:$D$136</c:f>
              <c:numCache>
                <c:formatCode>_(* #,##0_);_(* \(#,##0\);_(* "-"??_);_(@_)</c:formatCode>
                <c:ptCount val="2"/>
                <c:pt idx="0">
                  <c:v>537</c:v>
                </c:pt>
                <c:pt idx="1">
                  <c:v>153</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majorUnit val="200"/>
      </c:valAx>
      <c:spPr>
        <a:noFill/>
        <a:ln>
          <a:noFill/>
        </a:ln>
        <a:effectLst/>
      </c:spPr>
    </c:plotArea>
    <c:legend>
      <c:legendPos val="b"/>
      <c:layout>
        <c:manualLayout>
          <c:xMode val="edge"/>
          <c:yMode val="edge"/>
          <c:x val="0"/>
          <c:y val="0.78632327209098862"/>
          <c:w val="0.9750901434403646"/>
          <c:h val="0.213676727909011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a:t>
            </a:r>
            <a:r>
              <a:rPr lang="en-US" sz="1200" baseline="0"/>
              <a:t> Functionality</a:t>
            </a:r>
            <a:endParaRPr lang="en-US" sz="1200"/>
          </a:p>
        </c:rich>
      </c:tx>
      <c:overlay val="0"/>
      <c:spPr>
        <a:noFill/>
        <a:ln>
          <a:noFill/>
        </a:ln>
        <a:effectLst/>
      </c:spPr>
    </c:title>
    <c:autoTitleDeleted val="0"/>
    <c:plotArea>
      <c:layout>
        <c:manualLayout>
          <c:layoutTarget val="inner"/>
          <c:xMode val="edge"/>
          <c:yMode val="edge"/>
          <c:x val="5.0253170913455547E-2"/>
          <c:y val="0.23318952318460193"/>
          <c:w val="0.4711272084197633"/>
          <c:h val="0.7336067366579177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Analysis!$F$130:$F$131</c:f>
              <c:strCache>
                <c:ptCount val="2"/>
                <c:pt idx="0">
                  <c:v>Functioning</c:v>
                </c:pt>
                <c:pt idx="1">
                  <c:v>Not_Functioing</c:v>
                </c:pt>
              </c:strCache>
            </c:strRef>
          </c:cat>
          <c:val>
            <c:numRef>
              <c:f>Analysis!$G$130:$G$131</c:f>
              <c:numCache>
                <c:formatCode>_(* #,##0_);_(* \(#,##0\);_(* "-"??_);_(@_)</c:formatCode>
                <c:ptCount val="2"/>
                <c:pt idx="0">
                  <c:v>5164</c:v>
                </c:pt>
                <c:pt idx="1">
                  <c:v>58</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099485160030218"/>
          <c:y val="0.43217793088363954"/>
          <c:w val="0.39224653323177699"/>
          <c:h val="0.320713035870516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c:name>
    <c:fmtId val="2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people access to functioning</a:t>
            </a:r>
            <a:r>
              <a:rPr lang="en-US" sz="1200" baseline="0"/>
              <a:t> latrine</a:t>
            </a:r>
            <a:endParaRPr lang="en-US" sz="1200"/>
          </a:p>
        </c:rich>
      </c:tx>
      <c:layout>
        <c:manualLayout>
          <c:xMode val="edge"/>
          <c:yMode val="edge"/>
          <c:x val="0.13883092738407701"/>
          <c:y val="1.388888888888888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650080198308545"/>
          <c:y val="0.26597222222222222"/>
          <c:w val="0.78720290172061824"/>
          <c:h val="0.44040846456692917"/>
        </c:manualLayout>
      </c:layout>
      <c:barChart>
        <c:barDir val="col"/>
        <c:grouping val="percentStacked"/>
        <c:varyColors val="0"/>
        <c:ser>
          <c:idx val="0"/>
          <c:order val="0"/>
          <c:tx>
            <c:strRef>
              <c:f>Analysis!$P$120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GCA</c:v>
                </c:pt>
                <c:pt idx="1">
                  <c:v>NGCA</c:v>
                </c:pt>
              </c:strCache>
            </c:strRef>
          </c:cat>
          <c:val>
            <c:numRef>
              <c:f>Analysis!$P$121:$P$122</c:f>
              <c:numCache>
                <c:formatCode>_(* #,##0_);_(* \(#,##0\);_(* "-"??_);_(@_)</c:formatCode>
                <c:ptCount val="2"/>
                <c:pt idx="0">
                  <c:v>39574</c:v>
                </c:pt>
                <c:pt idx="1">
                  <c:v>35544</c:v>
                </c:pt>
              </c:numCache>
            </c:numRef>
          </c:val>
          <c:extLst>
            <c:ext xmlns:c16="http://schemas.microsoft.com/office/drawing/2014/chart" uri="{C3380CC4-5D6E-409C-BE32-E72D297353CC}">
              <c16:uniqueId val="{00000001-DC19-413F-8F45-3E2923F3D05C}"/>
            </c:ext>
          </c:extLst>
        </c:ser>
        <c:ser>
          <c:idx val="1"/>
          <c:order val="1"/>
          <c:tx>
            <c:strRef>
              <c:f>Analysis!$Q$120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Analysis!$O$121:$O$122</c:f>
              <c:strCache>
                <c:ptCount val="2"/>
                <c:pt idx="0">
                  <c:v>GCA</c:v>
                </c:pt>
                <c:pt idx="1">
                  <c:v>NGCA</c:v>
                </c:pt>
              </c:strCache>
            </c:strRef>
          </c:cat>
          <c:val>
            <c:numRef>
              <c:f>Analysis!$Q$121:$Q$122</c:f>
              <c:numCache>
                <c:formatCode>_(* #,##0_);_(* \(#,##0\);_(* "-"??_);_(@_)</c:formatCode>
                <c:ptCount val="2"/>
                <c:pt idx="0">
                  <c:v>12287</c:v>
                </c:pt>
                <c:pt idx="1">
                  <c:v>10657</c:v>
                </c:pt>
              </c:numCache>
            </c:numRef>
          </c:val>
          <c:extLst>
            <c:ext xmlns:c16="http://schemas.microsoft.com/office/drawing/2014/chart" uri="{C3380CC4-5D6E-409C-BE32-E72D297353CC}">
              <c16:uniqueId val="{00000002-DC19-413F-8F45-3E2923F3D05C}"/>
            </c:ext>
          </c:extLst>
        </c:ser>
        <c:dLbls>
          <c:dLblPos val="ctr"/>
          <c:showLegendKey val="0"/>
          <c:showVal val="1"/>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Kayah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HRP!$S$231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rgbClr val="ED7D31">
                  <a:lumMod val="75000"/>
                </a:srgbClr>
              </a:solidFill>
              <a:ln>
                <a:noFill/>
              </a:ln>
              <a:effectLst/>
            </c:spPr>
            <c:extLst>
              <c:ext xmlns:c16="http://schemas.microsoft.com/office/drawing/2014/chart" uri="{C3380CC4-5D6E-409C-BE32-E72D297353CC}">
                <c16:uniqueId val="{00000011-6EDD-46FF-B657-D8AD6C198DB7}"/>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HRP!$Q$232:$Q$237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HRP!$S$232:$S$237</c:f>
              <c:numCache>
                <c:formatCode>_(* #,##0_);_(* \(#,##0\);_(* "-"??_);_(@_)</c:formatCode>
                <c:ptCount val="6"/>
                <c:pt idx="0">
                  <c:v>0</c:v>
                </c:pt>
                <c:pt idx="1">
                  <c:v>0</c:v>
                </c:pt>
                <c:pt idx="2">
                  <c:v>0</c:v>
                </c:pt>
                <c:pt idx="3">
                  <c:v>28439</c:v>
                </c:pt>
                <c:pt idx="4">
                  <c:v>6993</c:v>
                </c:pt>
                <c:pt idx="5">
                  <c:v>30416</c:v>
                </c:pt>
              </c:numCache>
            </c:numRef>
          </c:val>
          <c:extLst>
            <c:ext xmlns:c16="http://schemas.microsoft.com/office/drawing/2014/chart" uri="{C3380CC4-5D6E-409C-BE32-E72D297353CC}">
              <c16:uniqueId val="{00000000-4536-470B-9DC6-209F9010E8C8}"/>
            </c:ext>
          </c:extLst>
        </c:ser>
        <c:ser>
          <c:idx val="1"/>
          <c:order val="1"/>
          <c:tx>
            <c:strRef>
              <c:f>HRP!$T$231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rgbClr val="ED7D31">
                  <a:lumMod val="40000"/>
                  <a:lumOff val="60000"/>
                </a:srgb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HRP!$Q$232:$Q$237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HRP!$T$232:$T$237</c:f>
              <c:numCache>
                <c:formatCode>_(* #,##0_);_(* \(#,##0\);_(* "-"??_);_(@_)</c:formatCode>
                <c:ptCount val="6"/>
                <c:pt idx="0">
                  <c:v>3115.4175</c:v>
                </c:pt>
                <c:pt idx="1">
                  <c:v>4984.6679999999997</c:v>
                </c:pt>
                <c:pt idx="2">
                  <c:v>7049.513468627033</c:v>
                </c:pt>
                <c:pt idx="3">
                  <c:v>50242.919372540666</c:v>
                </c:pt>
                <c:pt idx="4">
                  <c:v>29073.245811762194</c:v>
                </c:pt>
                <c:pt idx="5">
                  <c:v>8135.7196862703277</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[20230504_Myanmar_WASH_4W_2023_Q1_KachinShan_camp_Consolidate.xlsx]Analysis!PivotTable13</c:name>
    <c:fmtId val="2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Functioning Latrine Target and Reached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Analysis!$AJ$120</c:f>
              <c:strCache>
                <c:ptCount val="1"/>
                <c:pt idx="0">
                  <c:v>Reached</c:v>
                </c:pt>
              </c:strCache>
            </c:strRef>
          </c:tx>
          <c:spPr>
            <a:solidFill>
              <a:schemeClr val="accent2">
                <a:lumMod val="40000"/>
                <a:lumOff val="60000"/>
              </a:schemeClr>
            </a:solidFill>
            <a:ln>
              <a:noFill/>
            </a:ln>
            <a:effectLst/>
          </c:spPr>
          <c:invertIfNegative val="0"/>
          <c:cat>
            <c:strRef>
              <c:f>Analysis!$AI$121:$AI$133</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Analysis!$AJ$121:$AJ$133</c:f>
              <c:numCache>
                <c:formatCode>General</c:formatCode>
                <c:ptCount val="13"/>
                <c:pt idx="0">
                  <c:v>318</c:v>
                </c:pt>
                <c:pt idx="1">
                  <c:v>76</c:v>
                </c:pt>
                <c:pt idx="2">
                  <c:v>171</c:v>
                </c:pt>
                <c:pt idx="3">
                  <c:v>60</c:v>
                </c:pt>
                <c:pt idx="4">
                  <c:v>1059</c:v>
                </c:pt>
                <c:pt idx="5">
                  <c:v>79</c:v>
                </c:pt>
                <c:pt idx="6">
                  <c:v>5</c:v>
                </c:pt>
                <c:pt idx="7">
                  <c:v>1571</c:v>
                </c:pt>
                <c:pt idx="8">
                  <c:v>442</c:v>
                </c:pt>
                <c:pt idx="9">
                  <c:v>27</c:v>
                </c:pt>
                <c:pt idx="10">
                  <c:v>176</c:v>
                </c:pt>
                <c:pt idx="11">
                  <c:v>63</c:v>
                </c:pt>
                <c:pt idx="12">
                  <c:v>2141</c:v>
                </c:pt>
              </c:numCache>
            </c:numRef>
          </c:val>
          <c:extLst>
            <c:ext xmlns:c16="http://schemas.microsoft.com/office/drawing/2014/chart" uri="{C3380CC4-5D6E-409C-BE32-E72D297353CC}">
              <c16:uniqueId val="{00000001-2293-4DAB-861B-76B582A2A727}"/>
            </c:ext>
          </c:extLst>
        </c:ser>
        <c:ser>
          <c:idx val="1"/>
          <c:order val="1"/>
          <c:tx>
            <c:strRef>
              <c:f>Analysis!$AK$120</c:f>
              <c:strCache>
                <c:ptCount val="1"/>
                <c:pt idx="0">
                  <c:v>Target (20:1)</c:v>
                </c:pt>
              </c:strCache>
            </c:strRef>
          </c:tx>
          <c:spPr>
            <a:solidFill>
              <a:schemeClr val="accent2">
                <a:lumMod val="75000"/>
              </a:schemeClr>
            </a:solidFill>
            <a:ln>
              <a:noFill/>
            </a:ln>
            <a:effectLst/>
          </c:spPr>
          <c:invertIfNegative val="0"/>
          <c:cat>
            <c:strRef>
              <c:f>Analysis!$AI$121:$AI$133</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Analysis!$AK$121:$AK$133</c:f>
              <c:numCache>
                <c:formatCode>General</c:formatCode>
                <c:ptCount val="13"/>
                <c:pt idx="0">
                  <c:v>332</c:v>
                </c:pt>
                <c:pt idx="1">
                  <c:v>133</c:v>
                </c:pt>
                <c:pt idx="2">
                  <c:v>195</c:v>
                </c:pt>
                <c:pt idx="3">
                  <c:v>30</c:v>
                </c:pt>
                <c:pt idx="4">
                  <c:v>612</c:v>
                </c:pt>
                <c:pt idx="5">
                  <c:v>86</c:v>
                </c:pt>
                <c:pt idx="6">
                  <c:v>6</c:v>
                </c:pt>
                <c:pt idx="7">
                  <c:v>1338</c:v>
                </c:pt>
                <c:pt idx="8">
                  <c:v>550</c:v>
                </c:pt>
                <c:pt idx="9">
                  <c:v>94</c:v>
                </c:pt>
                <c:pt idx="10">
                  <c:v>52</c:v>
                </c:pt>
                <c:pt idx="11">
                  <c:v>61</c:v>
                </c:pt>
                <c:pt idx="12">
                  <c:v>1699</c:v>
                </c:pt>
              </c:numCache>
            </c:numRef>
          </c:val>
          <c:extLst>
            <c:ext xmlns:c16="http://schemas.microsoft.com/office/drawing/2014/chart" uri="{C3380CC4-5D6E-409C-BE32-E72D297353CC}">
              <c16:uniqueId val="{00000002-2293-4DAB-861B-76B582A2A727}"/>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max val="250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[20230504_Myanmar_WASH_4W_2023_Q1_KachinShan_camp_Consolidate.xlsx]Analysis!PivotTable3</c:name>
    <c:fmtId val="2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pivotFmt>
      <c:pivotFmt>
        <c:idx val="13"/>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4199635741184523"/>
          <c:y val="0.16105528260650198"/>
          <c:w val="0.52086611434440266"/>
          <c:h val="0.65017441414310484"/>
        </c:manualLayout>
      </c:layout>
      <c:barChart>
        <c:barDir val="bar"/>
        <c:grouping val="clustered"/>
        <c:varyColors val="0"/>
        <c:ser>
          <c:idx val="0"/>
          <c:order val="0"/>
          <c:tx>
            <c:strRef>
              <c:f>Analysis!$D$408:$D$409</c:f>
              <c:strCache>
                <c:ptCount val="1"/>
                <c:pt idx="0">
                  <c:v>2023_Q1</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Analysis!$C$410:$C$413</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Analysis!$D$410:$D$413</c:f>
              <c:numCache>
                <c:formatCode>0%</c:formatCode>
                <c:ptCount val="4"/>
                <c:pt idx="0">
                  <c:v>0.86780487804878048</c:v>
                </c:pt>
                <c:pt idx="1">
                  <c:v>0.85650000000000015</c:v>
                </c:pt>
                <c:pt idx="2">
                  <c:v>0.82594594594594584</c:v>
                </c:pt>
                <c:pt idx="3">
                  <c:v>8.800912246350269E-2</c:v>
                </c:pt>
              </c:numCache>
            </c:numRef>
          </c:val>
          <c:extLst>
            <c:ext xmlns:c16="http://schemas.microsoft.com/office/drawing/2014/chart" uri="{C3380CC4-5D6E-409C-BE32-E72D297353CC}">
              <c16:uniqueId val="{00000000-7DF0-45A1-94D6-738D4888EEB7}"/>
            </c:ext>
          </c:extLst>
        </c:ser>
        <c:dLbls>
          <c:showLegendKey val="0"/>
          <c:showVal val="0"/>
          <c:showCatName val="0"/>
          <c:showSerName val="0"/>
          <c:showPercent val="0"/>
          <c:showBubbleSize val="0"/>
        </c:dLbls>
        <c:gapWidth val="5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layout>
        <c:manualLayout>
          <c:xMode val="edge"/>
          <c:yMode val="edge"/>
          <c:x val="0.91146418349880176"/>
          <c:y val="0.37428586275634168"/>
          <c:w val="8.8535816501198225E-2"/>
          <c:h val="0.204910373987951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BF9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Analysis!$L$60</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Analysis!$K$61:$K$64</c15:sqref>
                  </c15:fullRef>
                </c:ext>
              </c:extLst>
              <c:f>Analysis!$K$61</c:f>
              <c:strCache>
                <c:ptCount val="1"/>
                <c:pt idx="0">
                  <c:v>2023_Q1</c:v>
                </c:pt>
              </c:strCache>
            </c:strRef>
          </c:cat>
          <c:val>
            <c:numRef>
              <c:extLst>
                <c:ext xmlns:c15="http://schemas.microsoft.com/office/drawing/2012/chart" uri="{02D57815-91ED-43cb-92C2-25804820EDAC}">
                  <c15:fullRef>
                    <c15:sqref>Analysis!$L$61:$L$64</c15:sqref>
                  </c15:fullRef>
                </c:ext>
              </c:extLst>
              <c:f>Analysis!$L$61</c:f>
              <c:numCache>
                <c:formatCode>General</c:formatCode>
                <c:ptCount val="1"/>
                <c:pt idx="0">
                  <c:v>36</c:v>
                </c:pt>
              </c:numCache>
            </c:numRef>
          </c:val>
          <c:extLst>
            <c:ext xmlns:c16="http://schemas.microsoft.com/office/drawing/2014/chart" uri="{C3380CC4-5D6E-409C-BE32-E72D297353CC}">
              <c16:uniqueId val="{00000000-A3F4-4E19-8020-F240E8954E2B}"/>
            </c:ext>
          </c:extLst>
        </c:ser>
        <c:ser>
          <c:idx val="1"/>
          <c:order val="1"/>
          <c:tx>
            <c:strRef>
              <c:f>Analysis!$M$60</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Analysis!$K$61:$K$64</c15:sqref>
                  </c15:fullRef>
                </c:ext>
              </c:extLst>
              <c:f>Analysis!$K$61</c:f>
              <c:strCache>
                <c:ptCount val="1"/>
                <c:pt idx="0">
                  <c:v>2023_Q1</c:v>
                </c:pt>
              </c:strCache>
            </c:strRef>
          </c:cat>
          <c:val>
            <c:numRef>
              <c:extLst>
                <c:ext xmlns:c15="http://schemas.microsoft.com/office/drawing/2012/chart" uri="{02D57815-91ED-43cb-92C2-25804820EDAC}">
                  <c15:fullRef>
                    <c15:sqref>Analysis!$M$61:$M$64</c15:sqref>
                  </c15:fullRef>
                </c:ext>
              </c:extLst>
              <c:f>Analysis!$M$61</c:f>
              <c:numCache>
                <c:formatCode>General</c:formatCode>
                <c:ptCount val="1"/>
                <c:pt idx="0">
                  <c:v>37</c:v>
                </c:pt>
              </c:numCache>
            </c:numRef>
          </c:val>
          <c:extLst>
            <c:ext xmlns:c16="http://schemas.microsoft.com/office/drawing/2014/chart" uri="{C3380CC4-5D6E-409C-BE32-E72D297353CC}">
              <c16:uniqueId val="{00000001-A3F4-4E19-8020-F240E8954E2B}"/>
            </c:ext>
          </c:extLst>
        </c:ser>
        <c:dLbls>
          <c:showLegendKey val="0"/>
          <c:showVal val="0"/>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5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196850393699"/>
          <c:y val="5.6798964648793998E-2"/>
          <c:w val="0.77965445725534288"/>
          <c:h val="0.5612655184874964"/>
        </c:manualLayout>
      </c:layout>
      <c:barChart>
        <c:barDir val="col"/>
        <c:grouping val="stacked"/>
        <c:varyColors val="0"/>
        <c:ser>
          <c:idx val="0"/>
          <c:order val="0"/>
          <c:tx>
            <c:strRef>
              <c:f>Analysis!$Z$58</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Analysis!$Y$59:$Y$62</c15:sqref>
                  </c15:fullRef>
                </c:ext>
              </c:extLst>
              <c:f>Analysis!$Y$59</c:f>
              <c:strCache>
                <c:ptCount val="1"/>
                <c:pt idx="0">
                  <c:v>2023_Q1</c:v>
                </c:pt>
              </c:strCache>
            </c:strRef>
          </c:cat>
          <c:val>
            <c:numRef>
              <c:extLst>
                <c:ext xmlns:c15="http://schemas.microsoft.com/office/drawing/2012/chart" uri="{02D57815-91ED-43cb-92C2-25804820EDAC}">
                  <c15:fullRef>
                    <c15:sqref>Analysis!$Z$59:$Z$62</c15:sqref>
                  </c15:fullRef>
                </c:ext>
              </c:extLst>
              <c:f>Analysis!$Z$59</c:f>
              <c:numCache>
                <c:formatCode>General</c:formatCode>
                <c:ptCount val="1"/>
                <c:pt idx="0">
                  <c:v>132</c:v>
                </c:pt>
              </c:numCache>
            </c:numRef>
          </c:val>
          <c:extLst>
            <c:ext xmlns:c16="http://schemas.microsoft.com/office/drawing/2014/chart" uri="{C3380CC4-5D6E-409C-BE32-E72D297353CC}">
              <c16:uniqueId val="{00000000-B2B9-4CF1-AB93-D37D38D113BC}"/>
            </c:ext>
          </c:extLst>
        </c:ser>
        <c:ser>
          <c:idx val="1"/>
          <c:order val="1"/>
          <c:tx>
            <c:strRef>
              <c:f>Analysis!$AA$58</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Analysis!$Y$59:$Y$62</c15:sqref>
                  </c15:fullRef>
                </c:ext>
              </c:extLst>
              <c:f>Analysis!$Y$59</c:f>
              <c:strCache>
                <c:ptCount val="1"/>
                <c:pt idx="0">
                  <c:v>2023_Q1</c:v>
                </c:pt>
              </c:strCache>
            </c:strRef>
          </c:cat>
          <c:val>
            <c:numRef>
              <c:extLst>
                <c:ext xmlns:c15="http://schemas.microsoft.com/office/drawing/2012/chart" uri="{02D57815-91ED-43cb-92C2-25804820EDAC}">
                  <c15:fullRef>
                    <c15:sqref>Analysis!$AA$59:$AA$62</c15:sqref>
                  </c15:fullRef>
                </c:ext>
              </c:extLst>
              <c:f>Analysis!$AA$59</c:f>
              <c:numCache>
                <c:formatCode>General</c:formatCode>
                <c:ptCount val="1"/>
                <c:pt idx="0">
                  <c:v>128</c:v>
                </c:pt>
              </c:numCache>
            </c:numRef>
          </c:val>
          <c:extLst>
            <c:ext xmlns:c16="http://schemas.microsoft.com/office/drawing/2014/chart" uri="{C3380CC4-5D6E-409C-BE32-E72D297353CC}">
              <c16:uniqueId val="{00000001-B2B9-4CF1-AB93-D37D38D113BC}"/>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20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Entry>
      <c:layout>
        <c:manualLayout>
          <c:xMode val="edge"/>
          <c:yMode val="edge"/>
          <c:x val="8.1930316725686049E-3"/>
          <c:y val="0.76229107502448745"/>
          <c:w val="0.99180696832743143"/>
          <c:h val="0.237708924975512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2023-Q1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2023</c:v>
                </c:pt>
              </c:strCache>
            </c:strRef>
          </c:tx>
          <c:spPr>
            <a:solidFill>
              <a:srgbClr val="0070C0"/>
            </a:solidFill>
            <a:ln>
              <a:noFill/>
            </a:ln>
            <a:effectLst/>
          </c:spPr>
          <c:invertIfNegative val="0"/>
          <c:dLbls>
            <c:dLbl>
              <c:idx val="0"/>
              <c:layout>
                <c:manualLayout>
                  <c:x val="3.237624715438793E-2"/>
                  <c:y val="-5.451722631268295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50-460D-8180-1208B51CE70F}"/>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[6]National!$B$6:$B$18</c15:sqref>
                  </c15:fullRef>
                </c:ext>
              </c:extLst>
              <c:f>[6]National!$B$10</c:f>
              <c:strCache>
                <c:ptCount val="1"/>
                <c:pt idx="0">
                  <c:v>Kachin/Shan (North)</c:v>
                </c:pt>
              </c:strCache>
            </c:strRef>
          </c:cat>
          <c:val>
            <c:numRef>
              <c:extLst>
                <c:ext xmlns:c15="http://schemas.microsoft.com/office/drawing/2012/chart" uri="{02D57815-91ED-43cb-92C2-25804820EDAC}">
                  <c15:fullRef>
                    <c15:sqref>[6]National!$D$6:$D$18</c15:sqref>
                  </c15:fullRef>
                </c:ext>
              </c:extLst>
              <c:f>[6]National!$D$10</c:f>
              <c:numCache>
                <c:formatCode>General</c:formatCode>
                <c:ptCount val="1"/>
                <c:pt idx="0">
                  <c:v>656417.322661118</c:v>
                </c:pt>
              </c:numCache>
            </c:numRef>
          </c:val>
          <c:extLst xmlns:c15="http://schemas.microsoft.com/office/drawing/2012/chart">
            <c:ext xmlns:c16="http://schemas.microsoft.com/office/drawing/2014/chart" uri="{C3380CC4-5D6E-409C-BE32-E72D297353CC}">
              <c16:uniqueId val="{00000001-7E50-460D-8180-1208B51CE70F}"/>
            </c:ext>
          </c:extLst>
        </c:ser>
        <c:ser>
          <c:idx val="1"/>
          <c:order val="1"/>
          <c:tx>
            <c:strRef>
              <c:f>[6]National!$E$3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[6]National!$B$6:$B$18</c15:sqref>
                  </c15:fullRef>
                </c:ext>
              </c:extLst>
              <c:f>[6]National!$B$10</c:f>
              <c:strCache>
                <c:ptCount val="1"/>
                <c:pt idx="0">
                  <c:v>Kachin/Shan (North)</c:v>
                </c:pt>
              </c:strCache>
            </c:strRef>
          </c:cat>
          <c:val>
            <c:numRef>
              <c:extLst>
                <c:ext xmlns:c15="http://schemas.microsoft.com/office/drawing/2012/chart" uri="{02D57815-91ED-43cb-92C2-25804820EDAC}">
                  <c15:fullRef>
                    <c15:sqref>[6]National!$E$6:$E$18</c15:sqref>
                  </c15:fullRef>
                </c:ext>
              </c:extLst>
              <c:f>[6]National!$E$10</c:f>
              <c:numCache>
                <c:formatCode>General</c:formatCode>
                <c:ptCount val="1"/>
                <c:pt idx="0">
                  <c:v>12159950.677338881</c:v>
                </c:pt>
              </c:numCache>
            </c:numRef>
          </c:val>
          <c:extLst>
            <c:ext xmlns:c15="http://schemas.microsoft.com/office/drawing/2012/chart" uri="{02D57815-91ED-43cb-92C2-25804820EDAC}">
              <c15:categoryFilterExceptions>
                <c15:categoryFilterException>
                  <c15:sqref>[6]National!$E$6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7E50-460D-8180-1208B51CE70F}"/>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0.29010936053889597</c:v>
              </c:pt>
            </c:numLit>
          </c:val>
          <c:extLst>
            <c:ext xmlns:c16="http://schemas.microsoft.com/office/drawing/2014/chart" uri="{C3380CC4-5D6E-409C-BE32-E72D297353CC}">
              <c16:uniqueId val="{00000000-8FC5-4F63-8F1D-CAFFBBD65542}"/>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0.2627856489571242</c:v>
              </c:pt>
            </c:numLit>
          </c:val>
          <c:extLst>
            <c:ext xmlns:c16="http://schemas.microsoft.com/office/drawing/2014/chart" uri="{C3380CC4-5D6E-409C-BE32-E72D297353CC}">
              <c16:uniqueId val="{00000001-8FC5-4F63-8F1D-CAFFBBD65542}"/>
            </c:ext>
          </c:extLst>
        </c:ser>
        <c:ser>
          <c:idx val="2"/>
          <c:order val="2"/>
          <c:tx>
            <c:v>INGO/LNGO</c:v>
          </c:tx>
          <c:spPr>
            <a:solidFill>
              <a:schemeClr val="accent1">
                <a:lumMod val="20000"/>
                <a:lumOff val="8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0.44710499050397984</c:v>
              </c:pt>
            </c:numLit>
          </c:val>
          <c:extLst>
            <c:ext xmlns:c16="http://schemas.microsoft.com/office/drawing/2014/chart" uri="{C3380CC4-5D6E-409C-BE32-E72D297353CC}">
              <c16:uniqueId val="{00000002-8FC5-4F63-8F1D-CAFFBBD65542}"/>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state/region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5431372.7659449084</c:v>
              </c:pt>
              <c:pt idx="1">
                <c:v>4353706.9810160939</c:v>
              </c:pt>
              <c:pt idx="2">
                <c:v>4283214.5919899773</c:v>
              </c:pt>
              <c:pt idx="3">
                <c:v>2928740.2487938525</c:v>
              </c:pt>
              <c:pt idx="4">
                <c:v>3193730.5528003741</c:v>
              </c:pt>
              <c:pt idx="5">
                <c:v>5363397.3983148374</c:v>
              </c:pt>
              <c:pt idx="6">
                <c:v>6848904.0924754664</c:v>
              </c:pt>
              <c:pt idx="7">
                <c:v>4644756.9695764538</c:v>
              </c:pt>
              <c:pt idx="8">
                <c:v>3711017.6116430294</c:v>
              </c:pt>
              <c:pt idx="9">
                <c:v>2687744.3537975769</c:v>
              </c:pt>
              <c:pt idx="10">
                <c:v>656417.322661118</c:v>
              </c:pt>
            </c:numLit>
          </c:val>
          <c:smooth val="0"/>
          <c:extLst>
            <c:ext xmlns:c16="http://schemas.microsoft.com/office/drawing/2014/chart" uri="{C3380CC4-5D6E-409C-BE32-E72D297353CC}">
              <c16:uniqueId val="{00000000-E8E6-40B2-8639-03ABBFF67E80}"/>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[20230504_Myanmar_WASH_4W_2023_Q1_KachinShan_camp_Consolidate.xlsx]Analysis!PivotTable17</c:name>
    <c:fmtId val="6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t>
            </a:r>
            <a:r>
              <a:rPr lang="en-US" baseline="0"/>
              <a:t> of sites covered/gap</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pivotFmt>
      <c:pivotFmt>
        <c:idx val="9"/>
        <c:spPr>
          <a:solidFill>
            <a:schemeClr val="accent1">
              <a:lumMod val="40000"/>
              <a:lumOff val="60000"/>
            </a:schemeClr>
          </a:solidFill>
          <a:ln>
            <a:noFill/>
          </a:ln>
          <a:effectLst/>
        </c:spPr>
      </c:pivotFmt>
      <c:pivotFmt>
        <c:idx val="10"/>
        <c:spPr>
          <a:solidFill>
            <a:schemeClr val="accent4">
              <a:lumMod val="75000"/>
            </a:schemeClr>
          </a:solidFill>
          <a:ln>
            <a:noFill/>
          </a:ln>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pivotFmt>
      <c:pivotFmt>
        <c:idx val="13"/>
        <c:spPr>
          <a:solidFill>
            <a:schemeClr val="accent1">
              <a:lumMod val="40000"/>
              <a:lumOff val="60000"/>
            </a:schemeClr>
          </a:solidFill>
          <a:ln>
            <a:noFill/>
          </a:ln>
          <a:effectLst/>
        </c:spPr>
      </c:pivotFmt>
      <c:pivotFmt>
        <c:idx val="14"/>
        <c:spPr>
          <a:solidFill>
            <a:schemeClr val="accent4">
              <a:lumMod val="75000"/>
            </a:schemeClr>
          </a:solidFill>
          <a:ln>
            <a:noFill/>
          </a:ln>
          <a:effectLst/>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pivotFmt>
      <c:pivotFmt>
        <c:idx val="17"/>
        <c:spPr>
          <a:solidFill>
            <a:schemeClr val="accent1">
              <a:lumMod val="40000"/>
              <a:lumOff val="60000"/>
            </a:schemeClr>
          </a:solidFill>
          <a:ln>
            <a:noFill/>
          </a:ln>
          <a:effectLst/>
        </c:spPr>
      </c:pivotFmt>
      <c:pivotFmt>
        <c:idx val="18"/>
        <c:spPr>
          <a:solidFill>
            <a:schemeClr val="accent4">
              <a:lumMod val="75000"/>
            </a:schemeClr>
          </a:solidFill>
          <a:ln>
            <a:noFill/>
          </a:ln>
          <a:effectLst/>
        </c:spPr>
      </c:pivotFmt>
      <c:pivotFmt>
        <c:idx val="19"/>
        <c:spPr>
          <a:solidFill>
            <a:schemeClr val="accent1">
              <a:lumMod val="40000"/>
              <a:lumOff val="60000"/>
            </a:schemeClr>
          </a:solidFill>
          <a:ln>
            <a:noFill/>
          </a:ln>
          <a:effectLst/>
        </c:spPr>
      </c:pivotFmt>
    </c:pivotFmts>
    <c:plotArea>
      <c:layout/>
      <c:barChart>
        <c:barDir val="bar"/>
        <c:grouping val="clustered"/>
        <c:varyColors val="0"/>
        <c:ser>
          <c:idx val="0"/>
          <c:order val="0"/>
          <c:tx>
            <c:strRef>
              <c:f>Analysis!$S$11</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DF41-4CB3-B252-E188D5BBEFD0}"/>
              </c:ext>
            </c:extLst>
          </c:dPt>
          <c:dPt>
            <c:idx val="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DF41-4CB3-B252-E188D5BBEFD0}"/>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5-DF41-4CB3-B252-E188D5BBEF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Analysis!$R$12:$R$16</c:f>
              <c:multiLvlStrCache>
                <c:ptCount val="3"/>
                <c:lvl>
                  <c:pt idx="0">
                    <c:v>reported</c:v>
                  </c:pt>
                  <c:pt idx="1">
                    <c:v>Not reported</c:v>
                  </c:pt>
                  <c:pt idx="2">
                    <c:v> </c:v>
                  </c:pt>
                </c:lvl>
                <c:lvl>
                  <c:pt idx="0">
                    <c:v>Covered</c:v>
                  </c:pt>
                  <c:pt idx="2">
                    <c:v>Notcovered</c:v>
                  </c:pt>
                </c:lvl>
              </c:multiLvlStrCache>
            </c:multiLvlStrRef>
          </c:cat>
          <c:val>
            <c:numRef>
              <c:f>Analysis!$S$12:$S$16</c:f>
              <c:numCache>
                <c:formatCode>_(* #,##0_);_(* \(#,##0\);_(* "-"??_);_(@_)</c:formatCode>
                <c:ptCount val="3"/>
                <c:pt idx="0">
                  <c:v>123</c:v>
                </c:pt>
                <c:pt idx="1">
                  <c:v>6</c:v>
                </c:pt>
                <c:pt idx="2">
                  <c:v>29</c:v>
                </c:pt>
              </c:numCache>
            </c:numRef>
          </c:val>
          <c:extLst>
            <c:ext xmlns:c16="http://schemas.microsoft.com/office/drawing/2014/chart" uri="{C3380CC4-5D6E-409C-BE32-E72D297353CC}">
              <c16:uniqueId val="{00000006-DF41-4CB3-B252-E188D5BBEFD0}"/>
            </c:ext>
          </c:extLst>
        </c:ser>
        <c:dLbls>
          <c:showLegendKey val="0"/>
          <c:showVal val="0"/>
          <c:showCatName val="0"/>
          <c:showSerName val="0"/>
          <c:showPercent val="0"/>
          <c:showBubbleSize val="0"/>
        </c:dLbls>
        <c:gapWidth val="100"/>
        <c:axId val="541503664"/>
        <c:axId val="541500336"/>
      </c:barChart>
      <c:catAx>
        <c:axId val="541503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0336"/>
        <c:crosses val="autoZero"/>
        <c:auto val="1"/>
        <c:lblAlgn val="ctr"/>
        <c:lblOffset val="100"/>
        <c:noMultiLvlLbl val="0"/>
      </c:catAx>
      <c:valAx>
        <c:axId val="541500336"/>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[20230504_Myanmar_WASH_4W_2023_Q1_KachinShan_camp_Consolidate.xlsx]Analysis!PivotTable4</c:name>
    <c:fmtId val="2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Analysis!$D$423:$D$424</c:f>
              <c:strCache>
                <c:ptCount val="1"/>
                <c:pt idx="0">
                  <c:v>2023_Q1</c:v>
                </c:pt>
              </c:strCache>
            </c:strRef>
          </c:tx>
          <c:spPr>
            <a:solidFill>
              <a:schemeClr val="accent4">
                <a:lumMod val="40000"/>
                <a:lumOff val="60000"/>
              </a:schemeClr>
            </a:solidFill>
            <a:ln>
              <a:noFill/>
            </a:ln>
            <a:effectLst/>
          </c:spPr>
          <c:invertIfNegative val="0"/>
          <c:cat>
            <c:strRef>
              <c:f>Analysis!$C$425:$C$428</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Analysis!$D$425:$D$428</c:f>
              <c:numCache>
                <c:formatCode>0%</c:formatCode>
                <c:ptCount val="4"/>
                <c:pt idx="3">
                  <c:v>#N/A</c:v>
                </c:pt>
              </c:numCache>
            </c:numRef>
          </c:val>
          <c:extLst>
            <c:ext xmlns:c16="http://schemas.microsoft.com/office/drawing/2014/chart" uri="{C3380CC4-5D6E-409C-BE32-E72D297353CC}">
              <c16:uniqueId val="{00000000-2C74-4093-8B8F-ACE0C94E8006}"/>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[20230504_Myanmar_WASH_4W_2023_Q1_KachinShan_camp_Consolidate.xlsx]Analysis!PivotTable15</c:name>
    <c:fmtId val="3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Functioning Latrine Target and Reached</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75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071098231353871"/>
          <c:y val="0.10153843810944291"/>
          <c:w val="0.76905919657175037"/>
          <c:h val="0.752815262827086"/>
        </c:manualLayout>
      </c:layout>
      <c:barChart>
        <c:barDir val="bar"/>
        <c:grouping val="clustered"/>
        <c:varyColors val="0"/>
        <c:ser>
          <c:idx val="0"/>
          <c:order val="0"/>
          <c:tx>
            <c:strRef>
              <c:f>Analysis!$AJ$140</c:f>
              <c:strCache>
                <c:ptCount val="1"/>
                <c:pt idx="0">
                  <c:v>Reached</c:v>
                </c:pt>
              </c:strCache>
            </c:strRef>
          </c:tx>
          <c:spPr>
            <a:solidFill>
              <a:schemeClr val="accent2">
                <a:lumMod val="40000"/>
                <a:lumOff val="60000"/>
              </a:schemeClr>
            </a:solidFill>
            <a:ln>
              <a:noFill/>
            </a:ln>
            <a:effectLst/>
          </c:spPr>
          <c:invertIfNegative val="0"/>
          <c:cat>
            <c:strRef>
              <c:f>Analysis!$AI$141:$AI$150</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Analysis!$AJ$141:$AJ$150</c:f>
              <c:numCache>
                <c:formatCode>General</c:formatCode>
                <c:ptCount val="10"/>
                <c:pt idx="0">
                  <c:v>54</c:v>
                </c:pt>
                <c:pt idx="1">
                  <c:v>0</c:v>
                </c:pt>
                <c:pt idx="2">
                  <c:v>711</c:v>
                </c:pt>
                <c:pt idx="3">
                  <c:v>45</c:v>
                </c:pt>
                <c:pt idx="4">
                  <c:v>23</c:v>
                </c:pt>
                <c:pt idx="5">
                  <c:v>30</c:v>
                </c:pt>
                <c:pt idx="6">
                  <c:v>56</c:v>
                </c:pt>
                <c:pt idx="7">
                  <c:v>0</c:v>
                </c:pt>
                <c:pt idx="8">
                  <c:v>54</c:v>
                </c:pt>
                <c:pt idx="9">
                  <c:v>40</c:v>
                </c:pt>
              </c:numCache>
            </c:numRef>
          </c:val>
          <c:extLst>
            <c:ext xmlns:c16="http://schemas.microsoft.com/office/drawing/2014/chart" uri="{C3380CC4-5D6E-409C-BE32-E72D297353CC}">
              <c16:uniqueId val="{00000001-7E1A-4E12-84AA-0A436B00FD65}"/>
            </c:ext>
          </c:extLst>
        </c:ser>
        <c:ser>
          <c:idx val="1"/>
          <c:order val="1"/>
          <c:tx>
            <c:strRef>
              <c:f>Analysis!$AK$140</c:f>
              <c:strCache>
                <c:ptCount val="1"/>
                <c:pt idx="0">
                  <c:v>Target (20:1)</c:v>
                </c:pt>
              </c:strCache>
            </c:strRef>
          </c:tx>
          <c:spPr>
            <a:solidFill>
              <a:schemeClr val="accent2">
                <a:lumMod val="75000"/>
              </a:schemeClr>
            </a:solidFill>
            <a:ln>
              <a:noFill/>
            </a:ln>
            <a:effectLst/>
          </c:spPr>
          <c:invertIfNegative val="0"/>
          <c:cat>
            <c:strRef>
              <c:f>Analysis!$AI$141:$AI$150</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Analysis!$AK$141:$AK$150</c:f>
              <c:numCache>
                <c:formatCode>General</c:formatCode>
                <c:ptCount val="10"/>
                <c:pt idx="0">
                  <c:v>20</c:v>
                </c:pt>
                <c:pt idx="1">
                  <c:v>6</c:v>
                </c:pt>
                <c:pt idx="2">
                  <c:v>473</c:v>
                </c:pt>
                <c:pt idx="3">
                  <c:v>15</c:v>
                </c:pt>
                <c:pt idx="4">
                  <c:v>28</c:v>
                </c:pt>
                <c:pt idx="5">
                  <c:v>84</c:v>
                </c:pt>
                <c:pt idx="6">
                  <c:v>14</c:v>
                </c:pt>
                <c:pt idx="7">
                  <c:v>84</c:v>
                </c:pt>
                <c:pt idx="8">
                  <c:v>49</c:v>
                </c:pt>
                <c:pt idx="9">
                  <c:v>31</c:v>
                </c:pt>
              </c:numCache>
            </c:numRef>
          </c:val>
          <c:extLst>
            <c:ext xmlns:c16="http://schemas.microsoft.com/office/drawing/2014/chart" uri="{C3380CC4-5D6E-409C-BE32-E72D297353CC}">
              <c16:uniqueId val="{00000002-7E1A-4E12-84AA-0A436B00FD65}"/>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Mon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F35F-4C2B-9D43-B58A16CDA4E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F35F-4C2B-9D43-B58A16CDA4EA}"/>
              </c:ext>
            </c:extLst>
          </c:dPt>
          <c:dPt>
            <c:idx val="5"/>
            <c:invertIfNegative val="0"/>
            <c:bubble3D val="0"/>
            <c:spPr>
              <a:solidFill>
                <a:srgbClr val="0070C0"/>
              </a:solidFill>
              <a:ln>
                <a:noFill/>
              </a:ln>
              <a:effectLst/>
            </c:spPr>
            <c:extLst>
              <c:ext xmlns:c16="http://schemas.microsoft.com/office/drawing/2014/chart" uri="{C3380CC4-5D6E-409C-BE32-E72D297353CC}">
                <c16:uniqueId val="{00000003-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HRP!$C$243:$C$248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HRP!$E$243:$E$248</c:f>
              <c:numCache>
                <c:formatCode>_(* #,##0_);_(* \(#,##0\);_(* "-"??_);_(@_)</c:formatCode>
                <c:ptCount val="6"/>
                <c:pt idx="0">
                  <c:v>0</c:v>
                </c:pt>
                <c:pt idx="1">
                  <c:v>0</c:v>
                </c:pt>
                <c:pt idx="2">
                  <c:v>0</c:v>
                </c:pt>
                <c:pt idx="3">
                  <c:v>10750</c:v>
                </c:pt>
                <c:pt idx="4">
                  <c:v>0</c:v>
                </c:pt>
                <c:pt idx="5">
                  <c:v>10700</c:v>
                </c:pt>
              </c:numCache>
            </c:numRef>
          </c:val>
          <c:extLst>
            <c:ext xmlns:c16="http://schemas.microsoft.com/office/drawing/2014/chart" uri="{C3380CC4-5D6E-409C-BE32-E72D297353CC}">
              <c16:uniqueId val="{00000000-F35F-4C2B-9D43-B58A16CDA4EA}"/>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B-F35F-4C2B-9D43-B58A16CDA4E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F35F-4C2B-9D43-B58A16CDA4E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9-F35F-4C2B-9D43-B58A16CDA4E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F35F-4C2B-9D43-B58A16CDA4E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6-F35F-4C2B-9D43-B58A16CDA4E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HRP!$C$243:$C$248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HRP!$F$243:$F$248</c:f>
              <c:numCache>
                <c:formatCode>_(* #,##0_);_(* \(#,##0\);_(* "-"??_);_(@_)</c:formatCode>
                <c:ptCount val="6"/>
                <c:pt idx="0">
                  <c:v>1103.2525000000001</c:v>
                </c:pt>
                <c:pt idx="1">
                  <c:v>1765.204</c:v>
                </c:pt>
                <c:pt idx="2">
                  <c:v>2687.0429798401483</c:v>
                </c:pt>
                <c:pt idx="3">
                  <c:v>20925.809596802959</c:v>
                </c:pt>
                <c:pt idx="4">
                  <c:v>13915.752879040889</c:v>
                </c:pt>
                <c:pt idx="5">
                  <c:v>4898.3247984014815</c:v>
                </c:pt>
              </c:numCache>
            </c:numRef>
          </c:val>
          <c:extLst>
            <c:ext xmlns:c16="http://schemas.microsoft.com/office/drawing/2014/chart" uri="{C3380CC4-5D6E-409C-BE32-E72D297353CC}">
              <c16:uniqueId val="{00000001-F35F-4C2B-9D43-B58A16CDA4EA}"/>
            </c:ext>
          </c:extLst>
        </c:ser>
        <c:dLbls>
          <c:dLblPos val="ctr"/>
          <c:showLegendKey val="0"/>
          <c:showVal val="1"/>
          <c:showCatName val="0"/>
          <c:showSerName val="0"/>
          <c:showPercent val="0"/>
          <c:showBubbleSize val="0"/>
        </c:dLbls>
        <c:gapWidth val="50"/>
        <c:overlap val="100"/>
        <c:axId val="1837750911"/>
        <c:axId val="1837757983"/>
      </c:barChart>
      <c:catAx>
        <c:axId val="1837750911"/>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837757983"/>
        <c:crosses val="autoZero"/>
        <c:auto val="1"/>
        <c:lblAlgn val="ctr"/>
        <c:lblOffset val="100"/>
        <c:noMultiLvlLbl val="0"/>
      </c:catAx>
      <c:valAx>
        <c:axId val="183775798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37750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394211835787555"/>
          <c:y val="0.2017504968066309"/>
          <c:w val="0.644631040917232"/>
          <c:h val="0.58889356005193771"/>
        </c:manualLayout>
      </c:layout>
      <c:barChart>
        <c:barDir val="bar"/>
        <c:grouping val="clustered"/>
        <c:varyColors val="0"/>
        <c:ser>
          <c:idx val="0"/>
          <c:order val="0"/>
          <c:tx>
            <c:strRef>
              <c:f>Analysis!$I$295:$I$296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Analysis!$H$297:$H$299</c:f>
              <c:strCache>
                <c:ptCount val="3"/>
                <c:pt idx="0">
                  <c:v>Camp</c:v>
                </c:pt>
                <c:pt idx="1">
                  <c:v>Camp_not registered</c:v>
                </c:pt>
                <c:pt idx="2">
                  <c:v>Relocated</c:v>
                </c:pt>
              </c:strCache>
            </c:strRef>
          </c:cat>
          <c:val>
            <c:numRef>
              <c:f>Analysis!$I$297:$I$299</c:f>
              <c:numCache>
                <c:formatCode>General</c:formatCode>
                <c:ptCount val="3"/>
                <c:pt idx="0">
                  <c:v>39</c:v>
                </c:pt>
                <c:pt idx="1">
                  <c:v>1</c:v>
                </c:pt>
              </c:numCache>
            </c:numRef>
          </c:val>
          <c:extLst>
            <c:ext xmlns:c16="http://schemas.microsoft.com/office/drawing/2014/chart" uri="{C3380CC4-5D6E-409C-BE32-E72D297353CC}">
              <c16:uniqueId val="{00000000-8DD4-4BA3-A0C9-0B2FE009BA8F}"/>
            </c:ext>
          </c:extLst>
        </c:ser>
        <c:ser>
          <c:idx val="1"/>
          <c:order val="1"/>
          <c:tx>
            <c:strRef>
              <c:f>Analysis!$J$295:$J$296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Analysis!$H$297:$H$299</c:f>
              <c:strCache>
                <c:ptCount val="3"/>
                <c:pt idx="0">
                  <c:v>Camp</c:v>
                </c:pt>
                <c:pt idx="1">
                  <c:v>Camp_not registered</c:v>
                </c:pt>
                <c:pt idx="2">
                  <c:v>Relocated</c:v>
                </c:pt>
              </c:strCache>
            </c:strRef>
          </c:cat>
          <c:val>
            <c:numRef>
              <c:f>Analysis!$J$297:$J$299</c:f>
              <c:numCache>
                <c:formatCode>General</c:formatCode>
                <c:ptCount val="3"/>
                <c:pt idx="0">
                  <c:v>13</c:v>
                </c:pt>
                <c:pt idx="2">
                  <c:v>2</c:v>
                </c:pt>
              </c:numCache>
            </c:numRef>
          </c:val>
          <c:extLst>
            <c:ext xmlns:c16="http://schemas.microsoft.com/office/drawing/2014/chart" uri="{C3380CC4-5D6E-409C-BE32-E72D297353CC}">
              <c16:uniqueId val="{00000001-8DD4-4BA3-A0C9-0B2FE009BA8F}"/>
            </c:ext>
          </c:extLst>
        </c:ser>
        <c:dLbls>
          <c:dLblPos val="outEnd"/>
          <c:showLegendKey val="0"/>
          <c:showVal val="1"/>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7913649109406224"/>
          <c:h val="0.107881374610766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Analysis!$C$382</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4AA9-4089-870D-F7928B8FC94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Analysis!$D$380:$I$380</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Analysis!$D$382:$I$382</c:f>
              <c:numCache>
                <c:formatCode>_(* #,##0_);_(* \(#,##0\);_(* "-"??_);_(@_)</c:formatCode>
                <c:ptCount val="6"/>
                <c:pt idx="0">
                  <c:v>25</c:v>
                </c:pt>
                <c:pt idx="1">
                  <c:v>0</c:v>
                </c:pt>
                <c:pt idx="2">
                  <c:v>11</c:v>
                </c:pt>
                <c:pt idx="3">
                  <c:v>6</c:v>
                </c:pt>
                <c:pt idx="4">
                  <c:v>0</c:v>
                </c:pt>
                <c:pt idx="5">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[20230504_Myanmar_WASH_4W_2023_Q1_KachinShan_camp_Consolidate.xlsx]Analysis!S_water1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100">
              <a:effectLst/>
            </a:endParaRPr>
          </a:p>
        </c:rich>
      </c:tx>
      <c:layout>
        <c:manualLayout>
          <c:xMode val="edge"/>
          <c:yMode val="edge"/>
          <c:x val="0.17933756844221077"/>
          <c:y val="4.60805699259704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Analysis!$J$38</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c:v>
                </c:pt>
              </c:strCache>
            </c:strRef>
          </c:cat>
          <c:val>
            <c:numRef>
              <c:f>Analysis!$J$39</c:f>
              <c:numCache>
                <c:formatCode>_(* #,##0_);_(* \(#,##0\);_(* "-"??_);_(@_)</c:formatCode>
                <c:ptCount val="1"/>
                <c:pt idx="0">
                  <c:v>9894</c:v>
                </c:pt>
              </c:numCache>
            </c:numRef>
          </c:val>
          <c:extLst>
            <c:ext xmlns:c16="http://schemas.microsoft.com/office/drawing/2014/chart" uri="{C3380CC4-5D6E-409C-BE32-E72D297353CC}">
              <c16:uniqueId val="{00000000-0E96-4653-9599-6BF3AA025987}"/>
            </c:ext>
          </c:extLst>
        </c:ser>
        <c:ser>
          <c:idx val="1"/>
          <c:order val="1"/>
          <c:tx>
            <c:strRef>
              <c:f>Analysis!$K$38</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Analysis!$I$39</c:f>
              <c:strCache>
                <c:ptCount val="1"/>
                <c:pt idx="0">
                  <c:v>GCA</c:v>
                </c:pt>
              </c:strCache>
            </c:strRef>
          </c:cat>
          <c:val>
            <c:numRef>
              <c:f>Analysis!$K$39</c:f>
              <c:numCache>
                <c:formatCode>_(* #,##0_);_(* \(#,##0\);_(* "-"??_);_(@_)</c:formatCode>
                <c:ptCount val="1"/>
                <c:pt idx="0">
                  <c:v>1417</c:v>
                </c:pt>
              </c:numCache>
            </c:numRef>
          </c:val>
          <c:extLst>
            <c:ext xmlns:c16="http://schemas.microsoft.com/office/drawing/2014/chart" uri="{C3380CC4-5D6E-409C-BE32-E72D297353CC}">
              <c16:uniqueId val="{00000001-0E96-4653-9599-6BF3AA025987}"/>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Q1-2023</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layout>
                <c:manualLayout>
                  <c:x val="-3.0072759740876535E-2"/>
                  <c:y val="0.1127072848146984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Analysis!$J$52:$K$52</c:f>
              <c:strCache>
                <c:ptCount val="2"/>
                <c:pt idx="0">
                  <c:v>Tested</c:v>
                </c:pt>
                <c:pt idx="1">
                  <c:v>No Test</c:v>
                </c:pt>
              </c:strCache>
              <c:extLst xmlns:c15="http://schemas.microsoft.com/office/drawing/2012/chart"/>
            </c:strRef>
          </c:cat>
          <c:val>
            <c:numRef>
              <c:f>Analysis!$J$54:$K$54</c:f>
              <c:numCache>
                <c:formatCode>General</c:formatCode>
                <c:ptCount val="2"/>
                <c:pt idx="0">
                  <c:v>0</c:v>
                </c:pt>
                <c:pt idx="1">
                  <c:v>40</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Analysis!$H$53</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Analysis!$J$52:$K$52</c15:sqref>
                        </c15:formulaRef>
                      </c:ext>
                    </c:extLst>
                    <c:strCache>
                      <c:ptCount val="2"/>
                      <c:pt idx="0">
                        <c:v>Tested</c:v>
                      </c:pt>
                      <c:pt idx="1">
                        <c:v>No Test</c:v>
                      </c:pt>
                    </c:strCache>
                  </c:strRef>
                </c:cat>
                <c:val>
                  <c:numRef>
                    <c:extLst>
                      <c:ext uri="{02D57815-91ED-43cb-92C2-25804820EDAC}">
                        <c15:formulaRef>
                          <c15:sqref>Analysis!$J$53:$K$53</c15:sqref>
                        </c15:formulaRef>
                      </c:ext>
                    </c:extLst>
                    <c:numCache>
                      <c:formatCode>General</c:formatCode>
                      <c:ptCount val="2"/>
                      <c:pt idx="0">
                        <c:v>10</c:v>
                      </c:pt>
                      <c:pt idx="1">
                        <c:v>113</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Analysis!$H$55</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Analysis!$J$52:$K$52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Analysis!$J$55:$K$55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Analysis!$L$69</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Analysis!$K$70:$K$73</c:f>
              <c:strCache>
                <c:ptCount val="4"/>
                <c:pt idx="0">
                  <c:v>2023_Q1</c:v>
                </c:pt>
                <c:pt idx="1">
                  <c:v>2023_Q2</c:v>
                </c:pt>
                <c:pt idx="2">
                  <c:v>2023_Q3</c:v>
                </c:pt>
                <c:pt idx="3">
                  <c:v>2023_Q4</c:v>
                </c:pt>
              </c:strCache>
            </c:strRef>
          </c:cat>
          <c:val>
            <c:numRef>
              <c:f>Analysis!$L$70:$L$73</c:f>
              <c:numCache>
                <c:formatCode>General</c:formatCode>
                <c:ptCount val="4"/>
                <c:pt idx="0">
                  <c:v>0</c:v>
                </c:pt>
                <c:pt idx="1">
                  <c:v>0</c:v>
                </c:pt>
                <c:pt idx="2">
                  <c:v>0</c:v>
                </c:pt>
              </c:numCache>
            </c:numRef>
          </c:val>
          <c:extLst>
            <c:ext xmlns:c16="http://schemas.microsoft.com/office/drawing/2014/chart" uri="{C3380CC4-5D6E-409C-BE32-E72D297353CC}">
              <c16:uniqueId val="{00000000-38D6-4369-BEB9-91BE6B261982}"/>
            </c:ext>
          </c:extLst>
        </c:ser>
        <c:ser>
          <c:idx val="1"/>
          <c:order val="1"/>
          <c:tx>
            <c:strRef>
              <c:f>Analysis!$M$69</c:f>
              <c:strCache>
                <c:ptCount val="1"/>
                <c:pt idx="0">
                  <c:v># Passed</c:v>
                </c:pt>
              </c:strCache>
            </c:strRef>
          </c:tx>
          <c:spPr>
            <a:solidFill>
              <a:schemeClr val="accent1">
                <a:lumMod val="40000"/>
                <a:lumOff val="60000"/>
              </a:schemeClr>
            </a:solidFill>
            <a:ln>
              <a:noFill/>
            </a:ln>
            <a:effectLst/>
          </c:spPr>
          <c:invertIfNegative val="0"/>
          <c:cat>
            <c:strRef>
              <c:f>Analysis!$K$70:$K$73</c:f>
              <c:strCache>
                <c:ptCount val="4"/>
                <c:pt idx="0">
                  <c:v>2023_Q1</c:v>
                </c:pt>
                <c:pt idx="1">
                  <c:v>2023_Q2</c:v>
                </c:pt>
                <c:pt idx="2">
                  <c:v>2023_Q3</c:v>
                </c:pt>
                <c:pt idx="3">
                  <c:v>2023_Q4</c:v>
                </c:pt>
              </c:strCache>
            </c:strRef>
          </c:cat>
          <c:val>
            <c:numRef>
              <c:f>Analysis!$M$70:$M$73</c:f>
              <c:numCache>
                <c:formatCode>General</c:formatCode>
                <c:ptCount val="4"/>
                <c:pt idx="0">
                  <c:v>0</c:v>
                </c:pt>
                <c:pt idx="1">
                  <c:v>0</c:v>
                </c:pt>
                <c:pt idx="2">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Q1-2023</a:t>
            </a:r>
            <a:endParaRPr lang="en-US" sz="1400">
              <a:effectLst/>
            </a:endParaRPr>
          </a:p>
        </c:rich>
      </c:tx>
      <c:layout>
        <c:manualLayout>
          <c:xMode val="edge"/>
          <c:yMode val="edge"/>
          <c:x val="0.1569508778561079"/>
          <c:y val="7.483163242886566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Analysis!$V$54</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Analysis!$X$52:$Y$52</c:f>
              <c:strCache>
                <c:ptCount val="2"/>
                <c:pt idx="0">
                  <c:v>Tested</c:v>
                </c:pt>
                <c:pt idx="1">
                  <c:v>No test</c:v>
                </c:pt>
              </c:strCache>
              <c:extLst xmlns:c15="http://schemas.microsoft.com/office/drawing/2012/chart"/>
            </c:strRef>
          </c:cat>
          <c:val>
            <c:numRef>
              <c:f>Analysis!$X$54:$Y$54</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Analysis!$V$53</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Analysis!$X$52:$Y$52</c15:sqref>
                        </c15:formulaRef>
                      </c:ext>
                    </c:extLst>
                    <c:strCache>
                      <c:ptCount val="2"/>
                      <c:pt idx="0">
                        <c:v>Tested</c:v>
                      </c:pt>
                      <c:pt idx="1">
                        <c:v>No test</c:v>
                      </c:pt>
                    </c:strCache>
                  </c:strRef>
                </c:cat>
                <c:val>
                  <c:numRef>
                    <c:extLst>
                      <c:ext uri="{02D57815-91ED-43cb-92C2-25804820EDAC}">
                        <c15:formulaRef>
                          <c15:sqref>Analysis!$X$53:$Y$53</c15:sqref>
                        </c15:formulaRef>
                      </c:ext>
                    </c:extLst>
                    <c:numCache>
                      <c:formatCode>General</c:formatCode>
                      <c:ptCount val="2"/>
                      <c:pt idx="0">
                        <c:v>10</c:v>
                      </c:pt>
                      <c:pt idx="1">
                        <c:v>113</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Analysis!$X$52:$Y$52</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Analysis!$X$55:$Y$55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Analysis!$Z$65</c:f>
              <c:strCache>
                <c:ptCount val="1"/>
                <c:pt idx="0">
                  <c:v> # Tested</c:v>
                </c:pt>
              </c:strCache>
            </c:strRef>
          </c:tx>
          <c:spPr>
            <a:solidFill>
              <a:srgbClr val="0070C0"/>
            </a:solidFill>
            <a:ln>
              <a:noFill/>
            </a:ln>
            <a:effectLst/>
          </c:spPr>
          <c:invertIfNegative val="0"/>
          <c:cat>
            <c:strRef>
              <c:f>Analysis!$Y$66:$Y$69</c:f>
              <c:strCache>
                <c:ptCount val="4"/>
                <c:pt idx="0">
                  <c:v>2023_Q1</c:v>
                </c:pt>
                <c:pt idx="1">
                  <c:v>2023_Q2</c:v>
                </c:pt>
                <c:pt idx="2">
                  <c:v>2023_Q3</c:v>
                </c:pt>
                <c:pt idx="3">
                  <c:v>2023_Q4</c:v>
                </c:pt>
              </c:strCache>
            </c:strRef>
          </c:cat>
          <c:val>
            <c:numRef>
              <c:f>Analysis!$Z$66:$Z$69</c:f>
              <c:numCache>
                <c:formatCode>General</c:formatCode>
                <c:ptCount val="4"/>
                <c:pt idx="0">
                  <c:v>0</c:v>
                </c:pt>
              </c:numCache>
            </c:numRef>
          </c:val>
          <c:extLst>
            <c:ext xmlns:c16="http://schemas.microsoft.com/office/drawing/2014/chart" uri="{C3380CC4-5D6E-409C-BE32-E72D297353CC}">
              <c16:uniqueId val="{00000000-16BA-41CC-B04A-6600D6A5C684}"/>
            </c:ext>
          </c:extLst>
        </c:ser>
        <c:ser>
          <c:idx val="1"/>
          <c:order val="1"/>
          <c:tx>
            <c:strRef>
              <c:f>Analysis!$AA$65</c:f>
              <c:strCache>
                <c:ptCount val="1"/>
                <c:pt idx="0">
                  <c:v> # Household received remediation action</c:v>
                </c:pt>
              </c:strCache>
            </c:strRef>
          </c:tx>
          <c:spPr>
            <a:solidFill>
              <a:schemeClr val="accent1">
                <a:lumMod val="40000"/>
                <a:lumOff val="60000"/>
              </a:schemeClr>
            </a:solidFill>
            <a:ln>
              <a:noFill/>
            </a:ln>
            <a:effectLst/>
          </c:spPr>
          <c:invertIfNegative val="0"/>
          <c:cat>
            <c:strRef>
              <c:f>Analysis!$Y$66:$Y$69</c:f>
              <c:strCache>
                <c:ptCount val="4"/>
                <c:pt idx="0">
                  <c:v>2023_Q1</c:v>
                </c:pt>
                <c:pt idx="1">
                  <c:v>2023_Q2</c:v>
                </c:pt>
                <c:pt idx="2">
                  <c:v>2023_Q3</c:v>
                </c:pt>
                <c:pt idx="3">
                  <c:v>2023_Q4</c:v>
                </c:pt>
              </c:strCache>
            </c:strRef>
          </c:cat>
          <c:val>
            <c:numRef>
              <c:f>Analysis!$AA$66:$AA$69</c:f>
              <c:numCache>
                <c:formatCode>General</c:formatCode>
                <c:ptCount val="4"/>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9930302997007754"/>
          <c:w val="0.92773733199662345"/>
          <c:h val="0.294022884224284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Analysis!$B$162</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2.680784679042791E-3"/>
                  <c:y val="-0.187412816846935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Analysis!$C$159:$F$159</c:f>
              <c:strCache>
                <c:ptCount val="4"/>
                <c:pt idx="0">
                  <c:v>Functional</c:v>
                </c:pt>
                <c:pt idx="1">
                  <c:v>NA</c:v>
                </c:pt>
                <c:pt idx="2">
                  <c:v>Not_Functional</c:v>
                </c:pt>
                <c:pt idx="3">
                  <c:v>Not_inPlace</c:v>
                </c:pt>
              </c:strCache>
              <c:extLst xmlns:c15="http://schemas.microsoft.com/office/drawing/2012/chart"/>
            </c:strRef>
          </c:cat>
          <c:val>
            <c:numRef>
              <c:f>Analysis!$C$162:$F$162</c:f>
              <c:numCache>
                <c:formatCode>General</c:formatCode>
                <c:ptCount val="4"/>
                <c:pt idx="0">
                  <c:v>13</c:v>
                </c:pt>
                <c:pt idx="1">
                  <c:v>14</c:v>
                </c:pt>
                <c:pt idx="2">
                  <c:v>3</c:v>
                </c:pt>
                <c:pt idx="3">
                  <c:v>10</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Analysis!$B$160</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Analysis!$C$160:$F$160</c15:sqref>
                        </c15:formulaRef>
                      </c:ext>
                    </c:extLst>
                    <c:numCache>
                      <c:formatCode>General</c:formatCode>
                      <c:ptCount val="4"/>
                      <c:pt idx="0">
                        <c:v>96</c:v>
                      </c:pt>
                      <c:pt idx="1">
                        <c:v>10</c:v>
                      </c:pt>
                      <c:pt idx="2">
                        <c:v>9</c:v>
                      </c:pt>
                      <c:pt idx="3">
                        <c:v>8</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Analysis!$C$159:$F$159</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Analysis!$C$161:$F$161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Analysis!$B$178</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0.1487697342631141"/>
                  <c:y val="0.126987299453095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ext>
              </c:extLst>
              <c:f>Analysis!$C$175:$E$175</c:f>
              <c:strCache>
                <c:ptCount val="3"/>
                <c:pt idx="0">
                  <c:v>NA</c:v>
                </c:pt>
                <c:pt idx="1">
                  <c:v>No</c:v>
                </c:pt>
                <c:pt idx="2">
                  <c:v>Yes</c:v>
                </c:pt>
              </c:strCache>
            </c:strRef>
          </c:cat>
          <c:val>
            <c:numRef>
              <c:extLst>
                <c:ext xmlns:c15="http://schemas.microsoft.com/office/drawing/2012/chart" uri="{02D57815-91ED-43cb-92C2-25804820EDAC}">
                  <c15:fullRef>
                    <c15:sqref>Analysis!$C$178:$F$178</c15:sqref>
                  </c15:fullRef>
                </c:ext>
              </c:extLst>
              <c:f>Analysis!$C$178:$E$178</c:f>
              <c:numCache>
                <c:formatCode>General</c:formatCode>
                <c:ptCount val="3"/>
                <c:pt idx="0">
                  <c:v>14</c:v>
                </c:pt>
                <c:pt idx="1">
                  <c:v>9</c:v>
                </c:pt>
                <c:pt idx="2">
                  <c:v>17</c:v>
                </c:pt>
              </c:numCache>
            </c:numRef>
          </c:val>
          <c:extLst>
            <c:ext xmlns:c15="http://schemas.microsoft.com/office/drawing/2012/chart" uri="{02D57815-91ED-43cb-92C2-25804820EDAC}">
              <c15:categoryFilterExceptions>
                <c15:categoryFilterException>
                  <c15:sqref>Analysis!$F$178</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8-3187-4E4B-9C2F-D3F3541EEA60}"/>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Analysis!$B$176</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uri="{02D57815-91ED-43cb-92C2-25804820EDAC}">
                        <c15:fullRef>
                          <c15:sqref>Analysis!$C$176:$F$176</c15:sqref>
                        </c15:fullRef>
                        <c15:formulaRef>
                          <c15:sqref>Analysis!$C$176:$E$176</c15:sqref>
                        </c15:formulaRef>
                      </c:ext>
                    </c:extLst>
                    <c:numCache>
                      <c:formatCode>General</c:formatCode>
                      <c:ptCount val="3"/>
                      <c:pt idx="0">
                        <c:v>8</c:v>
                      </c:pt>
                      <c:pt idx="1">
                        <c:v>1</c:v>
                      </c:pt>
                      <c:pt idx="2">
                        <c:v>114</c:v>
                      </c:pt>
                    </c:numCache>
                  </c:numRef>
                </c:val>
                <c:extLst>
                  <c:ext uri="{02D57815-91ED-43cb-92C2-25804820EDAC}">
                    <c15:categoryFilterExceptions>
                      <c15:categoryFilterException>
                        <c15:sqref>Analysis!$F$176</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Analysis!$B$177</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Analysis!$C$175:$F$175</c15:sqref>
                        </c15:fullRef>
                        <c15:formulaRef>
                          <c15:sqref>Analysis!$C$175:$E$175</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Analysis!$C$177:$F$177</c15:sqref>
                        </c15:fullRef>
                        <c15:formulaRef>
                          <c15:sqref>Analysis!$C$177:$E$177</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Analysis!$F$177</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Analysis!$J$135</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0</c:v>
                </c:pt>
              </c:numCache>
            </c:numRef>
          </c:val>
          <c:extLst>
            <c:ext xmlns:c16="http://schemas.microsoft.com/office/drawing/2014/chart" uri="{C3380CC4-5D6E-409C-BE32-E72D297353CC}">
              <c16:uniqueId val="{00000000-014A-4722-B456-E8907B7553F3}"/>
            </c:ext>
          </c:extLst>
        </c:ser>
        <c:ser>
          <c:idx val="1"/>
          <c:order val="1"/>
          <c:tx>
            <c:strRef>
              <c:f>Analysis!$J$136</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Analysis!$K$130:$L$130</c15:sqref>
                  </c15:fullRef>
                </c:ext>
              </c:extLst>
              <c:f>Analysis!$K$130</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Shan (South)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HRP!$S$242</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53B3-4201-AFAE-57734679A4A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0-E6BB-4C63-8A4B-BE61E132D17B}"/>
              </c:ext>
            </c:extLst>
          </c:dPt>
          <c:dPt>
            <c:idx val="5"/>
            <c:invertIfNegative val="0"/>
            <c:bubble3D val="0"/>
            <c:spPr>
              <a:solidFill>
                <a:srgbClr val="0070C0"/>
              </a:solidFill>
              <a:ln>
                <a:noFill/>
              </a:ln>
              <a:effectLst/>
            </c:spPr>
            <c:extLst>
              <c:ext xmlns:c16="http://schemas.microsoft.com/office/drawing/2014/chart" uri="{C3380CC4-5D6E-409C-BE32-E72D297353CC}">
                <c16:uniqueId val="{0000000F-E6BB-4C63-8A4B-BE61E132D17B}"/>
              </c:ext>
            </c:extLst>
          </c:dPt>
          <c:dLbls>
            <c:dLbl>
              <c:idx val="5"/>
              <c:layout>
                <c:manualLayout>
                  <c:x val="3.655861705027115E-2"/>
                  <c:y val="-1.71712042918429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BB-4C63-8A4B-BE61E132D17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HRP!$Q$243:$Q$248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HRP!$S$243:$S$248</c:f>
              <c:numCache>
                <c:formatCode>_(* #,##0_);_(* \(#,##0\);_(* "-"??_);_(@_)</c:formatCode>
                <c:ptCount val="6"/>
                <c:pt idx="0">
                  <c:v>0</c:v>
                </c:pt>
                <c:pt idx="1">
                  <c:v>0</c:v>
                </c:pt>
                <c:pt idx="2">
                  <c:v>0</c:v>
                </c:pt>
                <c:pt idx="3">
                  <c:v>3306</c:v>
                </c:pt>
                <c:pt idx="4">
                  <c:v>2347</c:v>
                </c:pt>
                <c:pt idx="5">
                  <c:v>6063</c:v>
                </c:pt>
              </c:numCache>
            </c:numRef>
          </c:val>
          <c:extLst>
            <c:ext xmlns:c16="http://schemas.microsoft.com/office/drawing/2014/chart" uri="{C3380CC4-5D6E-409C-BE32-E72D297353CC}">
              <c16:uniqueId val="{00000000-53B3-4201-AFAE-57734679A4AA}"/>
            </c:ext>
          </c:extLst>
        </c:ser>
        <c:ser>
          <c:idx val="1"/>
          <c:order val="1"/>
          <c:tx>
            <c:strRef>
              <c:f>HRP!$T$242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53B3-4201-AFAE-57734679A4A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8-53B3-4201-AFAE-57734679A4A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7-53B3-4201-AFAE-57734679A4A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53B3-4201-AFAE-57734679A4A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53B3-4201-AFAE-57734679A4A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53B3-4201-AFAE-57734679A4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HRP!$Q$243:$Q$248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HRP!$T$243:$T$248</c:f>
              <c:numCache>
                <c:formatCode>_(* #,##0_);_(* \(#,##0\);_(* "-"??_);_(@_)</c:formatCode>
                <c:ptCount val="6"/>
                <c:pt idx="0">
                  <c:v>3121.8</c:v>
                </c:pt>
                <c:pt idx="1">
                  <c:v>4994.88</c:v>
                </c:pt>
                <c:pt idx="2">
                  <c:v>8527.9650678466642</c:v>
                </c:pt>
                <c:pt idx="3">
                  <c:v>104817.30135693328</c:v>
                </c:pt>
                <c:pt idx="4">
                  <c:v>42577.190407079979</c:v>
                </c:pt>
                <c:pt idx="5">
                  <c:v>46812.330678466635</c:v>
                </c:pt>
              </c:numCache>
            </c:numRef>
          </c:val>
          <c:extLst>
            <c:ext xmlns:c16="http://schemas.microsoft.com/office/drawing/2014/chart" uri="{C3380CC4-5D6E-409C-BE32-E72D297353CC}">
              <c16:uniqueId val="{00000001-53B3-4201-AFAE-57734679A4AA}"/>
            </c:ext>
          </c:extLst>
        </c:ser>
        <c:dLbls>
          <c:dLblPos val="ctr"/>
          <c:showLegendKey val="0"/>
          <c:showVal val="1"/>
          <c:showCatName val="0"/>
          <c:showSerName val="0"/>
          <c:showPercent val="0"/>
          <c:showBubbleSize val="0"/>
        </c:dLbls>
        <c:gapWidth val="50"/>
        <c:overlap val="100"/>
        <c:axId val="1616662543"/>
        <c:axId val="1616664623"/>
      </c:barChart>
      <c:catAx>
        <c:axId val="161666254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616664623"/>
        <c:crosses val="autoZero"/>
        <c:auto val="1"/>
        <c:lblAlgn val="ctr"/>
        <c:lblOffset val="100"/>
        <c:noMultiLvlLbl val="0"/>
      </c:catAx>
      <c:valAx>
        <c:axId val="161666462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1666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b="1" i="0" baseline="0">
                <a:effectLst/>
              </a:rPr>
              <a:t>Latrine Functionality</a:t>
            </a:r>
            <a:endParaRPr lang="en-US" sz="1100">
              <a:effectLst/>
            </a:endParaRPr>
          </a:p>
        </c:rich>
      </c:tx>
      <c:layout>
        <c:manualLayout>
          <c:xMode val="edge"/>
          <c:yMode val="edge"/>
          <c:x val="0.17970594768929515"/>
          <c:y val="9.039551239664126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4019842771693967"/>
          <c:y val="0.13784319154524366"/>
          <c:w val="0.52141268933628426"/>
          <c:h val="0.72172987116148257"/>
        </c:manualLayout>
      </c:layout>
      <c:pieChart>
        <c:varyColors val="1"/>
        <c:ser>
          <c:idx val="0"/>
          <c:order val="0"/>
          <c:explosion val="1"/>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layout>
                <c:manualLayout>
                  <c:x val="2.0318348283673383E-2"/>
                  <c:y val="-0.1588694012614088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24319993747068935"/>
                      <c:h val="0.29197750504115128"/>
                    </c:manualLayout>
                  </c15:layout>
                </c:ex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Analysis!$N$129:$N$130</c:f>
              <c:strCache>
                <c:ptCount val="2"/>
                <c:pt idx="0">
                  <c:v>Functioning</c:v>
                </c:pt>
                <c:pt idx="1">
                  <c:v>Not_Functioning</c:v>
                </c:pt>
              </c:strCache>
            </c:strRef>
          </c:cat>
          <c:val>
            <c:numRef>
              <c:f>Analysis!$O$129:$O$130</c:f>
              <c:numCache>
                <c:formatCode>_(* #,##0_);_(* \(#,##0\);_(* "-"??_);_(@_)</c:formatCode>
                <c:ptCount val="2"/>
                <c:pt idx="0">
                  <c:v>1013</c:v>
                </c:pt>
                <c:pt idx="1">
                  <c:v>0</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794311478239E-2"/>
          <c:y val="0.83841695392747162"/>
          <c:w val="0.89999989715573914"/>
          <c:h val="0.152543494832864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Analysis!$H$220</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Analysis!$H$221:$H$223</c:f>
              <c:numCache>
                <c:formatCode>0</c:formatCode>
                <c:ptCount val="3"/>
                <c:pt idx="0">
                  <c:v>1108.4000000000001</c:v>
                </c:pt>
                <c:pt idx="1">
                  <c:v>1242</c:v>
                </c:pt>
                <c:pt idx="2" formatCode="General">
                  <c:v>9</c:v>
                </c:pt>
              </c:numCache>
            </c:numRef>
          </c:val>
          <c:extLst>
            <c:ext xmlns:c16="http://schemas.microsoft.com/office/drawing/2014/chart" uri="{C3380CC4-5D6E-409C-BE32-E72D297353CC}">
              <c16:uniqueId val="{00000000-167B-4022-87C3-E61198FB0BE3}"/>
            </c:ext>
          </c:extLst>
        </c:ser>
        <c:ser>
          <c:idx val="1"/>
          <c:order val="1"/>
          <c:tx>
            <c:strRef>
              <c:f>Analysis!$I$220</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Analysis!$G$221:$G$223</c:f>
              <c:strCache>
                <c:ptCount val="3"/>
                <c:pt idx="0">
                  <c:v>#HH reached by regular dedicated hygiene promotion</c:v>
                </c:pt>
                <c:pt idx="1">
                  <c:v>#HH with access to Hand Washing Station</c:v>
                </c:pt>
                <c:pt idx="2">
                  <c:v>#HH received standard amount of soap</c:v>
                </c:pt>
              </c:strCache>
            </c:strRef>
          </c:cat>
          <c:val>
            <c:numRef>
              <c:f>Analysis!$I$221:$I$223</c:f>
              <c:numCache>
                <c:formatCode>0</c:formatCode>
                <c:ptCount val="3"/>
                <c:pt idx="0">
                  <c:v>1191.5999999999999</c:v>
                </c:pt>
                <c:pt idx="1">
                  <c:v>1058</c:v>
                </c:pt>
                <c:pt idx="2" formatCode="General">
                  <c:v>2291</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[20230504_Myanmar_WASH_4W_2023_Q1_KachinShan_camp_Consolidate.xlsx]Analysis!PivotTable11</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People access to functioning latrine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Analysis!$Y$120</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GCA</c:v>
                </c:pt>
              </c:strCache>
            </c:strRef>
          </c:cat>
          <c:val>
            <c:numRef>
              <c:f>Analysis!$Y$121</c:f>
              <c:numCache>
                <c:formatCode>_(* #,##0_);_(* \(#,##0\);_(* "-"??_);_(@_)</c:formatCode>
                <c:ptCount val="1"/>
                <c:pt idx="0">
                  <c:v>7616</c:v>
                </c:pt>
              </c:numCache>
            </c:numRef>
          </c:val>
          <c:extLst>
            <c:ext xmlns:c16="http://schemas.microsoft.com/office/drawing/2014/chart" uri="{C3380CC4-5D6E-409C-BE32-E72D297353CC}">
              <c16:uniqueId val="{00000001-2EB2-4FE9-9082-DA762EBC68FA}"/>
            </c:ext>
          </c:extLst>
        </c:ser>
        <c:ser>
          <c:idx val="1"/>
          <c:order val="1"/>
          <c:tx>
            <c:strRef>
              <c:f>Analysis!$Z$120</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Analysis!$X$121</c:f>
              <c:strCache>
                <c:ptCount val="1"/>
                <c:pt idx="0">
                  <c:v>GCA</c:v>
                </c:pt>
              </c:strCache>
            </c:strRef>
          </c:cat>
          <c:val>
            <c:numRef>
              <c:f>Analysis!$Z$121</c:f>
              <c:numCache>
                <c:formatCode>_(* #,##0_);_(* \(#,##0\);_(* "-"??_);_(@_)</c:formatCode>
                <c:ptCount val="1"/>
                <c:pt idx="0">
                  <c:v>3695</c:v>
                </c:pt>
              </c:numCache>
            </c:numRef>
          </c:val>
          <c:extLst>
            <c:ext xmlns:c16="http://schemas.microsoft.com/office/drawing/2014/chart" uri="{C3380CC4-5D6E-409C-BE32-E72D297353CC}">
              <c16:uniqueId val="{00000002-2EB2-4FE9-9082-DA762EBC68FA}"/>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Analysis!$L$220</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Analysis!$L$221</c:f>
              <c:numCache>
                <c:formatCode>_(* #,##0_);_(* \(#,##0\);_(* "-"??_);_(@_)</c:formatCode>
                <c:ptCount val="1"/>
                <c:pt idx="0">
                  <c:v>14</c:v>
                </c:pt>
              </c:numCache>
            </c:numRef>
          </c:val>
          <c:extLst>
            <c:ext xmlns:c16="http://schemas.microsoft.com/office/drawing/2014/chart" uri="{C3380CC4-5D6E-409C-BE32-E72D297353CC}">
              <c16:uniqueId val="{00000000-77A7-49E7-9F14-3E959DA2AC0D}"/>
            </c:ext>
          </c:extLst>
        </c:ser>
        <c:ser>
          <c:idx val="1"/>
          <c:order val="1"/>
          <c:tx>
            <c:strRef>
              <c:f>Analysis!$M$220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Analysis!$K$221</c:f>
              <c:strCache>
                <c:ptCount val="1"/>
                <c:pt idx="0">
                  <c:v># women and girls received Sanitary pads
(29% of total population targeted)
</c:v>
                </c:pt>
              </c:strCache>
            </c:strRef>
          </c:cat>
          <c:val>
            <c:numRef>
              <c:f>Analysis!$M$221</c:f>
              <c:numCache>
                <c:formatCode>_(* #,##0_);_(* \(#,##0\);_(* "-"??_);_(@_)</c:formatCode>
                <c:ptCount val="1"/>
                <c:pt idx="0">
                  <c:v>3266.1899999999996</c:v>
                </c:pt>
              </c:numCache>
            </c:numRef>
          </c:val>
          <c:extLst>
            <c:ext xmlns:c16="http://schemas.microsoft.com/office/drawing/2014/chart" uri="{C3380CC4-5D6E-409C-BE32-E72D297353CC}">
              <c16:uniqueId val="{00000001-77A7-49E7-9F14-3E959DA2AC0D}"/>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2023 HRP targets</a:t>
            </a:r>
            <a:endParaRPr lang="en-US" sz="1600">
              <a:effectLst/>
            </a:endParaRPr>
          </a:p>
        </c:rich>
      </c:tx>
      <c:layout>
        <c:manualLayout>
          <c:xMode val="edge"/>
          <c:yMode val="edge"/>
          <c:x val="1.1017719392520119E-2"/>
          <c:y val="2.535920779850183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915187898701184"/>
          <c:y val="0.12060702459448742"/>
          <c:w val="0.48741669562194095"/>
          <c:h val="0.76711566975136203"/>
        </c:manualLayout>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5-4168-4965-A37A-C0F83A7068F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1-4168-4965-A37A-C0F83A7068F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8754-4146-A881-93D494AAF002}"/>
              </c:ext>
            </c:extLst>
          </c:dPt>
          <c:dPt>
            <c:idx val="5"/>
            <c:invertIfNegative val="0"/>
            <c:bubble3D val="0"/>
            <c:spPr>
              <a:solidFill>
                <a:srgbClr val="0070C0"/>
              </a:solidFill>
              <a:ln>
                <a:noFill/>
              </a:ln>
              <a:effectLst/>
            </c:spPr>
            <c:extLst>
              <c:ext xmlns:c16="http://schemas.microsoft.com/office/drawing/2014/chart" uri="{C3380CC4-5D6E-409C-BE32-E72D297353CC}">
                <c16:uniqueId val="{00000007-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HRP!$E$218:$E$223</c:f>
              <c:numCache>
                <c:formatCode>_(* #,##0_);_(* \(#,##0\);_(* "-"??_);_(@_)</c:formatCode>
                <c:ptCount val="6"/>
                <c:pt idx="0">
                  <c:v>0</c:v>
                </c:pt>
                <c:pt idx="1">
                  <c:v>2223</c:v>
                </c:pt>
                <c:pt idx="2">
                  <c:v>0</c:v>
                </c:pt>
                <c:pt idx="3">
                  <c:v>6526</c:v>
                </c:pt>
                <c:pt idx="4">
                  <c:v>7640</c:v>
                </c:pt>
                <c:pt idx="5">
                  <c:v>10203.999999999998</c:v>
                </c:pt>
              </c:numCache>
            </c:numRef>
          </c:val>
          <c:extLst>
            <c:ext xmlns:c16="http://schemas.microsoft.com/office/drawing/2014/chart" uri="{C3380CC4-5D6E-409C-BE32-E72D297353CC}">
              <c16:uniqueId val="{00000006-6C74-4BAA-A760-A72DEC02332C}"/>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8754-4146-A881-93D494AAF002}"/>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2-2271-4DB1-AD9A-8EC89B46443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E-A245-4D7D-AE77-65E608C755A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2271-4DB1-AD9A-8EC89B46443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8754-4146-A881-93D494AAF002}"/>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HRP!$F$218:$F$223</c:f>
              <c:numCache>
                <c:formatCode>_(* #,##0_);_(* \(#,##0\);_(* "-"??_);_(@_)</c:formatCode>
                <c:ptCount val="6"/>
                <c:pt idx="0">
                  <c:v>2036.2400000000002</c:v>
                </c:pt>
                <c:pt idx="1">
                  <c:v>1034.9840000000004</c:v>
                </c:pt>
                <c:pt idx="2">
                  <c:v>5426.6278725171751</c:v>
                </c:pt>
                <c:pt idx="3">
                  <c:v>61281.757450343488</c:v>
                </c:pt>
                <c:pt idx="4">
                  <c:v>19106.2414900687</c:v>
                </c:pt>
                <c:pt idx="5">
                  <c:v>32435.227235103055</c:v>
                </c:pt>
              </c:numCache>
            </c:numRef>
          </c:val>
          <c:extLst>
            <c:ext xmlns:c16="http://schemas.microsoft.com/office/drawing/2014/chart" uri="{C3380CC4-5D6E-409C-BE32-E72D297353CC}">
              <c16:uniqueId val="{0000000D-A245-4D7D-AE77-65E608C755A4}"/>
            </c:ext>
          </c:extLst>
        </c:ser>
        <c:dLbls>
          <c:showLegendKey val="0"/>
          <c:showVal val="0"/>
          <c:showCatName val="0"/>
          <c:showSerName val="0"/>
          <c:showPercent val="0"/>
          <c:showBubbleSize val="0"/>
        </c:dLbls>
        <c:gapWidth val="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1603928"/>
        <c:crosses val="autoZero"/>
        <c:auto val="1"/>
        <c:lblAlgn val="l"/>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2023-Q1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2023</c:v>
                </c:pt>
              </c:strCache>
            </c:strRef>
          </c:tx>
          <c:spPr>
            <a:solidFill>
              <a:srgbClr val="0070C0"/>
            </a:solidFill>
            <a:ln>
              <a:noFill/>
            </a:ln>
            <a:effectLst/>
          </c:spPr>
          <c:invertIfNegative val="0"/>
          <c:dLbls>
            <c:dLbl>
              <c:idx val="0"/>
              <c:layout>
                <c:manualLayout>
                  <c:x val="3.237624715438793E-2"/>
                  <c:y val="-5.451722631268295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3-441E-9ACF-6194D81F9EF3}"/>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[6]National!$B$6:$B$18</c15:sqref>
                  </c15:fullRef>
                </c:ext>
              </c:extLst>
              <c:f>[6]National!$B$10</c:f>
              <c:strCache>
                <c:ptCount val="1"/>
                <c:pt idx="0">
                  <c:v>Kachin/Shan (North)</c:v>
                </c:pt>
              </c:strCache>
            </c:strRef>
          </c:cat>
          <c:val>
            <c:numRef>
              <c:extLst>
                <c:ext xmlns:c15="http://schemas.microsoft.com/office/drawing/2012/chart" uri="{02D57815-91ED-43cb-92C2-25804820EDAC}">
                  <c15:fullRef>
                    <c15:sqref>[6]National!$D$6:$D$18</c15:sqref>
                  </c15:fullRef>
                </c:ext>
              </c:extLst>
              <c:f>[6]National!$D$10</c:f>
              <c:numCache>
                <c:formatCode>General</c:formatCode>
                <c:ptCount val="1"/>
                <c:pt idx="0">
                  <c:v>656417.322661118</c:v>
                </c:pt>
              </c:numCache>
            </c:numRef>
          </c:val>
          <c:extLst xmlns:c15="http://schemas.microsoft.com/office/drawing/2012/chart">
            <c:ext xmlns:c16="http://schemas.microsoft.com/office/drawing/2014/chart" uri="{C3380CC4-5D6E-409C-BE32-E72D297353CC}">
              <c16:uniqueId val="{00000001-3503-441E-9ACF-6194D81F9EF3}"/>
            </c:ext>
          </c:extLst>
        </c:ser>
        <c:ser>
          <c:idx val="1"/>
          <c:order val="1"/>
          <c:tx>
            <c:strRef>
              <c:f>[6]National!$E$3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[6]National!$B$6:$B$18</c15:sqref>
                  </c15:fullRef>
                </c:ext>
              </c:extLst>
              <c:f>[6]National!$B$10</c:f>
              <c:strCache>
                <c:ptCount val="1"/>
                <c:pt idx="0">
                  <c:v>Kachin/Shan (North)</c:v>
                </c:pt>
              </c:strCache>
            </c:strRef>
          </c:cat>
          <c:val>
            <c:numRef>
              <c:extLst>
                <c:ext xmlns:c15="http://schemas.microsoft.com/office/drawing/2012/chart" uri="{02D57815-91ED-43cb-92C2-25804820EDAC}">
                  <c15:fullRef>
                    <c15:sqref>[6]National!$E$6:$E$18</c15:sqref>
                  </c15:fullRef>
                </c:ext>
              </c:extLst>
              <c:f>[6]National!$E$10</c:f>
              <c:numCache>
                <c:formatCode>General</c:formatCode>
                <c:ptCount val="1"/>
                <c:pt idx="0">
                  <c:v>12159950.677338881</c:v>
                </c:pt>
              </c:numCache>
            </c:numRef>
          </c:val>
          <c:extLst>
            <c:ext xmlns:c15="http://schemas.microsoft.com/office/drawing/2012/chart" uri="{02D57815-91ED-43cb-92C2-25804820EDAC}">
              <c15:categoryFilterExceptions>
                <c15:categoryFilterException>
                  <c15:sqref>[6]National!$E$6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3503-441E-9ACF-6194D81F9EF3}"/>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0.29010936053889597</c:v>
              </c:pt>
            </c:numLit>
          </c:val>
          <c:extLst>
            <c:ext xmlns:c16="http://schemas.microsoft.com/office/drawing/2014/chart" uri="{C3380CC4-5D6E-409C-BE32-E72D297353CC}">
              <c16:uniqueId val="{00000000-91F5-4ED2-9BFD-0F257357DD04}"/>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0.2627856489571242</c:v>
              </c:pt>
            </c:numLit>
          </c:val>
          <c:extLst>
            <c:ext xmlns:c16="http://schemas.microsoft.com/office/drawing/2014/chart" uri="{C3380CC4-5D6E-409C-BE32-E72D297353CC}">
              <c16:uniqueId val="{00000001-91F5-4ED2-9BFD-0F257357DD04}"/>
            </c:ext>
          </c:extLst>
        </c:ser>
        <c:ser>
          <c:idx val="2"/>
          <c:order val="2"/>
          <c:tx>
            <c:v>INGO/LNGO</c:v>
          </c:tx>
          <c:spPr>
            <a:solidFill>
              <a:schemeClr val="accent1">
                <a:lumMod val="20000"/>
                <a:lumOff val="8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0.44710499050397984</c:v>
              </c:pt>
            </c:numLit>
          </c:val>
          <c:extLst>
            <c:ext xmlns:c16="http://schemas.microsoft.com/office/drawing/2014/chart" uri="{C3380CC4-5D6E-409C-BE32-E72D297353CC}">
              <c16:uniqueId val="{00000002-91F5-4ED2-9BFD-0F257357DD04}"/>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state/region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5431372.7659449084</c:v>
              </c:pt>
              <c:pt idx="1">
                <c:v>4353706.9810160939</c:v>
              </c:pt>
              <c:pt idx="2">
                <c:v>4283214.5919899773</c:v>
              </c:pt>
              <c:pt idx="3">
                <c:v>2928740.2487938525</c:v>
              </c:pt>
              <c:pt idx="4">
                <c:v>3193730.5528003741</c:v>
              </c:pt>
              <c:pt idx="5">
                <c:v>5363397.3983148374</c:v>
              </c:pt>
              <c:pt idx="6">
                <c:v>6848904.0924754664</c:v>
              </c:pt>
              <c:pt idx="7">
                <c:v>4644756.9695764538</c:v>
              </c:pt>
              <c:pt idx="8">
                <c:v>3711017.6116430294</c:v>
              </c:pt>
              <c:pt idx="9">
                <c:v>2687744.3537975769</c:v>
              </c:pt>
              <c:pt idx="10">
                <c:v>656417.322661118</c:v>
              </c:pt>
            </c:numLit>
          </c:val>
          <c:smooth val="0"/>
          <c:extLst>
            <c:ext xmlns:c16="http://schemas.microsoft.com/office/drawing/2014/chart" uri="{C3380CC4-5D6E-409C-BE32-E72D297353CC}">
              <c16:uniqueId val="{00000000-71B4-4D18-B35D-ABC2C6B3A296}"/>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lvl>
                <c:lvl>
                  <c:pt idx="0">
                    <c:v>Kachin</c:v>
                  </c:pt>
                  <c:pt idx="13">
                    <c:v>Shan (North)</c:v>
                  </c:pt>
                </c:lvl>
              </c:multiLvlStrCache>
            </c:multiLvlStrRef>
          </c:cat>
          <c:val>
            <c:numRef>
              <c:f>'Quarterly Dashboard'!$C$30:$C$56</c:f>
              <c:numCache>
                <c:formatCode>General</c:formatCode>
                <c:ptCount val="24"/>
                <c:pt idx="0">
                  <c:v>7588</c:v>
                </c:pt>
                <c:pt idx="1">
                  <c:v>2664</c:v>
                </c:pt>
                <c:pt idx="2">
                  <c:v>4433</c:v>
                </c:pt>
                <c:pt idx="3">
                  <c:v>12989</c:v>
                </c:pt>
                <c:pt idx="4">
                  <c:v>1718</c:v>
                </c:pt>
                <c:pt idx="5">
                  <c:v>3202</c:v>
                </c:pt>
                <c:pt idx="6">
                  <c:v>27926</c:v>
                </c:pt>
                <c:pt idx="7">
                  <c:v>11019</c:v>
                </c:pt>
                <c:pt idx="8">
                  <c:v>1879</c:v>
                </c:pt>
                <c:pt idx="9">
                  <c:v>1206</c:v>
                </c:pt>
                <c:pt idx="10">
                  <c:v>1215</c:v>
                </c:pt>
                <c:pt idx="11">
                  <c:v>31005</c:v>
                </c:pt>
                <c:pt idx="12">
                  <c:v>703</c:v>
                </c:pt>
                <c:pt idx="13">
                  <c:v>401</c:v>
                </c:pt>
                <c:pt idx="14">
                  <c:v>120</c:v>
                </c:pt>
                <c:pt idx="15">
                  <c:v>4714</c:v>
                </c:pt>
                <c:pt idx="16">
                  <c:v>1239</c:v>
                </c:pt>
                <c:pt idx="17">
                  <c:v>282</c:v>
                </c:pt>
                <c:pt idx="18">
                  <c:v>2211</c:v>
                </c:pt>
                <c:pt idx="19">
                  <c:v>963</c:v>
                </c:pt>
                <c:pt idx="20">
                  <c:v>615</c:v>
                </c:pt>
                <c:pt idx="21">
                  <c:v>5283</c:v>
                </c:pt>
                <c:pt idx="22">
                  <c:v>808</c:v>
                </c:pt>
                <c:pt idx="23">
                  <c:v>157</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lvl>
                <c:lvl>
                  <c:pt idx="0">
                    <c:v>Kachin</c:v>
                  </c:pt>
                  <c:pt idx="13">
                    <c:v>Shan (North)</c:v>
                  </c:pt>
                </c:lvl>
              </c:multiLvlStrCache>
            </c:multiLvlStrRef>
          </c:cat>
          <c:val>
            <c:numRef>
              <c:f>'Quarterly Dashboard'!$D$30:$D$56</c:f>
              <c:numCache>
                <c:formatCode>General</c:formatCode>
                <c:ptCount val="24"/>
                <c:pt idx="0">
                  <c:v>5115</c:v>
                </c:pt>
                <c:pt idx="1">
                  <c:v>2385</c:v>
                </c:pt>
                <c:pt idx="2">
                  <c:v>3410</c:v>
                </c:pt>
                <c:pt idx="3">
                  <c:v>8889</c:v>
                </c:pt>
                <c:pt idx="4">
                  <c:v>1312</c:v>
                </c:pt>
                <c:pt idx="5">
                  <c:v>0</c:v>
                </c:pt>
                <c:pt idx="6">
                  <c:v>20525</c:v>
                </c:pt>
                <c:pt idx="7">
                  <c:v>5787</c:v>
                </c:pt>
                <c:pt idx="8">
                  <c:v>300</c:v>
                </c:pt>
                <c:pt idx="9">
                  <c:v>500</c:v>
                </c:pt>
                <c:pt idx="10">
                  <c:v>674</c:v>
                </c:pt>
                <c:pt idx="11">
                  <c:v>15040</c:v>
                </c:pt>
                <c:pt idx="12">
                  <c:v>591</c:v>
                </c:pt>
                <c:pt idx="13">
                  <c:v>401</c:v>
                </c:pt>
                <c:pt idx="14">
                  <c:v>45</c:v>
                </c:pt>
                <c:pt idx="15">
                  <c:v>3681</c:v>
                </c:pt>
                <c:pt idx="16">
                  <c:v>0</c:v>
                </c:pt>
                <c:pt idx="17">
                  <c:v>282</c:v>
                </c:pt>
                <c:pt idx="18">
                  <c:v>0</c:v>
                </c:pt>
                <c:pt idx="19">
                  <c:v>640</c:v>
                </c:pt>
                <c:pt idx="20">
                  <c:v>538</c:v>
                </c:pt>
                <c:pt idx="21">
                  <c:v>0</c:v>
                </c:pt>
                <c:pt idx="22">
                  <c:v>0</c:v>
                </c:pt>
                <c:pt idx="23">
                  <c:v>0</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lvl>
                <c:lvl>
                  <c:pt idx="0">
                    <c:v>Kachin</c:v>
                  </c:pt>
                  <c:pt idx="13">
                    <c:v>Shan (North)</c:v>
                  </c:pt>
                </c:lvl>
              </c:multiLvlStrCache>
            </c:multiLvlStrRef>
          </c:cat>
          <c:val>
            <c:numRef>
              <c:f>'Quarterly Dashboard'!$E$30:$E$56</c:f>
              <c:numCache>
                <c:formatCode>General</c:formatCode>
                <c:ptCount val="24"/>
                <c:pt idx="0">
                  <c:v>5674</c:v>
                </c:pt>
                <c:pt idx="1">
                  <c:v>1520</c:v>
                </c:pt>
                <c:pt idx="2">
                  <c:v>3159</c:v>
                </c:pt>
                <c:pt idx="3">
                  <c:v>11392</c:v>
                </c:pt>
                <c:pt idx="4">
                  <c:v>1333</c:v>
                </c:pt>
                <c:pt idx="5">
                  <c:v>100</c:v>
                </c:pt>
                <c:pt idx="6">
                  <c:v>22008</c:v>
                </c:pt>
                <c:pt idx="7">
                  <c:v>7898</c:v>
                </c:pt>
                <c:pt idx="8">
                  <c:v>566</c:v>
                </c:pt>
                <c:pt idx="9">
                  <c:v>1035</c:v>
                </c:pt>
                <c:pt idx="10">
                  <c:v>473</c:v>
                </c:pt>
                <c:pt idx="11">
                  <c:v>19369</c:v>
                </c:pt>
                <c:pt idx="12">
                  <c:v>591</c:v>
                </c:pt>
                <c:pt idx="13">
                  <c:v>401</c:v>
                </c:pt>
                <c:pt idx="14">
                  <c:v>0</c:v>
                </c:pt>
                <c:pt idx="15">
                  <c:v>4471</c:v>
                </c:pt>
                <c:pt idx="16">
                  <c:v>103</c:v>
                </c:pt>
                <c:pt idx="17">
                  <c:v>282</c:v>
                </c:pt>
                <c:pt idx="18">
                  <c:v>0</c:v>
                </c:pt>
                <c:pt idx="19">
                  <c:v>840</c:v>
                </c:pt>
                <c:pt idx="20">
                  <c:v>615</c:v>
                </c:pt>
                <c:pt idx="21">
                  <c:v>600</c:v>
                </c:pt>
                <c:pt idx="22">
                  <c:v>304</c:v>
                </c:pt>
                <c:pt idx="23">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Dashboard'!$A$30:$B$56</c:f>
              <c:multiLvlStrCache>
                <c:ptCount val="24"/>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lvl>
                <c:lvl>
                  <c:pt idx="0">
                    <c:v>Kachin</c:v>
                  </c:pt>
                  <c:pt idx="13">
                    <c:v>Shan (North)</c:v>
                  </c:pt>
                </c:lvl>
              </c:multiLvlStrCache>
            </c:multiLvlStrRef>
          </c:cat>
          <c:val>
            <c:numRef>
              <c:f>'Quarterly Dashboard'!$F$30:$F$56</c:f>
              <c:numCache>
                <c:formatCode>General</c:formatCode>
                <c:ptCount val="24"/>
                <c:pt idx="0">
                  <c:v>6298</c:v>
                </c:pt>
                <c:pt idx="1">
                  <c:v>1589</c:v>
                </c:pt>
                <c:pt idx="2">
                  <c:v>3823</c:v>
                </c:pt>
                <c:pt idx="3">
                  <c:v>9973.6666666666679</c:v>
                </c:pt>
                <c:pt idx="4">
                  <c:v>1686</c:v>
                </c:pt>
                <c:pt idx="5">
                  <c:v>127</c:v>
                </c:pt>
                <c:pt idx="6">
                  <c:v>13334.333333333334</c:v>
                </c:pt>
                <c:pt idx="7">
                  <c:v>11019</c:v>
                </c:pt>
                <c:pt idx="8">
                  <c:v>1879</c:v>
                </c:pt>
                <c:pt idx="9">
                  <c:v>1035</c:v>
                </c:pt>
                <c:pt idx="10">
                  <c:v>1215</c:v>
                </c:pt>
                <c:pt idx="11">
                  <c:v>14172.333333333334</c:v>
                </c:pt>
                <c:pt idx="12">
                  <c:v>591</c:v>
                </c:pt>
                <c:pt idx="13">
                  <c:v>401</c:v>
                </c:pt>
                <c:pt idx="14">
                  <c:v>0</c:v>
                </c:pt>
                <c:pt idx="15">
                  <c:v>4421.3333333333339</c:v>
                </c:pt>
                <c:pt idx="16">
                  <c:v>169.66666666666669</c:v>
                </c:pt>
                <c:pt idx="17">
                  <c:v>282</c:v>
                </c:pt>
                <c:pt idx="18">
                  <c:v>1237</c:v>
                </c:pt>
                <c:pt idx="19">
                  <c:v>963</c:v>
                </c:pt>
                <c:pt idx="20">
                  <c:v>615</c:v>
                </c:pt>
                <c:pt idx="21">
                  <c:v>1600</c:v>
                </c:pt>
                <c:pt idx="22">
                  <c:v>205</c:v>
                </c:pt>
                <c:pt idx="23">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[20230504_Myanmar_WASH_4W_2023_Q1_KachinShan_camp_Consolidate.xlsx]By Camps!PivotTable1</c:name>
    <c:fmtId val="4"/>
  </c:pivotSource>
  <c:chart>
    <c:title>
      <c:tx>
        <c:strRef>
          <c:f>'By Camps'!$B$34</c:f>
          <c:strCache>
            <c:ptCount val="1"/>
            <c:pt idx="0">
              <c:v>2023_Q1</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55"/>
                <c:pt idx="0">
                  <c:v>Hpai Kawng</c:v>
                </c:pt>
                <c:pt idx="1">
                  <c:v>Kutkai downtown (KBC Church)</c:v>
                </c:pt>
                <c:pt idx="2">
                  <c:v>Kutkai downtown (KBC Church-2)</c:v>
                </c:pt>
                <c:pt idx="3">
                  <c:v>Kyu Sot</c:v>
                </c:pt>
                <c:pt idx="4">
                  <c:v>Lisu Church Namtu</c:v>
                </c:pt>
                <c:pt idx="5">
                  <c:v>Man Kaung/Naung Ti Kyar Village</c:v>
                </c:pt>
                <c:pt idx="6">
                  <c:v>Man Loi</c:v>
                </c:pt>
                <c:pt idx="7">
                  <c:v>Mandung - Jinghpaw</c:v>
                </c:pt>
                <c:pt idx="8">
                  <c:v>Mandung - RC</c:v>
                </c:pt>
                <c:pt idx="9">
                  <c:v>Mung Hawm </c:v>
                </c:pt>
                <c:pt idx="10">
                  <c:v>Nam Hkam - Nay Win Ni (Palawng)</c:v>
                </c:pt>
                <c:pt idx="11">
                  <c:v>Nam Hkam (KBC Jaw Wang)</c:v>
                </c:pt>
                <c:pt idx="12">
                  <c:v>Nam Hkam (KBC Jaw Wang) II</c:v>
                </c:pt>
                <c:pt idx="13">
                  <c:v>Nam Hkam Catholic Church ( St. Thomas I)</c:v>
                </c:pt>
                <c:pt idx="14">
                  <c:v>Nam Hpak Ka Mare </c:v>
                </c:pt>
                <c:pt idx="15">
                  <c:v>Nam Sa Larp</c:v>
                </c:pt>
                <c:pt idx="16">
                  <c:v>Nam Tu Baptist</c:v>
                </c:pt>
                <c:pt idx="17">
                  <c:v>New Pang Ku </c:v>
                </c:pt>
                <c:pt idx="18">
                  <c:v>Pan Law</c:v>
                </c:pt>
                <c:pt idx="19">
                  <c:v>Tsan Lun - Namjarap</c:v>
                </c:pt>
                <c:pt idx="20">
                  <c:v>Zup Aung Camp</c:v>
                </c:pt>
                <c:pt idx="21">
                  <c:v>Nam Hpak Ka Ta'ang ( Aung Tha Pyay)</c:v>
                </c:pt>
                <c:pt idx="22">
                  <c:v>Mai Yu Lay New (Ta'ang)</c:v>
                </c:pt>
                <c:pt idx="23">
                  <c:v>Mine Yu Lay village ( Old)</c:v>
                </c:pt>
                <c:pt idx="24">
                  <c:v>Galeng (Palaung) &amp; Kone Khem</c:v>
                </c:pt>
                <c:pt idx="25">
                  <c:v>Hu Hku &amp; Ho Hko</c:v>
                </c:pt>
                <c:pt idx="26">
                  <c:v>Enai (Man Pyein)</c:v>
                </c:pt>
                <c:pt idx="27">
                  <c:v>His Aw (Chyu Fan) </c:v>
                </c:pt>
                <c:pt idx="28">
                  <c:v>Shwe Sin (Ward 3) </c:v>
                </c:pt>
                <c:pt idx="29">
                  <c:v>Mang Nawng Kawng (host)</c:v>
                </c:pt>
                <c:pt idx="30">
                  <c:v>Kyaukme Town (host)</c:v>
                </c:pt>
                <c:pt idx="31">
                  <c:v>Lin Hao chun </c:v>
                </c:pt>
                <c:pt idx="32">
                  <c:v>Pyi Htaung Su</c:v>
                </c:pt>
                <c:pt idx="33">
                  <c:v>Bang Yang Hka (Mung Ji Pa)-relocated</c:v>
                </c:pt>
                <c:pt idx="34">
                  <c:v>Galeng Zup Awng ward 5 RC</c:v>
                </c:pt>
                <c:pt idx="35">
                  <c:v>Man Pint community Hall </c:v>
                </c:pt>
                <c:pt idx="36">
                  <c:v>Mong Tin High School</c:v>
                </c:pt>
                <c:pt idx="37">
                  <c:v>Nar Mun Primary School</c:v>
                </c:pt>
                <c:pt idx="38">
                  <c:v>SLCA Building Compound (Kyaukme town)</c:v>
                </c:pt>
                <c:pt idx="39">
                  <c:v>SLCA Building Compound (Moungnawt town)</c:v>
                </c:pt>
                <c:pt idx="40">
                  <c:v>Theravada Monastery </c:v>
                </c:pt>
                <c:pt idx="41">
                  <c:v>Hseng Ja-Relocated</c:v>
                </c:pt>
                <c:pt idx="42">
                  <c:v>Lisu Church</c:v>
                </c:pt>
                <c:pt idx="43">
                  <c:v>Chinese Baptist Church Compound(Oak Hpo)</c:v>
                </c:pt>
                <c:pt idx="44">
                  <c:v>Farmland(Kyay Zu Taw)</c:v>
                </c:pt>
                <c:pt idx="45">
                  <c:v>Pong Mun School</c:v>
                </c:pt>
                <c:pt idx="46">
                  <c:v>Hka San Baptist church </c:v>
                </c:pt>
                <c:pt idx="47">
                  <c:v>Ward 3 </c:v>
                </c:pt>
                <c:pt idx="48">
                  <c:v>Sun Lon monastery </c:v>
                </c:pt>
                <c:pt idx="49">
                  <c:v>Farmland(Kaung Kye Peik)</c:v>
                </c:pt>
                <c:pt idx="50">
                  <c:v>Kaung Nyaung Ywar Thit (Ho Piek gyi)</c:v>
                </c:pt>
                <c:pt idx="51">
                  <c:v>Ward 5 &amp; 9</c:v>
                </c:pt>
                <c:pt idx="52">
                  <c:v>Kan Long </c:v>
                </c:pt>
                <c:pt idx="53">
                  <c:v>Chicken Farm </c:v>
                </c:pt>
                <c:pt idx="54">
                  <c:v>KBC Church </c:v>
                </c:pt>
              </c:strCache>
            </c:strRef>
          </c:cat>
          <c:val>
            <c:numRef>
              <c:f>'By Camps'!$B$34</c:f>
              <c:numCache>
                <c:formatCode>General</c:formatCode>
                <c:ptCount val="55"/>
                <c:pt idx="0">
                  <c:v>1414</c:v>
                </c:pt>
                <c:pt idx="1">
                  <c:v>244</c:v>
                </c:pt>
                <c:pt idx="2">
                  <c:v>180</c:v>
                </c:pt>
                <c:pt idx="3">
                  <c:v>270</c:v>
                </c:pt>
                <c:pt idx="4">
                  <c:v>127</c:v>
                </c:pt>
                <c:pt idx="5">
                  <c:v>120</c:v>
                </c:pt>
                <c:pt idx="6">
                  <c:v>104</c:v>
                </c:pt>
                <c:pt idx="7">
                  <c:v>125</c:v>
                </c:pt>
                <c:pt idx="8">
                  <c:v>157</c:v>
                </c:pt>
                <c:pt idx="9">
                  <c:v>176</c:v>
                </c:pt>
                <c:pt idx="10">
                  <c:v>396</c:v>
                </c:pt>
                <c:pt idx="11">
                  <c:v>323</c:v>
                </c:pt>
                <c:pt idx="12">
                  <c:v>31</c:v>
                </c:pt>
                <c:pt idx="13">
                  <c:v>213</c:v>
                </c:pt>
                <c:pt idx="14">
                  <c:v>250</c:v>
                </c:pt>
                <c:pt idx="15">
                  <c:v>206</c:v>
                </c:pt>
                <c:pt idx="16">
                  <c:v>141</c:v>
                </c:pt>
                <c:pt idx="17">
                  <c:v>664</c:v>
                </c:pt>
                <c:pt idx="18">
                  <c:v>221</c:v>
                </c:pt>
                <c:pt idx="19">
                  <c:v>195</c:v>
                </c:pt>
                <c:pt idx="20">
                  <c:v>1101</c:v>
                </c:pt>
                <c:pt idx="21">
                  <c:v>158</c:v>
                </c:pt>
                <c:pt idx="22">
                  <c:v>502</c:v>
                </c:pt>
                <c:pt idx="23">
                  <c:v>251</c:v>
                </c:pt>
                <c:pt idx="24">
                  <c:v>439</c:v>
                </c:pt>
                <c:pt idx="25">
                  <c:v>130</c:v>
                </c:pt>
                <c:pt idx="26">
                  <c:v>103</c:v>
                </c:pt>
                <c:pt idx="27">
                  <c:v>1674</c:v>
                </c:pt>
                <c:pt idx="28">
                  <c:v>170</c:v>
                </c:pt>
                <c:pt idx="29">
                  <c:v>60</c:v>
                </c:pt>
                <c:pt idx="30">
                  <c:v>504</c:v>
                </c:pt>
                <c:pt idx="31">
                  <c:v>653</c:v>
                </c:pt>
                <c:pt idx="32">
                  <c:v>2786</c:v>
                </c:pt>
                <c:pt idx="33">
                  <c:v>162</c:v>
                </c:pt>
                <c:pt idx="34">
                  <c:v>132</c:v>
                </c:pt>
                <c:pt idx="35">
                  <c:v>40</c:v>
                </c:pt>
                <c:pt idx="36">
                  <c:v>28</c:v>
                </c:pt>
                <c:pt idx="37">
                  <c:v>31</c:v>
                </c:pt>
                <c:pt idx="38">
                  <c:v>179</c:v>
                </c:pt>
                <c:pt idx="39">
                  <c:v>26</c:v>
                </c:pt>
                <c:pt idx="40">
                  <c:v>155</c:v>
                </c:pt>
                <c:pt idx="41">
                  <c:v>77</c:v>
                </c:pt>
                <c:pt idx="42">
                  <c:v>87</c:v>
                </c:pt>
                <c:pt idx="43">
                  <c:v>82</c:v>
                </c:pt>
                <c:pt idx="44">
                  <c:v>135</c:v>
                </c:pt>
                <c:pt idx="45">
                  <c:v>123</c:v>
                </c:pt>
                <c:pt idx="46">
                  <c:v>37</c:v>
                </c:pt>
                <c:pt idx="47">
                  <c:v>130</c:v>
                </c:pt>
                <c:pt idx="48">
                  <c:v>144</c:v>
                </c:pt>
                <c:pt idx="49">
                  <c:v>61</c:v>
                </c:pt>
                <c:pt idx="50">
                  <c:v>469</c:v>
                </c:pt>
                <c:pt idx="51">
                  <c:v>157</c:v>
                </c:pt>
                <c:pt idx="52">
                  <c:v>92</c:v>
                </c:pt>
                <c:pt idx="53">
                  <c:v>30</c:v>
                </c:pt>
                <c:pt idx="54">
                  <c:v>328</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55"/>
                <c:pt idx="0">
                  <c:v>Hpai Kawng</c:v>
                </c:pt>
                <c:pt idx="1">
                  <c:v>Kutkai downtown (KBC Church)</c:v>
                </c:pt>
                <c:pt idx="2">
                  <c:v>Kutkai downtown (KBC Church-2)</c:v>
                </c:pt>
                <c:pt idx="3">
                  <c:v>Kyu Sot</c:v>
                </c:pt>
                <c:pt idx="4">
                  <c:v>Lisu Church Namtu</c:v>
                </c:pt>
                <c:pt idx="5">
                  <c:v>Man Kaung/Naung Ti Kyar Village</c:v>
                </c:pt>
                <c:pt idx="6">
                  <c:v>Man Loi</c:v>
                </c:pt>
                <c:pt idx="7">
                  <c:v>Mandung - Jinghpaw</c:v>
                </c:pt>
                <c:pt idx="8">
                  <c:v>Mandung - RC</c:v>
                </c:pt>
                <c:pt idx="9">
                  <c:v>Mung Hawm </c:v>
                </c:pt>
                <c:pt idx="10">
                  <c:v>Nam Hkam - Nay Win Ni (Palawng)</c:v>
                </c:pt>
                <c:pt idx="11">
                  <c:v>Nam Hkam (KBC Jaw Wang)</c:v>
                </c:pt>
                <c:pt idx="12">
                  <c:v>Nam Hkam (KBC Jaw Wang) II</c:v>
                </c:pt>
                <c:pt idx="13">
                  <c:v>Nam Hkam Catholic Church ( St. Thomas I)</c:v>
                </c:pt>
                <c:pt idx="14">
                  <c:v>Nam Hpak Ka Mare </c:v>
                </c:pt>
                <c:pt idx="15">
                  <c:v>Nam Sa Larp</c:v>
                </c:pt>
                <c:pt idx="16">
                  <c:v>Nam Tu Baptist</c:v>
                </c:pt>
                <c:pt idx="17">
                  <c:v>New Pang Ku </c:v>
                </c:pt>
                <c:pt idx="18">
                  <c:v>Pan Law</c:v>
                </c:pt>
                <c:pt idx="19">
                  <c:v>Tsan Lun - Namjarap</c:v>
                </c:pt>
                <c:pt idx="20">
                  <c:v>Zup Aung Camp</c:v>
                </c:pt>
                <c:pt idx="21">
                  <c:v>Nam Hpak Ka Ta'ang ( Aung Tha Pyay)</c:v>
                </c:pt>
                <c:pt idx="22">
                  <c:v>Mai Yu Lay New (Ta'ang)</c:v>
                </c:pt>
                <c:pt idx="23">
                  <c:v>Mine Yu Lay village ( Old)</c:v>
                </c:pt>
                <c:pt idx="24">
                  <c:v>Galeng (Palaung) &amp; Kone Khem</c:v>
                </c:pt>
                <c:pt idx="25">
                  <c:v>Hu Hku &amp; Ho Hko</c:v>
                </c:pt>
                <c:pt idx="26">
                  <c:v>Enai (Man Pyein)</c:v>
                </c:pt>
                <c:pt idx="27">
                  <c:v>His Aw (Chyu Fan) </c:v>
                </c:pt>
                <c:pt idx="28">
                  <c:v>Shwe Sin (Ward 3) </c:v>
                </c:pt>
                <c:pt idx="29">
                  <c:v>Mang Nawng Kawng (host)</c:v>
                </c:pt>
                <c:pt idx="30">
                  <c:v>Kyaukme Town (host)</c:v>
                </c:pt>
                <c:pt idx="31">
                  <c:v>Lin Hao chun </c:v>
                </c:pt>
                <c:pt idx="32">
                  <c:v>Pyi Htaung Su</c:v>
                </c:pt>
                <c:pt idx="33">
                  <c:v>Bang Yang Hka (Mung Ji Pa)-relocated</c:v>
                </c:pt>
                <c:pt idx="34">
                  <c:v>Galeng Zup Awng ward 5 RC</c:v>
                </c:pt>
                <c:pt idx="35">
                  <c:v>Man Pint community Hall </c:v>
                </c:pt>
                <c:pt idx="36">
                  <c:v>Mong Tin High School</c:v>
                </c:pt>
                <c:pt idx="37">
                  <c:v>Nar Mun Primary School</c:v>
                </c:pt>
                <c:pt idx="38">
                  <c:v>SLCA Building Compound (Kyaukme town)</c:v>
                </c:pt>
                <c:pt idx="39">
                  <c:v>SLCA Building Compound (Moungnawt town)</c:v>
                </c:pt>
                <c:pt idx="40">
                  <c:v>Theravada Monastery </c:v>
                </c:pt>
                <c:pt idx="41">
                  <c:v>Hseng Ja-Relocated</c:v>
                </c:pt>
                <c:pt idx="42">
                  <c:v>Lisu Church</c:v>
                </c:pt>
                <c:pt idx="43">
                  <c:v>Chinese Baptist Church Compound(Oak Hpo)</c:v>
                </c:pt>
                <c:pt idx="44">
                  <c:v>Farmland(Kyay Zu Taw)</c:v>
                </c:pt>
                <c:pt idx="45">
                  <c:v>Pong Mun School</c:v>
                </c:pt>
                <c:pt idx="46">
                  <c:v>Hka San Baptist church </c:v>
                </c:pt>
                <c:pt idx="47">
                  <c:v>Ward 3 </c:v>
                </c:pt>
                <c:pt idx="48">
                  <c:v>Sun Lon monastery </c:v>
                </c:pt>
                <c:pt idx="49">
                  <c:v>Farmland(Kaung Kye Peik)</c:v>
                </c:pt>
                <c:pt idx="50">
                  <c:v>Kaung Nyaung Ywar Thit (Ho Piek gyi)</c:v>
                </c:pt>
                <c:pt idx="51">
                  <c:v>Ward 5 &amp; 9</c:v>
                </c:pt>
                <c:pt idx="52">
                  <c:v>Kan Long </c:v>
                </c:pt>
                <c:pt idx="53">
                  <c:v>Chicken Farm </c:v>
                </c:pt>
                <c:pt idx="54">
                  <c:v>KBC Church </c:v>
                </c:pt>
              </c:strCache>
            </c:strRef>
          </c:cat>
          <c:val>
            <c:numRef>
              <c:f>'By Camps'!$B$34</c:f>
              <c:numCache>
                <c:formatCode>General</c:formatCode>
                <c:ptCount val="55"/>
                <c:pt idx="0">
                  <c:v>0</c:v>
                </c:pt>
                <c:pt idx="1">
                  <c:v>244</c:v>
                </c:pt>
                <c:pt idx="2">
                  <c:v>180</c:v>
                </c:pt>
                <c:pt idx="3">
                  <c:v>270</c:v>
                </c:pt>
                <c:pt idx="4">
                  <c:v>127</c:v>
                </c:pt>
                <c:pt idx="5">
                  <c:v>45</c:v>
                </c:pt>
                <c:pt idx="6">
                  <c:v>0</c:v>
                </c:pt>
                <c:pt idx="7">
                  <c:v>125</c:v>
                </c:pt>
                <c:pt idx="8">
                  <c:v>157</c:v>
                </c:pt>
                <c:pt idx="9">
                  <c:v>176</c:v>
                </c:pt>
                <c:pt idx="10">
                  <c:v>396</c:v>
                </c:pt>
                <c:pt idx="11">
                  <c:v>0</c:v>
                </c:pt>
                <c:pt idx="12">
                  <c:v>31</c:v>
                </c:pt>
                <c:pt idx="13">
                  <c:v>213</c:v>
                </c:pt>
                <c:pt idx="14">
                  <c:v>250</c:v>
                </c:pt>
                <c:pt idx="15">
                  <c:v>206</c:v>
                </c:pt>
                <c:pt idx="16">
                  <c:v>141</c:v>
                </c:pt>
                <c:pt idx="17">
                  <c:v>500</c:v>
                </c:pt>
                <c:pt idx="18">
                  <c:v>221</c:v>
                </c:pt>
                <c:pt idx="19">
                  <c:v>195</c:v>
                </c:pt>
                <c:pt idx="20">
                  <c:v>500</c:v>
                </c:pt>
                <c:pt idx="21">
                  <c:v>158</c:v>
                </c:pt>
                <c:pt idx="22">
                  <c:v>500</c:v>
                </c:pt>
                <c:pt idx="23">
                  <c:v>251</c:v>
                </c:pt>
                <c:pt idx="24">
                  <c:v>439</c:v>
                </c:pt>
                <c:pt idx="25">
                  <c:v>130</c:v>
                </c:pt>
                <c:pt idx="26">
                  <c:v>0</c:v>
                </c:pt>
                <c:pt idx="27">
                  <c:v>0</c:v>
                </c:pt>
                <c:pt idx="28">
                  <c:v>0</c:v>
                </c:pt>
                <c:pt idx="29">
                  <c:v>0</c:v>
                </c:pt>
                <c:pt idx="30">
                  <c:v>0</c:v>
                </c:pt>
                <c:pt idx="31">
                  <c:v>0</c:v>
                </c:pt>
                <c:pt idx="32">
                  <c:v>0</c:v>
                </c:pt>
                <c:pt idx="33">
                  <c:v>0</c:v>
                </c:pt>
                <c:pt idx="34">
                  <c:v>132</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55"/>
                <c:pt idx="0">
                  <c:v>Hpai Kawng</c:v>
                </c:pt>
                <c:pt idx="1">
                  <c:v>Kutkai downtown (KBC Church)</c:v>
                </c:pt>
                <c:pt idx="2">
                  <c:v>Kutkai downtown (KBC Church-2)</c:v>
                </c:pt>
                <c:pt idx="3">
                  <c:v>Kyu Sot</c:v>
                </c:pt>
                <c:pt idx="4">
                  <c:v>Lisu Church Namtu</c:v>
                </c:pt>
                <c:pt idx="5">
                  <c:v>Man Kaung/Naung Ti Kyar Village</c:v>
                </c:pt>
                <c:pt idx="6">
                  <c:v>Man Loi</c:v>
                </c:pt>
                <c:pt idx="7">
                  <c:v>Mandung - Jinghpaw</c:v>
                </c:pt>
                <c:pt idx="8">
                  <c:v>Mandung - RC</c:v>
                </c:pt>
                <c:pt idx="9">
                  <c:v>Mung Hawm </c:v>
                </c:pt>
                <c:pt idx="10">
                  <c:v>Nam Hkam - Nay Win Ni (Palawng)</c:v>
                </c:pt>
                <c:pt idx="11">
                  <c:v>Nam Hkam (KBC Jaw Wang)</c:v>
                </c:pt>
                <c:pt idx="12">
                  <c:v>Nam Hkam (KBC Jaw Wang) II</c:v>
                </c:pt>
                <c:pt idx="13">
                  <c:v>Nam Hkam Catholic Church ( St. Thomas I)</c:v>
                </c:pt>
                <c:pt idx="14">
                  <c:v>Nam Hpak Ka Mare </c:v>
                </c:pt>
                <c:pt idx="15">
                  <c:v>Nam Sa Larp</c:v>
                </c:pt>
                <c:pt idx="16">
                  <c:v>Nam Tu Baptist</c:v>
                </c:pt>
                <c:pt idx="17">
                  <c:v>New Pang Ku </c:v>
                </c:pt>
                <c:pt idx="18">
                  <c:v>Pan Law</c:v>
                </c:pt>
                <c:pt idx="19">
                  <c:v>Tsan Lun - Namjarap</c:v>
                </c:pt>
                <c:pt idx="20">
                  <c:v>Zup Aung Camp</c:v>
                </c:pt>
                <c:pt idx="21">
                  <c:v>Nam Hpak Ka Ta'ang ( Aung Tha Pyay)</c:v>
                </c:pt>
                <c:pt idx="22">
                  <c:v>Mai Yu Lay New (Ta'ang)</c:v>
                </c:pt>
                <c:pt idx="23">
                  <c:v>Mine Yu Lay village ( Old)</c:v>
                </c:pt>
                <c:pt idx="24">
                  <c:v>Galeng (Palaung) &amp; Kone Khem</c:v>
                </c:pt>
                <c:pt idx="25">
                  <c:v>Hu Hku &amp; Ho Hko</c:v>
                </c:pt>
                <c:pt idx="26">
                  <c:v>Enai (Man Pyein)</c:v>
                </c:pt>
                <c:pt idx="27">
                  <c:v>His Aw (Chyu Fan) </c:v>
                </c:pt>
                <c:pt idx="28">
                  <c:v>Shwe Sin (Ward 3) </c:v>
                </c:pt>
                <c:pt idx="29">
                  <c:v>Mang Nawng Kawng (host)</c:v>
                </c:pt>
                <c:pt idx="30">
                  <c:v>Kyaukme Town (host)</c:v>
                </c:pt>
                <c:pt idx="31">
                  <c:v>Lin Hao chun </c:v>
                </c:pt>
                <c:pt idx="32">
                  <c:v>Pyi Htaung Su</c:v>
                </c:pt>
                <c:pt idx="33">
                  <c:v>Bang Yang Hka (Mung Ji Pa)-relocated</c:v>
                </c:pt>
                <c:pt idx="34">
                  <c:v>Galeng Zup Awng ward 5 RC</c:v>
                </c:pt>
                <c:pt idx="35">
                  <c:v>Man Pint community Hall </c:v>
                </c:pt>
                <c:pt idx="36">
                  <c:v>Mong Tin High School</c:v>
                </c:pt>
                <c:pt idx="37">
                  <c:v>Nar Mun Primary School</c:v>
                </c:pt>
                <c:pt idx="38">
                  <c:v>SLCA Building Compound (Kyaukme town)</c:v>
                </c:pt>
                <c:pt idx="39">
                  <c:v>SLCA Building Compound (Moungnawt town)</c:v>
                </c:pt>
                <c:pt idx="40">
                  <c:v>Theravada Monastery </c:v>
                </c:pt>
                <c:pt idx="41">
                  <c:v>Hseng Ja-Relocated</c:v>
                </c:pt>
                <c:pt idx="42">
                  <c:v>Lisu Church</c:v>
                </c:pt>
                <c:pt idx="43">
                  <c:v>Chinese Baptist Church Compound(Oak Hpo)</c:v>
                </c:pt>
                <c:pt idx="44">
                  <c:v>Farmland(Kyay Zu Taw)</c:v>
                </c:pt>
                <c:pt idx="45">
                  <c:v>Pong Mun School</c:v>
                </c:pt>
                <c:pt idx="46">
                  <c:v>Hka San Baptist church </c:v>
                </c:pt>
                <c:pt idx="47">
                  <c:v>Ward 3 </c:v>
                </c:pt>
                <c:pt idx="48">
                  <c:v>Sun Lon monastery </c:v>
                </c:pt>
                <c:pt idx="49">
                  <c:v>Farmland(Kaung Kye Peik)</c:v>
                </c:pt>
                <c:pt idx="50">
                  <c:v>Kaung Nyaung Ywar Thit (Ho Piek gyi)</c:v>
                </c:pt>
                <c:pt idx="51">
                  <c:v>Ward 5 &amp; 9</c:v>
                </c:pt>
                <c:pt idx="52">
                  <c:v>Kan Long </c:v>
                </c:pt>
                <c:pt idx="53">
                  <c:v>Chicken Farm </c:v>
                </c:pt>
                <c:pt idx="54">
                  <c:v>KBC Church </c:v>
                </c:pt>
              </c:strCache>
            </c:strRef>
          </c:cat>
          <c:val>
            <c:numRef>
              <c:f>'By Camps'!$B$34</c:f>
              <c:numCache>
                <c:formatCode>General</c:formatCode>
                <c:ptCount val="55"/>
                <c:pt idx="0">
                  <c:v>0</c:v>
                </c:pt>
                <c:pt idx="1">
                  <c:v>240</c:v>
                </c:pt>
                <c:pt idx="2">
                  <c:v>180</c:v>
                </c:pt>
                <c:pt idx="3">
                  <c:v>270</c:v>
                </c:pt>
                <c:pt idx="4">
                  <c:v>127</c:v>
                </c:pt>
                <c:pt idx="5">
                  <c:v>0</c:v>
                </c:pt>
                <c:pt idx="6">
                  <c:v>80</c:v>
                </c:pt>
                <c:pt idx="7">
                  <c:v>125</c:v>
                </c:pt>
                <c:pt idx="8">
                  <c:v>157</c:v>
                </c:pt>
                <c:pt idx="9">
                  <c:v>176</c:v>
                </c:pt>
                <c:pt idx="10">
                  <c:v>396</c:v>
                </c:pt>
                <c:pt idx="11">
                  <c:v>200</c:v>
                </c:pt>
                <c:pt idx="12">
                  <c:v>31</c:v>
                </c:pt>
                <c:pt idx="13">
                  <c:v>213</c:v>
                </c:pt>
                <c:pt idx="14">
                  <c:v>250</c:v>
                </c:pt>
                <c:pt idx="15">
                  <c:v>206</c:v>
                </c:pt>
                <c:pt idx="16">
                  <c:v>141</c:v>
                </c:pt>
                <c:pt idx="17">
                  <c:v>525</c:v>
                </c:pt>
                <c:pt idx="18">
                  <c:v>221</c:v>
                </c:pt>
                <c:pt idx="19">
                  <c:v>195</c:v>
                </c:pt>
                <c:pt idx="20">
                  <c:v>1025</c:v>
                </c:pt>
                <c:pt idx="21">
                  <c:v>158</c:v>
                </c:pt>
                <c:pt idx="22">
                  <c:v>502</c:v>
                </c:pt>
                <c:pt idx="23">
                  <c:v>251</c:v>
                </c:pt>
                <c:pt idx="24">
                  <c:v>439</c:v>
                </c:pt>
                <c:pt idx="25">
                  <c:v>130</c:v>
                </c:pt>
                <c:pt idx="26">
                  <c:v>103</c:v>
                </c:pt>
                <c:pt idx="27">
                  <c:v>600</c:v>
                </c:pt>
                <c:pt idx="28">
                  <c:v>0</c:v>
                </c:pt>
                <c:pt idx="29">
                  <c:v>0</c:v>
                </c:pt>
                <c:pt idx="30">
                  <c:v>0</c:v>
                </c:pt>
                <c:pt idx="31">
                  <c:v>0</c:v>
                </c:pt>
                <c:pt idx="32">
                  <c:v>0</c:v>
                </c:pt>
                <c:pt idx="33">
                  <c:v>162</c:v>
                </c:pt>
                <c:pt idx="34">
                  <c:v>132</c:v>
                </c:pt>
                <c:pt idx="35">
                  <c:v>40</c:v>
                </c:pt>
                <c:pt idx="36">
                  <c:v>28</c:v>
                </c:pt>
                <c:pt idx="37">
                  <c:v>31</c:v>
                </c:pt>
                <c:pt idx="38">
                  <c:v>179</c:v>
                </c:pt>
                <c:pt idx="39">
                  <c:v>26</c:v>
                </c:pt>
                <c:pt idx="40">
                  <c:v>0</c:v>
                </c:pt>
                <c:pt idx="41">
                  <c:v>77</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55"/>
                <c:pt idx="0">
                  <c:v>Hpai Kawng</c:v>
                </c:pt>
                <c:pt idx="1">
                  <c:v>Kutkai downtown (KBC Church)</c:v>
                </c:pt>
                <c:pt idx="2">
                  <c:v>Kutkai downtown (KBC Church-2)</c:v>
                </c:pt>
                <c:pt idx="3">
                  <c:v>Kyu Sot</c:v>
                </c:pt>
                <c:pt idx="4">
                  <c:v>Lisu Church Namtu</c:v>
                </c:pt>
                <c:pt idx="5">
                  <c:v>Man Kaung/Naung Ti Kyar Village</c:v>
                </c:pt>
                <c:pt idx="6">
                  <c:v>Man Loi</c:v>
                </c:pt>
                <c:pt idx="7">
                  <c:v>Mandung - Jinghpaw</c:v>
                </c:pt>
                <c:pt idx="8">
                  <c:v>Mandung - RC</c:v>
                </c:pt>
                <c:pt idx="9">
                  <c:v>Mung Hawm </c:v>
                </c:pt>
                <c:pt idx="10">
                  <c:v>Nam Hkam - Nay Win Ni (Palawng)</c:v>
                </c:pt>
                <c:pt idx="11">
                  <c:v>Nam Hkam (KBC Jaw Wang)</c:v>
                </c:pt>
                <c:pt idx="12">
                  <c:v>Nam Hkam (KBC Jaw Wang) II</c:v>
                </c:pt>
                <c:pt idx="13">
                  <c:v>Nam Hkam Catholic Church ( St. Thomas I)</c:v>
                </c:pt>
                <c:pt idx="14">
                  <c:v>Nam Hpak Ka Mare </c:v>
                </c:pt>
                <c:pt idx="15">
                  <c:v>Nam Sa Larp</c:v>
                </c:pt>
                <c:pt idx="16">
                  <c:v>Nam Tu Baptist</c:v>
                </c:pt>
                <c:pt idx="17">
                  <c:v>New Pang Ku </c:v>
                </c:pt>
                <c:pt idx="18">
                  <c:v>Pan Law</c:v>
                </c:pt>
                <c:pt idx="19">
                  <c:v>Tsan Lun - Namjarap</c:v>
                </c:pt>
                <c:pt idx="20">
                  <c:v>Zup Aung Camp</c:v>
                </c:pt>
                <c:pt idx="21">
                  <c:v>Nam Hpak Ka Ta'ang ( Aung Tha Pyay)</c:v>
                </c:pt>
                <c:pt idx="22">
                  <c:v>Mai Yu Lay New (Ta'ang)</c:v>
                </c:pt>
                <c:pt idx="23">
                  <c:v>Mine Yu Lay village ( Old)</c:v>
                </c:pt>
                <c:pt idx="24">
                  <c:v>Galeng (Palaung) &amp; Kone Khem</c:v>
                </c:pt>
                <c:pt idx="25">
                  <c:v>Hu Hku &amp; Ho Hko</c:v>
                </c:pt>
                <c:pt idx="26">
                  <c:v>Enai (Man Pyein)</c:v>
                </c:pt>
                <c:pt idx="27">
                  <c:v>His Aw (Chyu Fan) </c:v>
                </c:pt>
                <c:pt idx="28">
                  <c:v>Shwe Sin (Ward 3) </c:v>
                </c:pt>
                <c:pt idx="29">
                  <c:v>Mang Nawng Kawng (host)</c:v>
                </c:pt>
                <c:pt idx="30">
                  <c:v>Kyaukme Town (host)</c:v>
                </c:pt>
                <c:pt idx="31">
                  <c:v>Lin Hao chun </c:v>
                </c:pt>
                <c:pt idx="32">
                  <c:v>Pyi Htaung Su</c:v>
                </c:pt>
                <c:pt idx="33">
                  <c:v>Bang Yang Hka (Mung Ji Pa)-relocated</c:v>
                </c:pt>
                <c:pt idx="34">
                  <c:v>Galeng Zup Awng ward 5 RC</c:v>
                </c:pt>
                <c:pt idx="35">
                  <c:v>Man Pint community Hall </c:v>
                </c:pt>
                <c:pt idx="36">
                  <c:v>Mong Tin High School</c:v>
                </c:pt>
                <c:pt idx="37">
                  <c:v>Nar Mun Primary School</c:v>
                </c:pt>
                <c:pt idx="38">
                  <c:v>SLCA Building Compound (Kyaukme town)</c:v>
                </c:pt>
                <c:pt idx="39">
                  <c:v>SLCA Building Compound (Moungnawt town)</c:v>
                </c:pt>
                <c:pt idx="40">
                  <c:v>Theravada Monastery </c:v>
                </c:pt>
                <c:pt idx="41">
                  <c:v>Hseng Ja-Relocated</c:v>
                </c:pt>
                <c:pt idx="42">
                  <c:v>Lisu Church</c:v>
                </c:pt>
                <c:pt idx="43">
                  <c:v>Chinese Baptist Church Compound(Oak Hpo)</c:v>
                </c:pt>
                <c:pt idx="44">
                  <c:v>Farmland(Kyay Zu Taw)</c:v>
                </c:pt>
                <c:pt idx="45">
                  <c:v>Pong Mun School</c:v>
                </c:pt>
                <c:pt idx="46">
                  <c:v>Hka San Baptist church </c:v>
                </c:pt>
                <c:pt idx="47">
                  <c:v>Ward 3 </c:v>
                </c:pt>
                <c:pt idx="48">
                  <c:v>Sun Lon monastery </c:v>
                </c:pt>
                <c:pt idx="49">
                  <c:v>Farmland(Kaung Kye Peik)</c:v>
                </c:pt>
                <c:pt idx="50">
                  <c:v>Kaung Nyaung Ywar Thit (Ho Piek gyi)</c:v>
                </c:pt>
                <c:pt idx="51">
                  <c:v>Ward 5 &amp; 9</c:v>
                </c:pt>
                <c:pt idx="52">
                  <c:v>Kan Long </c:v>
                </c:pt>
                <c:pt idx="53">
                  <c:v>Chicken Farm </c:v>
                </c:pt>
                <c:pt idx="54">
                  <c:v>KBC Church </c:v>
                </c:pt>
              </c:strCache>
            </c:strRef>
          </c:cat>
          <c:val>
            <c:numRef>
              <c:f>'By Camps'!$B$34</c:f>
              <c:numCache>
                <c:formatCode>General</c:formatCode>
                <c:ptCount val="55"/>
                <c:pt idx="0">
                  <c:v>1200</c:v>
                </c:pt>
                <c:pt idx="1">
                  <c:v>244</c:v>
                </c:pt>
                <c:pt idx="2">
                  <c:v>180</c:v>
                </c:pt>
                <c:pt idx="3">
                  <c:v>270</c:v>
                </c:pt>
                <c:pt idx="4">
                  <c:v>127</c:v>
                </c:pt>
                <c:pt idx="5">
                  <c:v>0</c:v>
                </c:pt>
                <c:pt idx="6">
                  <c:v>104</c:v>
                </c:pt>
                <c:pt idx="7">
                  <c:v>125</c:v>
                </c:pt>
                <c:pt idx="8">
                  <c:v>157</c:v>
                </c:pt>
                <c:pt idx="9">
                  <c:v>176</c:v>
                </c:pt>
                <c:pt idx="10">
                  <c:v>396</c:v>
                </c:pt>
                <c:pt idx="11">
                  <c:v>323</c:v>
                </c:pt>
                <c:pt idx="12">
                  <c:v>31</c:v>
                </c:pt>
                <c:pt idx="13">
                  <c:v>213</c:v>
                </c:pt>
                <c:pt idx="14">
                  <c:v>250</c:v>
                </c:pt>
                <c:pt idx="15">
                  <c:v>206</c:v>
                </c:pt>
                <c:pt idx="16">
                  <c:v>141</c:v>
                </c:pt>
                <c:pt idx="17">
                  <c:v>533.33333333333337</c:v>
                </c:pt>
                <c:pt idx="18">
                  <c:v>221</c:v>
                </c:pt>
                <c:pt idx="19">
                  <c:v>195</c:v>
                </c:pt>
                <c:pt idx="20">
                  <c:v>1101</c:v>
                </c:pt>
                <c:pt idx="21">
                  <c:v>158</c:v>
                </c:pt>
                <c:pt idx="22">
                  <c:v>502</c:v>
                </c:pt>
                <c:pt idx="23">
                  <c:v>251</c:v>
                </c:pt>
                <c:pt idx="24">
                  <c:v>439</c:v>
                </c:pt>
                <c:pt idx="25">
                  <c:v>130</c:v>
                </c:pt>
                <c:pt idx="26">
                  <c:v>103</c:v>
                </c:pt>
                <c:pt idx="27">
                  <c:v>1600</c:v>
                </c:pt>
                <c:pt idx="28">
                  <c:v>0</c:v>
                </c:pt>
                <c:pt idx="29">
                  <c:v>0</c:v>
                </c:pt>
                <c:pt idx="30">
                  <c:v>0</c:v>
                </c:pt>
                <c:pt idx="31">
                  <c:v>0</c:v>
                </c:pt>
                <c:pt idx="32">
                  <c:v>0</c:v>
                </c:pt>
                <c:pt idx="33">
                  <c:v>0</c:v>
                </c:pt>
                <c:pt idx="34">
                  <c:v>132</c:v>
                </c:pt>
                <c:pt idx="35">
                  <c:v>0</c:v>
                </c:pt>
                <c:pt idx="36">
                  <c:v>0</c:v>
                </c:pt>
                <c:pt idx="37">
                  <c:v>0</c:v>
                </c:pt>
                <c:pt idx="38">
                  <c:v>179</c:v>
                </c:pt>
                <c:pt idx="39">
                  <c:v>26</c:v>
                </c:pt>
                <c:pt idx="40">
                  <c:v>0</c:v>
                </c:pt>
                <c:pt idx="41">
                  <c:v>77</c:v>
                </c:pt>
                <c:pt idx="42">
                  <c:v>0</c:v>
                </c:pt>
                <c:pt idx="43">
                  <c:v>0</c:v>
                </c:pt>
                <c:pt idx="44">
                  <c:v>0</c:v>
                </c:pt>
                <c:pt idx="45">
                  <c:v>0</c:v>
                </c:pt>
                <c:pt idx="46">
                  <c:v>37</c:v>
                </c:pt>
                <c:pt idx="47">
                  <c:v>0</c:v>
                </c:pt>
                <c:pt idx="48">
                  <c:v>0</c:v>
                </c:pt>
                <c:pt idx="49">
                  <c:v>0</c:v>
                </c:pt>
                <c:pt idx="50">
                  <c:v>66.666666666666671</c:v>
                </c:pt>
                <c:pt idx="51">
                  <c:v>0</c:v>
                </c:pt>
                <c:pt idx="52">
                  <c:v>0</c:v>
                </c:pt>
                <c:pt idx="53">
                  <c:v>0</c:v>
                </c:pt>
                <c:pt idx="54">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withinLinear" id="15">
  <a:schemeClr val="accent2"/>
</cs:colorStyle>
</file>

<file path=xl/charts/colors27.xml><?xml version="1.0" encoding="utf-8"?>
<cs:colorStyle xmlns:cs="http://schemas.microsoft.com/office/drawing/2012/chartStyle" xmlns:a="http://schemas.openxmlformats.org/drawingml/2006/main" meth="withinLinear" id="15">
  <a:schemeClr val="accent2"/>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4">
  <a:schemeClr val="accent1"/>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9">
  <a:schemeClr val="accent6"/>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withinLinear" id="15">
  <a:schemeClr val="accent2"/>
</cs:colorStyle>
</file>

<file path=xl/charts/colors65.xml><?xml version="1.0" encoding="utf-8"?>
<cs:colorStyle xmlns:cs="http://schemas.microsoft.com/office/drawing/2012/chartStyle" xmlns:a="http://schemas.openxmlformats.org/drawingml/2006/main" meth="withinLinear" id="15">
  <a:schemeClr val="accent2"/>
</cs:colorStyle>
</file>

<file path=xl/charts/colors66.xml><?xml version="1.0" encoding="utf-8"?>
<cs:colorStyle xmlns:cs="http://schemas.microsoft.com/office/drawing/2012/chartStyle" xmlns:a="http://schemas.openxmlformats.org/drawingml/2006/main" meth="withinLinear" id="15">
  <a:schemeClr val="accent2"/>
</cs:colorStyle>
</file>

<file path=xl/charts/colors67.xml><?xml version="1.0" encoding="utf-8"?>
<cs:colorStyle xmlns:cs="http://schemas.microsoft.com/office/drawing/2012/chartStyle" xmlns:a="http://schemas.openxmlformats.org/drawingml/2006/main" meth="withinLinear" id="15">
  <a:schemeClr val="accent2"/>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 id="14">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4">
  <a:schemeClr val="accent1"/>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withinLinear" id="15">
  <a:schemeClr val="accent2"/>
</cs:colorStyle>
</file>

<file path=xl/charts/colors87.xml><?xml version="1.0" encoding="utf-8"?>
<cs:colorStyle xmlns:cs="http://schemas.microsoft.com/office/drawing/2012/chartStyle" xmlns:a="http://schemas.openxmlformats.org/drawingml/2006/main" meth="withinLinear" id="15">
  <a:schemeClr val="accent2"/>
</cs:colorStyle>
</file>

<file path=xl/charts/colors88.xml><?xml version="1.0" encoding="utf-8"?>
<cs:colorStyle xmlns:cs="http://schemas.microsoft.com/office/drawing/2012/chartStyle" xmlns:a="http://schemas.openxmlformats.org/drawingml/2006/main" meth="withinLinear" id="15">
  <a:schemeClr val="accent2"/>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9">
  <a:schemeClr val="accent6"/>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withinLinear" id="14">
  <a:schemeClr val="accent1"/>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8.xml"/><Relationship Id="rId39" Type="http://schemas.openxmlformats.org/officeDocument/2006/relationships/chart" Target="../charts/chart51.xml"/><Relationship Id="rId21" Type="http://schemas.openxmlformats.org/officeDocument/2006/relationships/chart" Target="../charts/chart33.xml"/><Relationship Id="rId34" Type="http://schemas.openxmlformats.org/officeDocument/2006/relationships/chart" Target="../charts/chart46.xml"/><Relationship Id="rId42" Type="http://schemas.openxmlformats.org/officeDocument/2006/relationships/chart" Target="../charts/chart54.xml"/><Relationship Id="rId7" Type="http://schemas.openxmlformats.org/officeDocument/2006/relationships/chart" Target="../charts/chart19.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29" Type="http://schemas.openxmlformats.org/officeDocument/2006/relationships/chart" Target="../charts/chart41.xml"/><Relationship Id="rId41" Type="http://schemas.openxmlformats.org/officeDocument/2006/relationships/chart" Target="../charts/chart53.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36.xml"/><Relationship Id="rId32" Type="http://schemas.openxmlformats.org/officeDocument/2006/relationships/chart" Target="../charts/chart44.xml"/><Relationship Id="rId37" Type="http://schemas.openxmlformats.org/officeDocument/2006/relationships/chart" Target="../charts/chart49.xml"/><Relationship Id="rId40" Type="http://schemas.openxmlformats.org/officeDocument/2006/relationships/chart" Target="../charts/chart52.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28" Type="http://schemas.openxmlformats.org/officeDocument/2006/relationships/chart" Target="../charts/chart40.xml"/><Relationship Id="rId36" Type="http://schemas.openxmlformats.org/officeDocument/2006/relationships/chart" Target="../charts/chart48.xml"/><Relationship Id="rId10" Type="http://schemas.openxmlformats.org/officeDocument/2006/relationships/chart" Target="../charts/chart22.xml"/><Relationship Id="rId19" Type="http://schemas.openxmlformats.org/officeDocument/2006/relationships/chart" Target="../charts/chart31.xml"/><Relationship Id="rId31" Type="http://schemas.openxmlformats.org/officeDocument/2006/relationships/chart" Target="../charts/chart43.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 Id="rId27" Type="http://schemas.openxmlformats.org/officeDocument/2006/relationships/chart" Target="../charts/chart39.xml"/><Relationship Id="rId30" Type="http://schemas.openxmlformats.org/officeDocument/2006/relationships/chart" Target="../charts/chart42.xml"/><Relationship Id="rId35" Type="http://schemas.openxmlformats.org/officeDocument/2006/relationships/chart" Target="../charts/chart47.xml"/><Relationship Id="rId8" Type="http://schemas.openxmlformats.org/officeDocument/2006/relationships/chart" Target="../charts/chart20.xml"/><Relationship Id="rId3" Type="http://schemas.openxmlformats.org/officeDocument/2006/relationships/chart" Target="../charts/chart15.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chart" Target="../charts/chart37.xml"/><Relationship Id="rId33" Type="http://schemas.openxmlformats.org/officeDocument/2006/relationships/chart" Target="../charts/chart45.xml"/><Relationship Id="rId38"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18" Type="http://schemas.openxmlformats.org/officeDocument/2006/relationships/chart" Target="../charts/chart71.xml"/><Relationship Id="rId26" Type="http://schemas.openxmlformats.org/officeDocument/2006/relationships/chart" Target="../charts/chart77.xml"/><Relationship Id="rId3" Type="http://schemas.openxmlformats.org/officeDocument/2006/relationships/chart" Target="../charts/chart56.xml"/><Relationship Id="rId21" Type="http://schemas.openxmlformats.org/officeDocument/2006/relationships/chart" Target="../charts/chart73.xml"/><Relationship Id="rId7" Type="http://schemas.openxmlformats.org/officeDocument/2006/relationships/chart" Target="../charts/chart60.xml"/><Relationship Id="rId12" Type="http://schemas.openxmlformats.org/officeDocument/2006/relationships/chart" Target="../charts/chart65.xml"/><Relationship Id="rId17" Type="http://schemas.openxmlformats.org/officeDocument/2006/relationships/chart" Target="../charts/chart70.xml"/><Relationship Id="rId25" Type="http://schemas.openxmlformats.org/officeDocument/2006/relationships/chart" Target="../charts/chart76.xml"/><Relationship Id="rId2" Type="http://schemas.openxmlformats.org/officeDocument/2006/relationships/hyperlink" Target="#Analysis!A329"/><Relationship Id="rId16" Type="http://schemas.openxmlformats.org/officeDocument/2006/relationships/chart" Target="../charts/chart69.xml"/><Relationship Id="rId20" Type="http://schemas.openxmlformats.org/officeDocument/2006/relationships/chart" Target="../charts/chart72.xml"/><Relationship Id="rId1" Type="http://schemas.openxmlformats.org/officeDocument/2006/relationships/chart" Target="../charts/chart55.xml"/><Relationship Id="rId6" Type="http://schemas.openxmlformats.org/officeDocument/2006/relationships/chart" Target="../charts/chart59.xml"/><Relationship Id="rId11" Type="http://schemas.openxmlformats.org/officeDocument/2006/relationships/chart" Target="../charts/chart64.xml"/><Relationship Id="rId24" Type="http://schemas.openxmlformats.org/officeDocument/2006/relationships/chart" Target="../charts/chart75.xml"/><Relationship Id="rId5" Type="http://schemas.openxmlformats.org/officeDocument/2006/relationships/chart" Target="../charts/chart58.xml"/><Relationship Id="rId15" Type="http://schemas.openxmlformats.org/officeDocument/2006/relationships/chart" Target="../charts/chart68.xml"/><Relationship Id="rId23" Type="http://schemas.openxmlformats.org/officeDocument/2006/relationships/chart" Target="../charts/chart74.xml"/><Relationship Id="rId10" Type="http://schemas.openxmlformats.org/officeDocument/2006/relationships/chart" Target="../charts/chart63.xml"/><Relationship Id="rId19" Type="http://schemas.openxmlformats.org/officeDocument/2006/relationships/hyperlink" Target="#'AAP-community Feedback'!A2"/><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 Id="rId22"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s>
</file>

<file path=xl/drawings/_rels/drawing9.xml.rels><?xml version="1.0" encoding="UTF-8" standalone="yes"?>
<Relationships xmlns="http://schemas.openxmlformats.org/package/2006/relationships"><Relationship Id="rId8" Type="http://schemas.openxmlformats.org/officeDocument/2006/relationships/chart" Target="../charts/chart84.xml"/><Relationship Id="rId13" Type="http://schemas.openxmlformats.org/officeDocument/2006/relationships/chart" Target="../charts/chart88.xml"/><Relationship Id="rId18" Type="http://schemas.openxmlformats.org/officeDocument/2006/relationships/chart" Target="../charts/chart93.xml"/><Relationship Id="rId3" Type="http://schemas.openxmlformats.org/officeDocument/2006/relationships/chart" Target="../charts/chart80.xml"/><Relationship Id="rId21" Type="http://schemas.openxmlformats.org/officeDocument/2006/relationships/chart" Target="../charts/chart95.xml"/><Relationship Id="rId7" Type="http://schemas.openxmlformats.org/officeDocument/2006/relationships/chart" Target="../charts/chart83.xml"/><Relationship Id="rId12" Type="http://schemas.openxmlformats.org/officeDocument/2006/relationships/chart" Target="../charts/chart87.xml"/><Relationship Id="rId17" Type="http://schemas.openxmlformats.org/officeDocument/2006/relationships/chart" Target="../charts/chart92.xml"/><Relationship Id="rId2" Type="http://schemas.openxmlformats.org/officeDocument/2006/relationships/chart" Target="../charts/chart79.xml"/><Relationship Id="rId16" Type="http://schemas.openxmlformats.org/officeDocument/2006/relationships/chart" Target="../charts/chart91.xml"/><Relationship Id="rId20"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 Type="http://schemas.openxmlformats.org/officeDocument/2006/relationships/chart" Target="../charts/chart78.xml"/><Relationship Id="rId6" Type="http://schemas.openxmlformats.org/officeDocument/2006/relationships/chart" Target="../charts/chart82.xml"/><Relationship Id="rId11" Type="http://schemas.openxmlformats.org/officeDocument/2006/relationships/hyperlink" Target="#'AAP-community Feedback'!A2"/><Relationship Id="rId5" Type="http://schemas.openxmlformats.org/officeDocument/2006/relationships/chart" Target="../charts/chart81.xml"/><Relationship Id="rId15" Type="http://schemas.openxmlformats.org/officeDocument/2006/relationships/chart" Target="../charts/chart90.xml"/><Relationship Id="rId23" Type="http://schemas.openxmlformats.org/officeDocument/2006/relationships/chart" Target="../charts/chart97.xml"/><Relationship Id="rId10" Type="http://schemas.openxmlformats.org/officeDocument/2006/relationships/chart" Target="../charts/chart86.xml"/><Relationship Id="rId19" Type="http://schemas.openxmlformats.org/officeDocument/2006/relationships/chart" Target="../charts/chart94.xml"/><Relationship Id="rId4" Type="http://schemas.openxmlformats.org/officeDocument/2006/relationships/hyperlink" Target="#Analysis!A329"/><Relationship Id="rId9" Type="http://schemas.openxmlformats.org/officeDocument/2006/relationships/chart" Target="../charts/chart85.xml"/><Relationship Id="rId14" Type="http://schemas.openxmlformats.org/officeDocument/2006/relationships/chart" Target="../charts/chart89.xml"/><Relationship Id="rId22" Type="http://schemas.openxmlformats.org/officeDocument/2006/relationships/chart" Target="../charts/chart96.xml"/></Relationships>
</file>

<file path=xl/drawings/drawing1.xml><?xml version="1.0" encoding="utf-8"?>
<xdr:wsDr xmlns:xdr="http://schemas.openxmlformats.org/drawingml/2006/spreadsheetDrawing" xmlns:a="http://schemas.openxmlformats.org/drawingml/2006/main">
  <xdr:oneCellAnchor>
    <xdr:from>
      <xdr:col>2</xdr:col>
      <xdr:colOff>15875</xdr:colOff>
      <xdr:row>84</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71575" y="4997132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305758</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207434</xdr:colOff>
      <xdr:row>0</xdr:row>
      <xdr:rowOff>138379</xdr:rowOff>
    </xdr:from>
    <xdr:to>
      <xdr:col>20</xdr:col>
      <xdr:colOff>679131</xdr:colOff>
      <xdr:row>9</xdr:row>
      <xdr:rowOff>47624</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2796309" y="138380"/>
              <a:ext cx="1836947" cy="144118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169330</xdr:colOff>
      <xdr:row>19</xdr:row>
      <xdr:rowOff>63500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130808</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2023_Q1</a:t>
          </a:fld>
          <a:endParaRPr lang="en-US" sz="1600" b="1">
            <a:solidFill>
              <a:srgbClr val="44546A"/>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16</xdr:col>
      <xdr:colOff>465789</xdr:colOff>
      <xdr:row>2</xdr:row>
      <xdr:rowOff>0</xdr:rowOff>
    </xdr:from>
    <xdr:to>
      <xdr:col>33</xdr:col>
      <xdr:colOff>77529</xdr:colOff>
      <xdr:row>31</xdr:row>
      <xdr:rowOff>95251</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22153</xdr:colOff>
      <xdr:row>2</xdr:row>
      <xdr:rowOff>93477</xdr:rowOff>
    </xdr:from>
    <xdr:to>
      <xdr:col>10</xdr:col>
      <xdr:colOff>490915</xdr:colOff>
      <xdr:row>12</xdr:row>
      <xdr:rowOff>111045</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708839" y="625105"/>
              <a:ext cx="1828800" cy="19978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309871</xdr:colOff>
      <xdr:row>2</xdr:row>
      <xdr:rowOff>23309</xdr:rowOff>
    </xdr:from>
    <xdr:to>
      <xdr:col>16</xdr:col>
      <xdr:colOff>74182</xdr:colOff>
      <xdr:row>31</xdr:row>
      <xdr:rowOff>110756</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54937"/>
              <a:ext cx="1818020" cy="586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220780</xdr:colOff>
      <xdr:row>22</xdr:row>
      <xdr:rowOff>148146</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12</xdr:row>
      <xdr:rowOff>149494</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1</xdr:rowOff>
    </xdr:from>
    <xdr:to>
      <xdr:col>9</xdr:col>
      <xdr:colOff>187325</xdr:colOff>
      <xdr:row>6</xdr:row>
      <xdr:rowOff>133351</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6</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79375</xdr:colOff>
      <xdr:row>7</xdr:row>
      <xdr:rowOff>28576</xdr:rowOff>
    </xdr:from>
    <xdr:to>
      <xdr:col>10</xdr:col>
      <xdr:colOff>237490</xdr:colOff>
      <xdr:row>17</xdr:row>
      <xdr:rowOff>120650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13775" y="1406526"/>
              <a:ext cx="3758565" cy="2060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459507</xdr:colOff>
      <xdr:row>84</xdr:row>
      <xdr:rowOff>106795</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36780" y="48701613"/>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359228</xdr:colOff>
      <xdr:row>181</xdr:row>
      <xdr:rowOff>191620</xdr:rowOff>
    </xdr:from>
    <xdr:to>
      <xdr:col>16</xdr:col>
      <xdr:colOff>195943</xdr:colOff>
      <xdr:row>189</xdr:row>
      <xdr:rowOff>15574</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999670</xdr:colOff>
      <xdr:row>199</xdr:row>
      <xdr:rowOff>155122</xdr:rowOff>
    </xdr:from>
    <xdr:to>
      <xdr:col>16</xdr:col>
      <xdr:colOff>1081314</xdr:colOff>
      <xdr:row>207</xdr:row>
      <xdr:rowOff>61913</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192770</xdr:colOff>
      <xdr:row>215</xdr:row>
      <xdr:rowOff>72572</xdr:rowOff>
    </xdr:from>
    <xdr:to>
      <xdr:col>16</xdr:col>
      <xdr:colOff>509136</xdr:colOff>
      <xdr:row>222</xdr:row>
      <xdr:rowOff>464457</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350507</xdr:colOff>
      <xdr:row>181</xdr:row>
      <xdr:rowOff>183891</xdr:rowOff>
    </xdr:from>
    <xdr:to>
      <xdr:col>24</xdr:col>
      <xdr:colOff>350838</xdr:colOff>
      <xdr:row>189</xdr:row>
      <xdr:rowOff>58058</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138339</xdr:colOff>
      <xdr:row>181</xdr:row>
      <xdr:rowOff>117171</xdr:rowOff>
    </xdr:from>
    <xdr:to>
      <xdr:col>39</xdr:col>
      <xdr:colOff>526480</xdr:colOff>
      <xdr:row>189</xdr:row>
      <xdr:rowOff>195376</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179</xdr:row>
      <xdr:rowOff>0</xdr:rowOff>
    </xdr:from>
    <xdr:to>
      <xdr:col>19</xdr:col>
      <xdr:colOff>973871</xdr:colOff>
      <xdr:row>180</xdr:row>
      <xdr:rowOff>143152</xdr:rowOff>
    </xdr:to>
    <xdr:sp macro="" textlink="">
      <xdr:nvSpPr>
        <xdr:cNvPr id="9" name="TextBox 3">
          <a:extLst>
            <a:ext uri="{FF2B5EF4-FFF2-40B4-BE49-F238E27FC236}">
              <a16:creationId xmlns:a16="http://schemas.microsoft.com/office/drawing/2014/main" id="{FBDE99E8-709C-4F56-8994-FA3682D0FD0E}"/>
            </a:ext>
          </a:extLst>
        </xdr:cNvPr>
        <xdr:cNvSpPr txBox="1"/>
      </xdr:nvSpPr>
      <xdr:spPr>
        <a:xfrm>
          <a:off x="19669125" y="17200563"/>
          <a:ext cx="973871" cy="3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+46,015</a:t>
          </a:r>
        </a:p>
      </xdr:txBody>
    </xdr:sp>
    <xdr:clientData/>
  </xdr:twoCellAnchor>
  <xdr:twoCellAnchor>
    <xdr:from>
      <xdr:col>16</xdr:col>
      <xdr:colOff>441098</xdr:colOff>
      <xdr:row>220</xdr:row>
      <xdr:rowOff>824367</xdr:rowOff>
    </xdr:from>
    <xdr:to>
      <xdr:col>17</xdr:col>
      <xdr:colOff>1054100</xdr:colOff>
      <xdr:row>220</xdr:row>
      <xdr:rowOff>1164092</xdr:rowOff>
    </xdr:to>
    <xdr:sp macro="" textlink="">
      <xdr:nvSpPr>
        <xdr:cNvPr id="14" name="TextBox 13">
          <a:extLst>
            <a:ext uri="{FF2B5EF4-FFF2-40B4-BE49-F238E27FC236}">
              <a16:creationId xmlns:a16="http://schemas.microsoft.com/office/drawing/2014/main" id="{D66EC6AB-9147-48CF-A0DE-0F6AAB79F708}"/>
            </a:ext>
          </a:extLst>
        </xdr:cNvPr>
        <xdr:cNvSpPr txBox="1"/>
      </xdr:nvSpPr>
      <xdr:spPr>
        <a:xfrm>
          <a:off x="22348598" y="42400992"/>
          <a:ext cx="1835377"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+18,106</a:t>
          </a:r>
        </a:p>
      </xdr:txBody>
    </xdr:sp>
    <xdr:clientData/>
  </xdr:twoCellAnchor>
  <xdr:twoCellAnchor>
    <xdr:from>
      <xdr:col>7</xdr:col>
      <xdr:colOff>50801</xdr:colOff>
      <xdr:row>230</xdr:row>
      <xdr:rowOff>77107</xdr:rowOff>
    </xdr:from>
    <xdr:to>
      <xdr:col>14</xdr:col>
      <xdr:colOff>789214</xdr:colOff>
      <xdr:row>237</xdr:row>
      <xdr:rowOff>97971</xdr:rowOff>
    </xdr:to>
    <xdr:graphicFrame macro="">
      <xdr:nvGraphicFramePr>
        <xdr:cNvPr id="3" name="Chart 2">
          <a:extLst>
            <a:ext uri="{FF2B5EF4-FFF2-40B4-BE49-F238E27FC236}">
              <a16:creationId xmlns:a16="http://schemas.microsoft.com/office/drawing/2014/main" id="{F28534DC-AB86-4CCD-A2C5-ACB7D3855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390071</xdr:colOff>
      <xdr:row>230</xdr:row>
      <xdr:rowOff>57149</xdr:rowOff>
    </xdr:from>
    <xdr:to>
      <xdr:col>28</xdr:col>
      <xdr:colOff>691244</xdr:colOff>
      <xdr:row>237</xdr:row>
      <xdr:rowOff>29029</xdr:rowOff>
    </xdr:to>
    <xdr:graphicFrame macro="">
      <xdr:nvGraphicFramePr>
        <xdr:cNvPr id="4" name="Chart 3">
          <a:extLst>
            <a:ext uri="{FF2B5EF4-FFF2-40B4-BE49-F238E27FC236}">
              <a16:creationId xmlns:a16="http://schemas.microsoft.com/office/drawing/2014/main" id="{9E5BA00F-6A39-42C3-BFA4-B282DF0F2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299130</xdr:colOff>
      <xdr:row>236</xdr:row>
      <xdr:rowOff>1148217</xdr:rowOff>
    </xdr:from>
    <xdr:to>
      <xdr:col>14</xdr:col>
      <xdr:colOff>430212</xdr:colOff>
      <xdr:row>236</xdr:row>
      <xdr:rowOff>1487942</xdr:rowOff>
    </xdr:to>
    <xdr:sp macro="" textlink="">
      <xdr:nvSpPr>
        <xdr:cNvPr id="16" name="TextBox 15">
          <a:extLst>
            <a:ext uri="{FF2B5EF4-FFF2-40B4-BE49-F238E27FC236}">
              <a16:creationId xmlns:a16="http://schemas.microsoft.com/office/drawing/2014/main" id="{A05C3F32-E272-4882-BD21-26E06EFBDBEA}"/>
            </a:ext>
          </a:extLst>
        </xdr:cNvPr>
        <xdr:cNvSpPr txBox="1"/>
      </xdr:nvSpPr>
      <xdr:spPr>
        <a:xfrm>
          <a:off x="15506473" y="40053760"/>
          <a:ext cx="167685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+12,697</a:t>
          </a:r>
        </a:p>
      </xdr:txBody>
    </xdr:sp>
    <xdr:clientData/>
  </xdr:twoCellAnchor>
  <xdr:twoCellAnchor>
    <xdr:from>
      <xdr:col>6</xdr:col>
      <xdr:colOff>338667</xdr:colOff>
      <xdr:row>240</xdr:row>
      <xdr:rowOff>196850</xdr:rowOff>
    </xdr:from>
    <xdr:to>
      <xdr:col>15</xdr:col>
      <xdr:colOff>497416</xdr:colOff>
      <xdr:row>247</xdr:row>
      <xdr:rowOff>584200</xdr:rowOff>
    </xdr:to>
    <xdr:graphicFrame macro="">
      <xdr:nvGraphicFramePr>
        <xdr:cNvPr id="5" name="Chart 4">
          <a:extLst>
            <a:ext uri="{FF2B5EF4-FFF2-40B4-BE49-F238E27FC236}">
              <a16:creationId xmlns:a16="http://schemas.microsoft.com/office/drawing/2014/main" id="{0B822AF1-D158-46C6-BE73-2B6AF7702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323850</xdr:colOff>
      <xdr:row>240</xdr:row>
      <xdr:rowOff>120650</xdr:rowOff>
    </xdr:from>
    <xdr:to>
      <xdr:col>27</xdr:col>
      <xdr:colOff>584200</xdr:colOff>
      <xdr:row>248</xdr:row>
      <xdr:rowOff>0</xdr:rowOff>
    </xdr:to>
    <xdr:graphicFrame macro="">
      <xdr:nvGraphicFramePr>
        <xdr:cNvPr id="6" name="Chart 5">
          <a:extLst>
            <a:ext uri="{FF2B5EF4-FFF2-40B4-BE49-F238E27FC236}">
              <a16:creationId xmlns:a16="http://schemas.microsoft.com/office/drawing/2014/main" id="{53FA9BAE-2F3A-4DE7-97BF-8CC74AAC4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95250</xdr:colOff>
      <xdr:row>252</xdr:row>
      <xdr:rowOff>189440</xdr:rowOff>
    </xdr:from>
    <xdr:to>
      <xdr:col>15</xdr:col>
      <xdr:colOff>931334</xdr:colOff>
      <xdr:row>259</xdr:row>
      <xdr:rowOff>465667</xdr:rowOff>
    </xdr:to>
    <xdr:graphicFrame macro="">
      <xdr:nvGraphicFramePr>
        <xdr:cNvPr id="7" name="Chart 6">
          <a:extLst>
            <a:ext uri="{FF2B5EF4-FFF2-40B4-BE49-F238E27FC236}">
              <a16:creationId xmlns:a16="http://schemas.microsoft.com/office/drawing/2014/main" id="{8F0211D8-39BA-4325-87F4-0EEAF2C5F6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455082</xdr:colOff>
      <xdr:row>252</xdr:row>
      <xdr:rowOff>42333</xdr:rowOff>
    </xdr:from>
    <xdr:to>
      <xdr:col>26</xdr:col>
      <xdr:colOff>878417</xdr:colOff>
      <xdr:row>260</xdr:row>
      <xdr:rowOff>179917</xdr:rowOff>
    </xdr:to>
    <xdr:graphicFrame macro="">
      <xdr:nvGraphicFramePr>
        <xdr:cNvPr id="8" name="Chart 7">
          <a:extLst>
            <a:ext uri="{FF2B5EF4-FFF2-40B4-BE49-F238E27FC236}">
              <a16:creationId xmlns:a16="http://schemas.microsoft.com/office/drawing/2014/main" id="{4E790E67-1B61-4A26-BADA-EC2BBF2F70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391582</xdr:colOff>
      <xdr:row>264</xdr:row>
      <xdr:rowOff>189441</xdr:rowOff>
    </xdr:from>
    <xdr:to>
      <xdr:col>15</xdr:col>
      <xdr:colOff>920750</xdr:colOff>
      <xdr:row>271</xdr:row>
      <xdr:rowOff>550332</xdr:rowOff>
    </xdr:to>
    <xdr:graphicFrame macro="">
      <xdr:nvGraphicFramePr>
        <xdr:cNvPr id="10" name="Chart 9">
          <a:extLst>
            <a:ext uri="{FF2B5EF4-FFF2-40B4-BE49-F238E27FC236}">
              <a16:creationId xmlns:a16="http://schemas.microsoft.com/office/drawing/2014/main" id="{77521874-20E8-4197-888D-6926A2A044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0.9031</cdr:x>
      <cdr:y>0.22879</cdr:y>
    </cdr:from>
    <cdr:to>
      <cdr:x>0.98902</cdr:x>
      <cdr:y>0.27691</cdr:y>
    </cdr:to>
    <cdr:sp macro="" textlink="">
      <cdr:nvSpPr>
        <cdr:cNvPr id="2" name="TextBox 1">
          <a:extLst xmlns:a="http://schemas.openxmlformats.org/drawingml/2006/main">
            <a:ext uri="{FF2B5EF4-FFF2-40B4-BE49-F238E27FC236}">
              <a16:creationId xmlns:a16="http://schemas.microsoft.com/office/drawing/2014/main" id="{2461A0E2-864E-4433-B0F9-92ACA5607C19}"/>
            </a:ext>
          </a:extLst>
        </cdr:cNvPr>
        <cdr:cNvSpPr txBox="1"/>
      </cdr:nvSpPr>
      <cdr:spPr>
        <a:xfrm xmlns:a="http://schemas.openxmlformats.org/drawingml/2006/main">
          <a:off x="6865258" y="1250949"/>
          <a:ext cx="653143" cy="263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solidFill>
                <a:srgbClr val="0070C0"/>
              </a:solidFill>
            </a:rPr>
            <a:t>+4,616</a:t>
          </a:r>
        </a:p>
      </cdr:txBody>
    </cdr:sp>
  </cdr:relSizeAnchor>
  <cdr:relSizeAnchor xmlns:cdr="http://schemas.openxmlformats.org/drawingml/2006/chartDrawing">
    <cdr:from>
      <cdr:x>0.91408</cdr:x>
      <cdr:y>0.49376</cdr:y>
    </cdr:from>
    <cdr:to>
      <cdr:x>1</cdr:x>
      <cdr:y>0.54187</cdr:y>
    </cdr:to>
    <cdr:sp macro="" textlink="">
      <cdr:nvSpPr>
        <cdr:cNvPr id="3" name="TextBox 1">
          <a:extLst xmlns:a="http://schemas.openxmlformats.org/drawingml/2006/main">
            <a:ext uri="{FF2B5EF4-FFF2-40B4-BE49-F238E27FC236}">
              <a16:creationId xmlns:a16="http://schemas.microsoft.com/office/drawing/2014/main" id="{F6B9AAFF-7CA7-4F4E-A2E9-59A821AEC9B8}"/>
            </a:ext>
          </a:extLst>
        </cdr:cNvPr>
        <cdr:cNvSpPr txBox="1"/>
      </cdr:nvSpPr>
      <cdr:spPr>
        <a:xfrm xmlns:a="http://schemas.openxmlformats.org/drawingml/2006/main">
          <a:off x="6948716" y="2699657"/>
          <a:ext cx="653143" cy="263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+4,297</a:t>
          </a: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611502</xdr:colOff>
      <xdr:row>215</xdr:row>
      <xdr:rowOff>105689</xdr:rowOff>
    </xdr:from>
    <xdr:to>
      <xdr:col>9</xdr:col>
      <xdr:colOff>227819</xdr:colOff>
      <xdr:row>228</xdr:row>
      <xdr:rowOff>43448</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517071</xdr:colOff>
      <xdr:row>148</xdr:row>
      <xdr:rowOff>46181</xdr:rowOff>
    </xdr:from>
    <xdr:to>
      <xdr:col>9</xdr:col>
      <xdr:colOff>561138</xdr:colOff>
      <xdr:row>162</xdr:row>
      <xdr:rowOff>65230</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292787</xdr:colOff>
      <xdr:row>148</xdr:row>
      <xdr:rowOff>133963</xdr:rowOff>
    </xdr:from>
    <xdr:to>
      <xdr:col>15</xdr:col>
      <xdr:colOff>749987</xdr:colOff>
      <xdr:row>162</xdr:row>
      <xdr:rowOff>86338</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452570</xdr:colOff>
      <xdr:row>165</xdr:row>
      <xdr:rowOff>67128</xdr:rowOff>
    </xdr:from>
    <xdr:to>
      <xdr:col>9</xdr:col>
      <xdr:colOff>580572</xdr:colOff>
      <xdr:row>177</xdr:row>
      <xdr:rowOff>86178</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165</xdr:row>
      <xdr:rowOff>38100</xdr:rowOff>
    </xdr:from>
    <xdr:to>
      <xdr:col>15</xdr:col>
      <xdr:colOff>552450</xdr:colOff>
      <xdr:row>177</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239756</xdr:colOff>
      <xdr:row>30</xdr:row>
      <xdr:rowOff>50465</xdr:rowOff>
    </xdr:from>
    <xdr:to>
      <xdr:col>7</xdr:col>
      <xdr:colOff>1597763</xdr:colOff>
      <xdr:row>43</xdr:row>
      <xdr:rowOff>48125</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353678</xdr:colOff>
      <xdr:row>30</xdr:row>
      <xdr:rowOff>130008</xdr:rowOff>
    </xdr:from>
    <xdr:to>
      <xdr:col>15</xdr:col>
      <xdr:colOff>582278</xdr:colOff>
      <xdr:row>43</xdr:row>
      <xdr:rowOff>99093</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752179</xdr:colOff>
      <xdr:row>216</xdr:row>
      <xdr:rowOff>33053</xdr:rowOff>
    </xdr:from>
    <xdr:to>
      <xdr:col>5</xdr:col>
      <xdr:colOff>195896</xdr:colOff>
      <xdr:row>228</xdr:row>
      <xdr:rowOff>172358</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862012</xdr:colOff>
      <xdr:row>318</xdr:row>
      <xdr:rowOff>142875</xdr:rowOff>
    </xdr:from>
    <xdr:to>
      <xdr:col>14</xdr:col>
      <xdr:colOff>597550</xdr:colOff>
      <xdr:row>330</xdr:row>
      <xdr:rowOff>4747</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642550</xdr:colOff>
      <xdr:row>127</xdr:row>
      <xdr:rowOff>170991</xdr:rowOff>
    </xdr:from>
    <xdr:to>
      <xdr:col>7</xdr:col>
      <xdr:colOff>1182151</xdr:colOff>
      <xdr:row>142</xdr:row>
      <xdr:rowOff>7640</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642550" y="25552848"/>
          <a:ext cx="7515530" cy="3664792"/>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11</xdr:col>
      <xdr:colOff>563849</xdr:colOff>
      <xdr:row>128</xdr:row>
      <xdr:rowOff>84980</xdr:rowOff>
    </xdr:from>
    <xdr:to>
      <xdr:col>20</xdr:col>
      <xdr:colOff>628547</xdr:colOff>
      <xdr:row>144</xdr:row>
      <xdr:rowOff>19035</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4470349" y="25666409"/>
          <a:ext cx="8401341" cy="3925483"/>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1</xdr:col>
      <xdr:colOff>423862</xdr:colOff>
      <xdr:row>382</xdr:row>
      <xdr:rowOff>121443</xdr:rowOff>
    </xdr:from>
    <xdr:to>
      <xdr:col>6</xdr:col>
      <xdr:colOff>766762</xdr:colOff>
      <xdr:row>397</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99786</xdr:colOff>
      <xdr:row>382</xdr:row>
      <xdr:rowOff>117475</xdr:rowOff>
    </xdr:from>
    <xdr:to>
      <xdr:col>12</xdr:col>
      <xdr:colOff>566511</xdr:colOff>
      <xdr:row>397</xdr:row>
      <xdr:rowOff>146504</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210023</xdr:colOff>
      <xdr:row>289</xdr:row>
      <xdr:rowOff>42144</xdr:rowOff>
    </xdr:from>
    <xdr:to>
      <xdr:col>6</xdr:col>
      <xdr:colOff>135594</xdr:colOff>
      <xdr:row>308</xdr:row>
      <xdr:rowOff>134654</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471714</xdr:colOff>
      <xdr:row>288</xdr:row>
      <xdr:rowOff>95698</xdr:rowOff>
    </xdr:from>
    <xdr:to>
      <xdr:col>10</xdr:col>
      <xdr:colOff>45356</xdr:colOff>
      <xdr:row>307</xdr:row>
      <xdr:rowOff>179548</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452891</xdr:colOff>
      <xdr:row>75</xdr:row>
      <xdr:rowOff>4988</xdr:rowOff>
    </xdr:from>
    <xdr:to>
      <xdr:col>10</xdr:col>
      <xdr:colOff>506616</xdr:colOff>
      <xdr:row>92</xdr:row>
      <xdr:rowOff>199118</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516110</xdr:colOff>
      <xdr:row>94</xdr:row>
      <xdr:rowOff>160046</xdr:rowOff>
    </xdr:from>
    <xdr:to>
      <xdr:col>8</xdr:col>
      <xdr:colOff>680509</xdr:colOff>
      <xdr:row>110</xdr:row>
      <xdr:rowOff>61384</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368156</xdr:colOff>
      <xdr:row>182</xdr:row>
      <xdr:rowOff>132066</xdr:rowOff>
    </xdr:from>
    <xdr:to>
      <xdr:col>8</xdr:col>
      <xdr:colOff>1587501</xdr:colOff>
      <xdr:row>199</xdr:row>
      <xdr:rowOff>145143</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377432</xdr:colOff>
      <xdr:row>181</xdr:row>
      <xdr:rowOff>164377</xdr:rowOff>
    </xdr:from>
    <xdr:to>
      <xdr:col>18</xdr:col>
      <xdr:colOff>700130</xdr:colOff>
      <xdr:row>197</xdr:row>
      <xdr:rowOff>89807</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65478</xdr:colOff>
      <xdr:row>260</xdr:row>
      <xdr:rowOff>195657</xdr:rowOff>
    </xdr:from>
    <xdr:to>
      <xdr:col>9</xdr:col>
      <xdr:colOff>640772</xdr:colOff>
      <xdr:row>278</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98071</xdr:colOff>
      <xdr:row>259</xdr:row>
      <xdr:rowOff>164523</xdr:rowOff>
    </xdr:from>
    <xdr:to>
      <xdr:col>19</xdr:col>
      <xdr:colOff>122102</xdr:colOff>
      <xdr:row>278</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15</xdr:col>
      <xdr:colOff>293327</xdr:colOff>
      <xdr:row>318</xdr:row>
      <xdr:rowOff>160627</xdr:rowOff>
    </xdr:from>
    <xdr:to>
      <xdr:col>17</xdr:col>
      <xdr:colOff>513885</xdr:colOff>
      <xdr:row>339</xdr:row>
      <xdr:rowOff>154845</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817686</xdr:colOff>
      <xdr:row>331</xdr:row>
      <xdr:rowOff>17329</xdr:rowOff>
    </xdr:from>
    <xdr:to>
      <xdr:col>14</xdr:col>
      <xdr:colOff>551050</xdr:colOff>
      <xdr:row>343</xdr:row>
      <xdr:rowOff>50875</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5540615" y="66175258"/>
              <a:ext cx="1856078" cy="22106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523278</xdr:colOff>
      <xdr:row>45</xdr:row>
      <xdr:rowOff>87427</xdr:rowOff>
    </xdr:from>
    <xdr:to>
      <xdr:col>11</xdr:col>
      <xdr:colOff>418479</xdr:colOff>
      <xdr:row>57</xdr:row>
      <xdr:rowOff>61111</xdr:rowOff>
    </xdr:to>
    <xdr:grpSp>
      <xdr:nvGrpSpPr>
        <xdr:cNvPr id="7" name="Group 6">
          <a:extLst>
            <a:ext uri="{FF2B5EF4-FFF2-40B4-BE49-F238E27FC236}">
              <a16:creationId xmlns:a16="http://schemas.microsoft.com/office/drawing/2014/main" id="{13515ECA-51AB-46E4-BDFD-0B638F3F293E}"/>
            </a:ext>
          </a:extLst>
        </xdr:cNvPr>
        <xdr:cNvGrpSpPr/>
      </xdr:nvGrpSpPr>
      <xdr:grpSpPr>
        <a:xfrm>
          <a:off x="5902635" y="9104427"/>
          <a:ext cx="8422344" cy="2268755"/>
          <a:chOff x="116973" y="11853785"/>
          <a:chExt cx="6191251" cy="2295015"/>
        </a:xfrm>
      </xdr:grpSpPr>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116973" y="11853785"/>
          <a:ext cx="2927597" cy="2291828"/>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3083093" y="11854908"/>
          <a:ext cx="3225131" cy="2293892"/>
        </xdr:xfrm>
        <a:graphic>
          <a:graphicData uri="http://schemas.openxmlformats.org/drawingml/2006/chart">
            <c:chart xmlns:c="http://schemas.openxmlformats.org/drawingml/2006/chart" xmlns:r="http://schemas.openxmlformats.org/officeDocument/2006/relationships" r:id="rId28"/>
          </a:graphicData>
        </a:graphic>
      </xdr:graphicFrame>
    </xdr:grpSp>
    <xdr:clientData/>
  </xdr:twoCellAnchor>
  <xdr:twoCellAnchor>
    <xdr:from>
      <xdr:col>6</xdr:col>
      <xdr:colOff>250138</xdr:colOff>
      <xdr:row>58</xdr:row>
      <xdr:rowOff>68036</xdr:rowOff>
    </xdr:from>
    <xdr:to>
      <xdr:col>9</xdr:col>
      <xdr:colOff>885421</xdr:colOff>
      <xdr:row>69</xdr:row>
      <xdr:rowOff>151807</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20</xdr:col>
      <xdr:colOff>752928</xdr:colOff>
      <xdr:row>43</xdr:row>
      <xdr:rowOff>50610</xdr:rowOff>
    </xdr:from>
    <xdr:to>
      <xdr:col>22</xdr:col>
      <xdr:colOff>549059</xdr:colOff>
      <xdr:row>55</xdr:row>
      <xdr:rowOff>95967</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22</xdr:col>
      <xdr:colOff>563817</xdr:colOff>
      <xdr:row>43</xdr:row>
      <xdr:rowOff>54428</xdr:rowOff>
    </xdr:from>
    <xdr:to>
      <xdr:col>25</xdr:col>
      <xdr:colOff>523279</xdr:colOff>
      <xdr:row>55</xdr:row>
      <xdr:rowOff>92517</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782338</xdr:colOff>
      <xdr:row>55</xdr:row>
      <xdr:rowOff>181916</xdr:rowOff>
    </xdr:from>
    <xdr:to>
      <xdr:col>24</xdr:col>
      <xdr:colOff>130583</xdr:colOff>
      <xdr:row>67</xdr:row>
      <xdr:rowOff>122226</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764147</xdr:colOff>
      <xdr:row>241</xdr:row>
      <xdr:rowOff>121939</xdr:rowOff>
    </xdr:from>
    <xdr:to>
      <xdr:col>9</xdr:col>
      <xdr:colOff>274686</xdr:colOff>
      <xdr:row>256</xdr:row>
      <xdr:rowOff>130404</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1070293</xdr:colOff>
      <xdr:row>242</xdr:row>
      <xdr:rowOff>47898</xdr:rowOff>
    </xdr:from>
    <xdr:to>
      <xdr:col>15</xdr:col>
      <xdr:colOff>169333</xdr:colOff>
      <xdr:row>257</xdr:row>
      <xdr:rowOff>25306</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737135</xdr:colOff>
      <xdr:row>113</xdr:row>
      <xdr:rowOff>117375</xdr:rowOff>
    </xdr:from>
    <xdr:to>
      <xdr:col>17</xdr:col>
      <xdr:colOff>554789</xdr:colOff>
      <xdr:row>126</xdr:row>
      <xdr:rowOff>147855</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21</xdr:col>
      <xdr:colOff>1018540</xdr:colOff>
      <xdr:row>124</xdr:row>
      <xdr:rowOff>41843</xdr:rowOff>
    </xdr:from>
    <xdr:to>
      <xdr:col>26</xdr:col>
      <xdr:colOff>13302</xdr:colOff>
      <xdr:row>134</xdr:row>
      <xdr:rowOff>463349</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673675</xdr:colOff>
      <xdr:row>215</xdr:row>
      <xdr:rowOff>58486</xdr:rowOff>
    </xdr:from>
    <xdr:to>
      <xdr:col>14</xdr:col>
      <xdr:colOff>161140</xdr:colOff>
      <xdr:row>227</xdr:row>
      <xdr:rowOff>130342</xdr:rowOff>
    </xdr:to>
    <xdr:graphicFrame macro="">
      <xdr:nvGraphicFramePr>
        <xdr:cNvPr id="6" name="Chart 5">
          <a:extLst>
            <a:ext uri="{FF2B5EF4-FFF2-40B4-BE49-F238E27FC236}">
              <a16:creationId xmlns:a16="http://schemas.microsoft.com/office/drawing/2014/main" id="{2127CB1B-CF52-4934-9A31-67D012EED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37</xdr:col>
      <xdr:colOff>385535</xdr:colOff>
      <xdr:row>119</xdr:row>
      <xdr:rowOff>20863</xdr:rowOff>
    </xdr:from>
    <xdr:to>
      <xdr:col>44</xdr:col>
      <xdr:colOff>99786</xdr:colOff>
      <xdr:row>132</xdr:row>
      <xdr:rowOff>344714</xdr:rowOff>
    </xdr:to>
    <xdr:graphicFrame macro="">
      <xdr:nvGraphicFramePr>
        <xdr:cNvPr id="2" name="Chart 1">
          <a:extLst>
            <a:ext uri="{FF2B5EF4-FFF2-40B4-BE49-F238E27FC236}">
              <a16:creationId xmlns:a16="http://schemas.microsoft.com/office/drawing/2014/main" id="{0D1B7F5B-1385-45C1-80CD-6E269BEB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349250</xdr:colOff>
      <xdr:row>133</xdr:row>
      <xdr:rowOff>329293</xdr:rowOff>
    </xdr:from>
    <xdr:to>
      <xdr:col>43</xdr:col>
      <xdr:colOff>358321</xdr:colOff>
      <xdr:row>147</xdr:row>
      <xdr:rowOff>27214</xdr:rowOff>
    </xdr:to>
    <xdr:graphicFrame macro="">
      <xdr:nvGraphicFramePr>
        <xdr:cNvPr id="5" name="Chart 4">
          <a:extLst>
            <a:ext uri="{FF2B5EF4-FFF2-40B4-BE49-F238E27FC236}">
              <a16:creationId xmlns:a16="http://schemas.microsoft.com/office/drawing/2014/main" id="{E6BD2C48-5C12-40E5-B489-62254BFEC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xdr:col>
      <xdr:colOff>655291</xdr:colOff>
      <xdr:row>403</xdr:row>
      <xdr:rowOff>46290</xdr:rowOff>
    </xdr:from>
    <xdr:to>
      <xdr:col>8</xdr:col>
      <xdr:colOff>762000</xdr:colOff>
      <xdr:row>418</xdr:row>
      <xdr:rowOff>47055</xdr:rowOff>
    </xdr:to>
    <xdr:graphicFrame macro="">
      <xdr:nvGraphicFramePr>
        <xdr:cNvPr id="26" name="Chart 25">
          <a:extLst>
            <a:ext uri="{FF2B5EF4-FFF2-40B4-BE49-F238E27FC236}">
              <a16:creationId xmlns:a16="http://schemas.microsoft.com/office/drawing/2014/main" id="{91A5155A-7E4E-439A-81E1-09D1A5B52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632614</xdr:colOff>
      <xdr:row>419</xdr:row>
      <xdr:rowOff>2005</xdr:rowOff>
    </xdr:from>
    <xdr:to>
      <xdr:col>8</xdr:col>
      <xdr:colOff>786828</xdr:colOff>
      <xdr:row>433</xdr:row>
      <xdr:rowOff>142183</xdr:rowOff>
    </xdr:to>
    <xdr:graphicFrame macro="">
      <xdr:nvGraphicFramePr>
        <xdr:cNvPr id="32" name="Chart 31">
          <a:extLst>
            <a:ext uri="{FF2B5EF4-FFF2-40B4-BE49-F238E27FC236}">
              <a16:creationId xmlns:a16="http://schemas.microsoft.com/office/drawing/2014/main" id="{24710C20-E08A-407F-B39D-D123BFA1C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19</xdr:col>
      <xdr:colOff>517071</xdr:colOff>
      <xdr:row>5</xdr:row>
      <xdr:rowOff>129722</xdr:rowOff>
    </xdr:from>
    <xdr:to>
      <xdr:col>22</xdr:col>
      <xdr:colOff>27214</xdr:colOff>
      <xdr:row>17</xdr:row>
      <xdr:rowOff>36286</xdr:rowOff>
    </xdr:to>
    <xdr:graphicFrame macro="">
      <xdr:nvGraphicFramePr>
        <xdr:cNvPr id="33" name="Chart 32">
          <a:extLst>
            <a:ext uri="{FF2B5EF4-FFF2-40B4-BE49-F238E27FC236}">
              <a16:creationId xmlns:a16="http://schemas.microsoft.com/office/drawing/2014/main" id="{2CD75C80-BE57-47D0-B1AA-8330055E8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7</xdr:col>
      <xdr:colOff>539750</xdr:colOff>
      <xdr:row>456</xdr:row>
      <xdr:rowOff>138792</xdr:rowOff>
    </xdr:from>
    <xdr:to>
      <xdr:col>7</xdr:col>
      <xdr:colOff>2368550</xdr:colOff>
      <xdr:row>473</xdr:row>
      <xdr:rowOff>54876</xdr:rowOff>
    </xdr:to>
    <mc:AlternateContent xmlns:mc="http://schemas.openxmlformats.org/markup-compatibility/2006" xmlns:a14="http://schemas.microsoft.com/office/drawing/2010/main">
      <mc:Choice Requires="a14">
        <xdr:graphicFrame macro="">
          <xdr:nvGraphicFramePr>
            <xdr:cNvPr id="8" name="Township 3">
              <a:extLst>
                <a:ext uri="{FF2B5EF4-FFF2-40B4-BE49-F238E27FC236}">
                  <a16:creationId xmlns:a16="http://schemas.microsoft.com/office/drawing/2014/main" id="{2A53C130-B48F-475B-9DD9-BE933A4358C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7524750" y="91633221"/>
              <a:ext cx="1828800" cy="30003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512535</xdr:colOff>
      <xdr:row>449</xdr:row>
      <xdr:rowOff>12700</xdr:rowOff>
    </xdr:from>
    <xdr:to>
      <xdr:col>7</xdr:col>
      <xdr:colOff>2341335</xdr:colOff>
      <xdr:row>457</xdr:row>
      <xdr:rowOff>18143</xdr:rowOff>
    </xdr:to>
    <mc:AlternateContent xmlns:mc="http://schemas.openxmlformats.org/markup-compatibility/2006" xmlns:a14="http://schemas.microsoft.com/office/drawing/2010/main">
      <mc:Choice Requires="a14">
        <xdr:graphicFrame macro="">
          <xdr:nvGraphicFramePr>
            <xdr:cNvPr id="34" name="State 4">
              <a:extLst>
                <a:ext uri="{FF2B5EF4-FFF2-40B4-BE49-F238E27FC236}">
                  <a16:creationId xmlns:a16="http://schemas.microsoft.com/office/drawing/2014/main" id="{823403A2-A951-40DD-B44A-79A83390A2D9}"/>
                </a:ext>
              </a:extLst>
            </xdr:cNvPr>
            <xdr:cNvGraphicFramePr/>
          </xdr:nvGraphicFramePr>
          <xdr:xfrm>
            <a:off x="0" y="0"/>
            <a:ext cx="0" cy="0"/>
          </xdr:xfrm>
          <a:graphic>
            <a:graphicData uri="http://schemas.microsoft.com/office/drawing/2010/slicer">
              <sle:slicer xmlns:sle="http://schemas.microsoft.com/office/drawing/2010/slicer" name="State 4"/>
            </a:graphicData>
          </a:graphic>
        </xdr:graphicFrame>
      </mc:Choice>
      <mc:Fallback xmlns="">
        <xdr:sp macro="" textlink="">
          <xdr:nvSpPr>
            <xdr:cNvPr id="0" name=""/>
            <xdr:cNvSpPr>
              <a:spLocks noTextEdit="1"/>
            </xdr:cNvSpPr>
          </xdr:nvSpPr>
          <xdr:spPr>
            <a:xfrm>
              <a:off x="7497535" y="90164557"/>
              <a:ext cx="1828800" cy="15294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666750</xdr:colOff>
      <xdr:row>458</xdr:row>
      <xdr:rowOff>154214</xdr:rowOff>
    </xdr:from>
    <xdr:to>
      <xdr:col>7</xdr:col>
      <xdr:colOff>2495550</xdr:colOff>
      <xdr:row>475</xdr:row>
      <xdr:rowOff>70298</xdr:rowOff>
    </xdr:to>
    <mc:AlternateContent xmlns:mc="http://schemas.openxmlformats.org/markup-compatibility/2006" xmlns:a14="http://schemas.microsoft.com/office/drawing/2010/main">
      <mc:Choice Requires="a14">
        <xdr:graphicFrame macro="">
          <xdr:nvGraphicFramePr>
            <xdr:cNvPr id="35" name="WASH project agency 1">
              <a:extLst>
                <a:ext uri="{FF2B5EF4-FFF2-40B4-BE49-F238E27FC236}">
                  <a16:creationId xmlns:a16="http://schemas.microsoft.com/office/drawing/2014/main" id="{BDAA6529-ED15-4F1B-A8A9-2DEFFFCD1C9C}"/>
                </a:ext>
              </a:extLst>
            </xdr:cNvPr>
            <xdr:cNvGraphicFramePr/>
          </xdr:nvGraphicFramePr>
          <xdr:xfrm>
            <a:off x="0" y="0"/>
            <a:ext cx="0" cy="0"/>
          </xdr:xfrm>
          <a:graphic>
            <a:graphicData uri="http://schemas.microsoft.com/office/drawing/2010/slicer">
              <sle:slicer xmlns:sle="http://schemas.microsoft.com/office/drawing/2010/slicer" name="WASH project agency 1"/>
            </a:graphicData>
          </a:graphic>
        </xdr:graphicFrame>
      </mc:Choice>
      <mc:Fallback xmlns="">
        <xdr:sp macro="" textlink="">
          <xdr:nvSpPr>
            <xdr:cNvPr id="0" name=""/>
            <xdr:cNvSpPr>
              <a:spLocks noTextEdit="1"/>
            </xdr:cNvSpPr>
          </xdr:nvSpPr>
          <xdr:spPr>
            <a:xfrm>
              <a:off x="7651750" y="92011500"/>
              <a:ext cx="1828800" cy="30003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1</xdr:col>
      <xdr:colOff>79681</xdr:colOff>
      <xdr:row>85</xdr:row>
      <xdr:rowOff>126118</xdr:rowOff>
    </xdr:from>
    <xdr:to>
      <xdr:col>7</xdr:col>
      <xdr:colOff>896937</xdr:colOff>
      <xdr:row>96</xdr:row>
      <xdr:rowOff>63500</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71403" y="18675174"/>
          <a:ext cx="7181367" cy="2110493"/>
          <a:chOff x="-24494074" y="6972935"/>
          <a:chExt cx="9921636" cy="921154"/>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4" y="6972935"/>
          <a:ext cx="9921636" cy="92115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59210</xdr:colOff>
      <xdr:row>54</xdr:row>
      <xdr:rowOff>21440</xdr:rowOff>
    </xdr:from>
    <xdr:to>
      <xdr:col>19</xdr:col>
      <xdr:colOff>341150</xdr:colOff>
      <xdr:row>55</xdr:row>
      <xdr:rowOff>152069</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7452424" y="13410869"/>
          <a:ext cx="9226369"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8</xdr:col>
      <xdr:colOff>73101</xdr:colOff>
      <xdr:row>82</xdr:row>
      <xdr:rowOff>193626</xdr:rowOff>
    </xdr:from>
    <xdr:to>
      <xdr:col>19</xdr:col>
      <xdr:colOff>355041</xdr:colOff>
      <xdr:row>85</xdr:row>
      <xdr:rowOff>53246</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7454976" y="18013314"/>
          <a:ext cx="9211628" cy="454932"/>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67610</xdr:colOff>
      <xdr:row>38</xdr:row>
      <xdr:rowOff>117479</xdr:rowOff>
    </xdr:from>
    <xdr:to>
      <xdr:col>19</xdr:col>
      <xdr:colOff>349550</xdr:colOff>
      <xdr:row>41</xdr:row>
      <xdr:rowOff>26992</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7449485" y="7729542"/>
          <a:ext cx="9211628"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1</xdr:col>
      <xdr:colOff>81206</xdr:colOff>
      <xdr:row>96</xdr:row>
      <xdr:rowOff>104588</xdr:rowOff>
    </xdr:from>
    <xdr:to>
      <xdr:col>7</xdr:col>
      <xdr:colOff>904874</xdr:colOff>
      <xdr:row>105</xdr:row>
      <xdr:rowOff>214313</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62268</xdr:colOff>
      <xdr:row>41</xdr:row>
      <xdr:rowOff>97140</xdr:rowOff>
    </xdr:from>
    <xdr:to>
      <xdr:col>19</xdr:col>
      <xdr:colOff>308891</xdr:colOff>
      <xdr:row>53</xdr:row>
      <xdr:rowOff>172357</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7442379" y="8507362"/>
          <a:ext cx="9171901" cy="2975051"/>
          <a:chOff x="6497086" y="7543800"/>
          <a:chExt cx="9200114" cy="2924176"/>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53069"/>
          <a:ext cx="3094589" cy="290848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5" y="7543801"/>
          <a:ext cx="3200400" cy="2924174"/>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800"/>
          <a:ext cx="2847975" cy="2924176"/>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a:off x="10827522" y="8735474"/>
            <a:ext cx="692354" cy="561974"/>
          </a:xfrm>
          <a:prstGeom prst="bentConnector3">
            <a:avLst>
              <a:gd name="adj1" fmla="val 100575"/>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52386</xdr:colOff>
      <xdr:row>1</xdr:row>
      <xdr:rowOff>38100</xdr:rowOff>
    </xdr:from>
    <xdr:to>
      <xdr:col>19</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68036</xdr:colOff>
      <xdr:row>85</xdr:row>
      <xdr:rowOff>67848</xdr:rowOff>
    </xdr:from>
    <xdr:to>
      <xdr:col>19</xdr:col>
      <xdr:colOff>327741</xdr:colOff>
      <xdr:row>105</xdr:row>
      <xdr:rowOff>170923</xdr:rowOff>
    </xdr:to>
    <xdr:grpSp>
      <xdr:nvGrpSpPr>
        <xdr:cNvPr id="8" name="Group 7">
          <a:extLst>
            <a:ext uri="{FF2B5EF4-FFF2-40B4-BE49-F238E27FC236}">
              <a16:creationId xmlns:a16="http://schemas.microsoft.com/office/drawing/2014/main" id="{11483734-8CB3-436C-98DF-5D5348F702D6}"/>
            </a:ext>
          </a:extLst>
        </xdr:cNvPr>
        <xdr:cNvGrpSpPr/>
      </xdr:nvGrpSpPr>
      <xdr:grpSpPr>
        <a:xfrm>
          <a:off x="7448147" y="18616904"/>
          <a:ext cx="9184983" cy="4054186"/>
          <a:chOff x="7270750" y="17596823"/>
          <a:chExt cx="9204134" cy="2520687"/>
        </a:xfrm>
      </xdr:grpSpPr>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7270750" y="17608618"/>
          <a:ext cx="3131639" cy="249719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10450285" y="17608096"/>
          <a:ext cx="3003913" cy="250326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13510284" y="17596823"/>
          <a:ext cx="2964600" cy="2520687"/>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xdr:col>
      <xdr:colOff>83652</xdr:colOff>
      <xdr:row>65</xdr:row>
      <xdr:rowOff>168098</xdr:rowOff>
    </xdr:from>
    <xdr:to>
      <xdr:col>8</xdr:col>
      <xdr:colOff>12850</xdr:colOff>
      <xdr:row>69</xdr:row>
      <xdr:rowOff>33338</xdr:rowOff>
    </xdr:to>
    <xdr:sp macro="" textlink="">
      <xdr:nvSpPr>
        <xdr:cNvPr id="49" name="Rectangle 48">
          <a:extLst>
            <a:ext uri="{FF2B5EF4-FFF2-40B4-BE49-F238E27FC236}">
              <a16:creationId xmlns:a16="http://schemas.microsoft.com/office/drawing/2014/main" id="{7BFCD4FB-C0B5-484B-ACB5-76E10B533C7D}"/>
            </a:ext>
          </a:extLst>
        </xdr:cNvPr>
        <xdr:cNvSpPr/>
      </xdr:nvSpPr>
      <xdr:spPr>
        <a:xfrm>
          <a:off x="170965" y="14511161"/>
          <a:ext cx="7223760" cy="658990"/>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MHF, SIDA, UNICEF, UNOPS</a:t>
          </a:r>
        </a:p>
      </xdr:txBody>
    </xdr:sp>
    <xdr:clientData/>
  </xdr:twoCellAnchor>
  <xdr:twoCellAnchor>
    <xdr:from>
      <xdr:col>1</xdr:col>
      <xdr:colOff>7697</xdr:colOff>
      <xdr:row>1</xdr:row>
      <xdr:rowOff>46075</xdr:rowOff>
    </xdr:from>
    <xdr:to>
      <xdr:col>8</xdr:col>
      <xdr:colOff>25529</xdr:colOff>
      <xdr:row>21</xdr:row>
      <xdr:rowOff>115697</xdr:rowOff>
    </xdr:to>
    <xdr:graphicFrame macro="">
      <xdr:nvGraphicFramePr>
        <xdr:cNvPr id="45" name="Chart 44">
          <a:extLst>
            <a:ext uri="{FF2B5EF4-FFF2-40B4-BE49-F238E27FC236}">
              <a16:creationId xmlns:a16="http://schemas.microsoft.com/office/drawing/2014/main" id="{128EB93A-D761-40C7-98C1-A9D91E8C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63502</xdr:colOff>
      <xdr:row>55</xdr:row>
      <xdr:rowOff>79064</xdr:rowOff>
    </xdr:from>
    <xdr:to>
      <xdr:col>19</xdr:col>
      <xdr:colOff>317500</xdr:colOff>
      <xdr:row>82</xdr:row>
      <xdr:rowOff>119062</xdr:rowOff>
    </xdr:to>
    <xdr:grpSp>
      <xdr:nvGrpSpPr>
        <xdr:cNvPr id="2" name="Group 1">
          <a:extLst>
            <a:ext uri="{FF2B5EF4-FFF2-40B4-BE49-F238E27FC236}">
              <a16:creationId xmlns:a16="http://schemas.microsoft.com/office/drawing/2014/main" id="{8FCB4A4B-E66F-4156-A942-7EC04951706D}"/>
            </a:ext>
          </a:extLst>
        </xdr:cNvPr>
        <xdr:cNvGrpSpPr/>
      </xdr:nvGrpSpPr>
      <xdr:grpSpPr>
        <a:xfrm>
          <a:off x="7443613" y="11911231"/>
          <a:ext cx="9179276" cy="6164220"/>
          <a:chOff x="7266216" y="11436493"/>
          <a:chExt cx="9198427" cy="5608721"/>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3578506" y="15205605"/>
          <a:ext cx="2886137" cy="18288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592014" y="13324563"/>
          <a:ext cx="2847681" cy="182880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0743865" y="13332487"/>
          <a:ext cx="2743200" cy="18288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10727970" y="15201597"/>
          <a:ext cx="2750995" cy="18288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3597391" y="11436493"/>
          <a:ext cx="2847681" cy="183515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10745067" y="11445565"/>
          <a:ext cx="2743200" cy="18288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6" name="Chart 45">
            <a:extLst>
              <a:ext uri="{FF2B5EF4-FFF2-40B4-BE49-F238E27FC236}">
                <a16:creationId xmlns:a16="http://schemas.microsoft.com/office/drawing/2014/main" id="{C6A6BC89-97F6-44BB-B559-24294095819B}"/>
              </a:ext>
            </a:extLst>
          </xdr:cNvPr>
          <xdr:cNvGraphicFramePr>
            <a:graphicFrameLocks/>
          </xdr:cNvGraphicFramePr>
        </xdr:nvGraphicFramePr>
        <xdr:xfrm>
          <a:off x="7266216" y="11448142"/>
          <a:ext cx="3383280" cy="5597072"/>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8</xdr:col>
      <xdr:colOff>80961</xdr:colOff>
      <xdr:row>21</xdr:row>
      <xdr:rowOff>130174</xdr:rowOff>
    </xdr:from>
    <xdr:to>
      <xdr:col>19</xdr:col>
      <xdr:colOff>279399</xdr:colOff>
      <xdr:row>38</xdr:row>
      <xdr:rowOff>57150</xdr:rowOff>
    </xdr:to>
    <xdr:graphicFrame macro="">
      <xdr:nvGraphicFramePr>
        <xdr:cNvPr id="52" name="Chart 51">
          <a:extLst>
            <a:ext uri="{FF2B5EF4-FFF2-40B4-BE49-F238E27FC236}">
              <a16:creationId xmlns:a16="http://schemas.microsoft.com/office/drawing/2014/main" id="{8A553494-1F74-4643-A146-E0A82E9B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69895</xdr:colOff>
      <xdr:row>18</xdr:row>
      <xdr:rowOff>58330</xdr:rowOff>
    </xdr:from>
    <xdr:to>
      <xdr:col>25</xdr:col>
      <xdr:colOff>400486</xdr:colOff>
      <xdr:row>22</xdr:row>
      <xdr:rowOff>113464</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890EB8F2-86A5-4091-83A7-C653522F231C}"/>
            </a:ext>
          </a:extLst>
        </xdr:cNvPr>
        <xdr:cNvSpPr txBox="1"/>
      </xdr:nvSpPr>
      <xdr:spPr>
        <a:xfrm>
          <a:off x="18149252" y="3686901"/>
          <a:ext cx="1564305" cy="780849"/>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14</xdr:col>
      <xdr:colOff>563562</xdr:colOff>
      <xdr:row>48</xdr:row>
      <xdr:rowOff>388937</xdr:rowOff>
    </xdr:from>
    <xdr:to>
      <xdr:col>15</xdr:col>
      <xdr:colOff>1068614</xdr:colOff>
      <xdr:row>53</xdr:row>
      <xdr:rowOff>153398</xdr:rowOff>
    </xdr:to>
    <xdr:graphicFrame macro="">
      <xdr:nvGraphicFramePr>
        <xdr:cNvPr id="50" name="Chart 49">
          <a:extLst>
            <a:ext uri="{FF2B5EF4-FFF2-40B4-BE49-F238E27FC236}">
              <a16:creationId xmlns:a16="http://schemas.microsoft.com/office/drawing/2014/main" id="{F499DDC2-7DD8-4B65-B67F-66C1AC7BC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1484313</xdr:colOff>
      <xdr:row>48</xdr:row>
      <xdr:rowOff>230188</xdr:rowOff>
    </xdr:from>
    <xdr:to>
      <xdr:col>19</xdr:col>
      <xdr:colOff>293913</xdr:colOff>
      <xdr:row>53</xdr:row>
      <xdr:rowOff>150813</xdr:rowOff>
    </xdr:to>
    <xdr:graphicFrame macro="">
      <xdr:nvGraphicFramePr>
        <xdr:cNvPr id="51" name="Chart 50">
          <a:extLst>
            <a:ext uri="{FF2B5EF4-FFF2-40B4-BE49-F238E27FC236}">
              <a16:creationId xmlns:a16="http://schemas.microsoft.com/office/drawing/2014/main" id="{926C9612-0381-48CF-B180-8D6E34D08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495120</xdr:colOff>
      <xdr:row>5</xdr:row>
      <xdr:rowOff>143873</xdr:rowOff>
    </xdr:from>
    <xdr:to>
      <xdr:col>17</xdr:col>
      <xdr:colOff>497968</xdr:colOff>
      <xdr:row>15</xdr:row>
      <xdr:rowOff>32469</xdr:rowOff>
    </xdr:to>
    <xdr:sp macro="" textlink="">
      <xdr:nvSpPr>
        <xdr:cNvPr id="54" name="TextBox 53">
          <a:hlinkClick xmlns:r="http://schemas.openxmlformats.org/officeDocument/2006/relationships" r:id="rId22"/>
          <a:extLst>
            <a:ext uri="{FF2B5EF4-FFF2-40B4-BE49-F238E27FC236}">
              <a16:creationId xmlns:a16="http://schemas.microsoft.com/office/drawing/2014/main" id="{A1FAA943-758B-4379-823D-78A54CCC4B88}"/>
            </a:ext>
          </a:extLst>
        </xdr:cNvPr>
        <xdr:cNvSpPr txBox="1"/>
      </xdr:nvSpPr>
      <xdr:spPr>
        <a:xfrm>
          <a:off x="8577763" y="1413873"/>
          <a:ext cx="6878991" cy="170288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visits in Q1.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1</xdr:col>
      <xdr:colOff>91722</xdr:colOff>
      <xdr:row>47</xdr:row>
      <xdr:rowOff>119061</xdr:rowOff>
    </xdr:from>
    <xdr:to>
      <xdr:col>8</xdr:col>
      <xdr:colOff>0</xdr:colOff>
      <xdr:row>56</xdr:row>
      <xdr:rowOff>143072</xdr:rowOff>
    </xdr:to>
    <xdr:graphicFrame macro="">
      <xdr:nvGraphicFramePr>
        <xdr:cNvPr id="55" name="Chart 54">
          <a:extLst>
            <a:ext uri="{FF2B5EF4-FFF2-40B4-BE49-F238E27FC236}">
              <a16:creationId xmlns:a16="http://schemas.microsoft.com/office/drawing/2014/main" id="{9248CA50-9DE6-40FF-8B76-F484C0B24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87312</xdr:colOff>
      <xdr:row>57</xdr:row>
      <xdr:rowOff>14002</xdr:rowOff>
    </xdr:from>
    <xdr:to>
      <xdr:col>8</xdr:col>
      <xdr:colOff>16510</xdr:colOff>
      <xdr:row>65</xdr:row>
      <xdr:rowOff>71372</xdr:rowOff>
    </xdr:to>
    <xdr:graphicFrame macro="">
      <xdr:nvGraphicFramePr>
        <xdr:cNvPr id="56" name="Chart 55">
          <a:extLst>
            <a:ext uri="{FF2B5EF4-FFF2-40B4-BE49-F238E27FC236}">
              <a16:creationId xmlns:a16="http://schemas.microsoft.com/office/drawing/2014/main" id="{57D3EE5C-57E3-42FC-81BF-8C0A18E47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87313</xdr:colOff>
      <xdr:row>69</xdr:row>
      <xdr:rowOff>142874</xdr:rowOff>
    </xdr:from>
    <xdr:to>
      <xdr:col>8</xdr:col>
      <xdr:colOff>15875</xdr:colOff>
      <xdr:row>84</xdr:row>
      <xdr:rowOff>154163</xdr:rowOff>
    </xdr:to>
    <xdr:graphicFrame macro="">
      <xdr:nvGraphicFramePr>
        <xdr:cNvPr id="57" name="Chart 56">
          <a:extLst>
            <a:ext uri="{FF2B5EF4-FFF2-40B4-BE49-F238E27FC236}">
              <a16:creationId xmlns:a16="http://schemas.microsoft.com/office/drawing/2014/main" id="{FFFA06DD-1921-45F5-A69B-52E121BB2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31749</xdr:colOff>
      <xdr:row>21</xdr:row>
      <xdr:rowOff>142875</xdr:rowOff>
    </xdr:from>
    <xdr:to>
      <xdr:col>8</xdr:col>
      <xdr:colOff>15874</xdr:colOff>
      <xdr:row>33</xdr:row>
      <xdr:rowOff>15875</xdr:rowOff>
    </xdr:to>
    <xdr:graphicFrame macro="">
      <xdr:nvGraphicFramePr>
        <xdr:cNvPr id="37" name="Chart 36">
          <a:extLst>
            <a:ext uri="{FF2B5EF4-FFF2-40B4-BE49-F238E27FC236}">
              <a16:creationId xmlns:a16="http://schemas.microsoft.com/office/drawing/2014/main" id="{108F50CE-207D-485D-B67D-EF75D2986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0.3324</cdr:x>
      <cdr:y>0.32211</cdr:y>
    </cdr:from>
    <cdr:to>
      <cdr:x>0.53638</cdr:x>
      <cdr:y>0.55937</cdr:y>
    </cdr:to>
    <cdr:cxnSp macro="">
      <cdr:nvCxnSpPr>
        <cdr:cNvPr id="2" name="Connector: Elbow 1">
          <a:extLst xmlns:a="http://schemas.openxmlformats.org/drawingml/2006/main">
            <a:ext uri="{FF2B5EF4-FFF2-40B4-BE49-F238E27FC236}">
              <a16:creationId xmlns:a16="http://schemas.microsoft.com/office/drawing/2014/main" id="{00000000-0008-0000-0C00-000026000000}"/>
            </a:ext>
          </a:extLst>
        </cdr:cNvPr>
        <cdr:cNvCxnSpPr/>
      </cdr:nvCxnSpPr>
      <cdr:spPr>
        <a:xfrm xmlns:a="http://schemas.openxmlformats.org/drawingml/2006/main" rot="16200000" flipH="1">
          <a:off x="837061" y="1184768"/>
          <a:ext cx="793750" cy="579434"/>
        </a:xfrm>
        <a:prstGeom xmlns:a="http://schemas.openxmlformats.org/drawingml/2006/main" prst="bentConnector3">
          <a:avLst>
            <a:gd name="adj1" fmla="val 2000"/>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0.91065</cdr:x>
      <cdr:y>0.46272</cdr:y>
    </cdr:from>
    <cdr:to>
      <cdr:x>1</cdr:x>
      <cdr:y>0.54001</cdr:y>
    </cdr:to>
    <cdr:sp macro="" textlink="">
      <cdr:nvSpPr>
        <cdr:cNvPr id="2" name="TextBox 1">
          <a:extLst xmlns:a="http://schemas.openxmlformats.org/drawingml/2006/main">
            <a:ext uri="{FF2B5EF4-FFF2-40B4-BE49-F238E27FC236}">
              <a16:creationId xmlns:a16="http://schemas.microsoft.com/office/drawing/2014/main" id="{D0401FE3-99FC-4314-9FE7-9029D687D8CD}"/>
            </a:ext>
          </a:extLst>
        </cdr:cNvPr>
        <cdr:cNvSpPr txBox="1"/>
      </cdr:nvSpPr>
      <cdr:spPr>
        <a:xfrm xmlns:a="http://schemas.openxmlformats.org/drawingml/2006/main">
          <a:off x="6656766" y="1574800"/>
          <a:ext cx="653143" cy="263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+4,297</a:t>
          </a:r>
        </a:p>
      </cdr:txBody>
    </cdr:sp>
  </cdr:relSizeAnchor>
  <cdr:relSizeAnchor xmlns:cdr="http://schemas.openxmlformats.org/drawingml/2006/chartDrawing">
    <cdr:from>
      <cdr:x>0.91065</cdr:x>
      <cdr:y>0.19684</cdr:y>
    </cdr:from>
    <cdr:to>
      <cdr:x>1</cdr:x>
      <cdr:y>0.27414</cdr:y>
    </cdr:to>
    <cdr:sp macro="" textlink="">
      <cdr:nvSpPr>
        <cdr:cNvPr id="3" name="TextBox 1">
          <a:extLst xmlns:a="http://schemas.openxmlformats.org/drawingml/2006/main">
            <a:ext uri="{FF2B5EF4-FFF2-40B4-BE49-F238E27FC236}">
              <a16:creationId xmlns:a16="http://schemas.microsoft.com/office/drawing/2014/main" id="{21D05170-AF9D-42EC-8567-C684F76FE98F}"/>
            </a:ext>
          </a:extLst>
        </cdr:cNvPr>
        <cdr:cNvSpPr txBox="1"/>
      </cdr:nvSpPr>
      <cdr:spPr>
        <a:xfrm xmlns:a="http://schemas.openxmlformats.org/drawingml/2006/main">
          <a:off x="6656766" y="669925"/>
          <a:ext cx="653143" cy="263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+4,616</a:t>
          </a: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18522</xdr:colOff>
      <xdr:row>13</xdr:row>
      <xdr:rowOff>132291</xdr:rowOff>
    </xdr:from>
    <xdr:to>
      <xdr:col>19</xdr:col>
      <xdr:colOff>431271</xdr:colOff>
      <xdr:row>29</xdr:row>
      <xdr:rowOff>19792</xdr:rowOff>
    </xdr:to>
    <xdr:graphicFrame macro="">
      <xdr:nvGraphicFramePr>
        <xdr:cNvPr id="37" name="Chart 36">
          <a:extLst>
            <a:ext uri="{FF2B5EF4-FFF2-40B4-BE49-F238E27FC236}">
              <a16:creationId xmlns:a16="http://schemas.microsoft.com/office/drawing/2014/main" id="{FCF7F68B-AFB3-495C-8C74-398E2D328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55562</xdr:colOff>
      <xdr:row>44</xdr:row>
      <xdr:rowOff>134936</xdr:rowOff>
    </xdr:from>
    <xdr:to>
      <xdr:col>13</xdr:col>
      <xdr:colOff>238125</xdr:colOff>
      <xdr:row>67</xdr:row>
      <xdr:rowOff>7937</xdr:rowOff>
    </xdr:to>
    <xdr:graphicFrame macro="">
      <xdr:nvGraphicFramePr>
        <xdr:cNvPr id="47" name="Chart 46">
          <a:extLst>
            <a:ext uri="{FF2B5EF4-FFF2-40B4-BE49-F238E27FC236}">
              <a16:creationId xmlns:a16="http://schemas.microsoft.com/office/drawing/2014/main" id="{1F856886-582C-43DC-A46D-40015BDE4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81435</xdr:colOff>
      <xdr:row>87</xdr:row>
      <xdr:rowOff>135384</xdr:rowOff>
    </xdr:from>
    <xdr:to>
      <xdr:col>8</xdr:col>
      <xdr:colOff>41218</xdr:colOff>
      <xdr:row>101</xdr:row>
      <xdr:rowOff>131948</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81435" y="18690579"/>
          <a:ext cx="7365367" cy="2767473"/>
          <a:chOff x="9960462" y="4190884"/>
          <a:chExt cx="5675772"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2" y="4190884"/>
          <a:ext cx="5675772" cy="18129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TextBox 8">
            <a:hlinkClick xmlns:r="http://schemas.openxmlformats.org/officeDocument/2006/relationships" r:id="rId4"/>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9</xdr:col>
      <xdr:colOff>35927</xdr:colOff>
      <xdr:row>29</xdr:row>
      <xdr:rowOff>122878</xdr:rowOff>
    </xdr:from>
    <xdr:to>
      <xdr:col>19</xdr:col>
      <xdr:colOff>489744</xdr:colOff>
      <xdr:row>31</xdr:row>
      <xdr:rowOff>118260</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532226" y="5912099"/>
          <a:ext cx="9335570"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9</xdr:col>
      <xdr:colOff>10121</xdr:colOff>
      <xdr:row>42</xdr:row>
      <xdr:rowOff>107206</xdr:rowOff>
    </xdr:from>
    <xdr:to>
      <xdr:col>19</xdr:col>
      <xdr:colOff>466354</xdr:colOff>
      <xdr:row>44</xdr:row>
      <xdr:rowOff>86094</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7506420" y="8997206"/>
          <a:ext cx="9337986"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9</xdr:col>
      <xdr:colOff>3019</xdr:colOff>
      <xdr:row>67</xdr:row>
      <xdr:rowOff>52688</xdr:rowOff>
    </xdr:from>
    <xdr:to>
      <xdr:col>19</xdr:col>
      <xdr:colOff>471439</xdr:colOff>
      <xdr:row>69</xdr:row>
      <xdr:rowOff>115750</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6901428" y="15331173"/>
          <a:ext cx="9358420" cy="467153"/>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8</xdr:col>
      <xdr:colOff>94192</xdr:colOff>
      <xdr:row>87</xdr:row>
      <xdr:rowOff>128988</xdr:rowOff>
    </xdr:from>
    <xdr:to>
      <xdr:col>19</xdr:col>
      <xdr:colOff>419100</xdr:colOff>
      <xdr:row>101</xdr:row>
      <xdr:rowOff>113187</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35240</xdr:colOff>
      <xdr:row>31</xdr:row>
      <xdr:rowOff>157903</xdr:rowOff>
    </xdr:from>
    <xdr:to>
      <xdr:col>19</xdr:col>
      <xdr:colOff>475562</xdr:colOff>
      <xdr:row>42</xdr:row>
      <xdr:rowOff>75318</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7531539" y="6408942"/>
          <a:ext cx="9322075" cy="2556376"/>
          <a:chOff x="7589349" y="7568295"/>
          <a:chExt cx="9372348" cy="2835122"/>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89021" y="7568295"/>
          <a:ext cx="3177059" cy="2815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8796938"/>
          <a:ext cx="1601897" cy="154883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8466627"/>
          <a:ext cx="1778000" cy="1869167"/>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1155</xdr:colOff>
      <xdr:row>1</xdr:row>
      <xdr:rowOff>42334</xdr:rowOff>
    </xdr:from>
    <xdr:to>
      <xdr:col>19</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21</xdr:col>
      <xdr:colOff>118534</xdr:colOff>
      <xdr:row>9</xdr:row>
      <xdr:rowOff>158751</xdr:rowOff>
    </xdr:from>
    <xdr:to>
      <xdr:col>23</xdr:col>
      <xdr:colOff>443915</xdr:colOff>
      <xdr:row>13</xdr:row>
      <xdr:rowOff>125294</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485784" y="2021418"/>
          <a:ext cx="1553048" cy="728543"/>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15</xdr:col>
      <xdr:colOff>403121</xdr:colOff>
      <xdr:row>55</xdr:row>
      <xdr:rowOff>166683</xdr:rowOff>
    </xdr:from>
    <xdr:to>
      <xdr:col>19</xdr:col>
      <xdr:colOff>428625</xdr:colOff>
      <xdr:row>66</xdr:row>
      <xdr:rowOff>198436</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423485</xdr:colOff>
      <xdr:row>44</xdr:row>
      <xdr:rowOff>124226</xdr:rowOff>
    </xdr:from>
    <xdr:to>
      <xdr:col>19</xdr:col>
      <xdr:colOff>431753</xdr:colOff>
      <xdr:row>55</xdr:row>
      <xdr:rowOff>134936</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280229</xdr:colOff>
      <xdr:row>55</xdr:row>
      <xdr:rowOff>159521</xdr:rowOff>
    </xdr:from>
    <xdr:to>
      <xdr:col>15</xdr:col>
      <xdr:colOff>324679</xdr:colOff>
      <xdr:row>67</xdr:row>
      <xdr:rowOff>7938</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571500</xdr:colOff>
      <xdr:row>47</xdr:row>
      <xdr:rowOff>15876</xdr:rowOff>
    </xdr:from>
    <xdr:to>
      <xdr:col>13</xdr:col>
      <xdr:colOff>134938</xdr:colOff>
      <xdr:row>54</xdr:row>
      <xdr:rowOff>55563</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70</xdr:row>
      <xdr:rowOff>0</xdr:rowOff>
    </xdr:from>
    <xdr:to>
      <xdr:col>14</xdr:col>
      <xdr:colOff>1630795</xdr:colOff>
      <xdr:row>86</xdr:row>
      <xdr:rowOff>114300</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279498</xdr:colOff>
      <xdr:row>44</xdr:row>
      <xdr:rowOff>127770</xdr:rowOff>
    </xdr:from>
    <xdr:to>
      <xdr:col>15</xdr:col>
      <xdr:colOff>323948</xdr:colOff>
      <xdr:row>55</xdr:row>
      <xdr:rowOff>135073</xdr:rowOff>
    </xdr:to>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1674091</xdr:colOff>
      <xdr:row>70</xdr:row>
      <xdr:rowOff>0</xdr:rowOff>
    </xdr:from>
    <xdr:to>
      <xdr:col>19</xdr:col>
      <xdr:colOff>440170</xdr:colOff>
      <xdr:row>86</xdr:row>
      <xdr:rowOff>122671</xdr:rowOff>
    </xdr:to>
    <xdr:graphicFrame macro="">
      <xdr:nvGraphicFramePr>
        <xdr:cNvPr id="45" name="Chart 44">
          <a:extLst>
            <a:ext uri="{FF2B5EF4-FFF2-40B4-BE49-F238E27FC236}">
              <a16:creationId xmlns:a16="http://schemas.microsoft.com/office/drawing/2014/main" id="{7452DE85-DE79-44C4-8D24-8977FEA7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74565</xdr:colOff>
      <xdr:row>1</xdr:row>
      <xdr:rowOff>81782</xdr:rowOff>
    </xdr:from>
    <xdr:to>
      <xdr:col>7</xdr:col>
      <xdr:colOff>793750</xdr:colOff>
      <xdr:row>27</xdr:row>
      <xdr:rowOff>127000</xdr:rowOff>
    </xdr:to>
    <xdr:graphicFrame macro="">
      <xdr:nvGraphicFramePr>
        <xdr:cNvPr id="35" name="Chart 34">
          <a:extLst>
            <a:ext uri="{FF2B5EF4-FFF2-40B4-BE49-F238E27FC236}">
              <a16:creationId xmlns:a16="http://schemas.microsoft.com/office/drawing/2014/main" id="{0D55BB11-08CA-48C1-AF87-424DD838C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5706</xdr:colOff>
      <xdr:row>3</xdr:row>
      <xdr:rowOff>147171</xdr:rowOff>
    </xdr:from>
    <xdr:to>
      <xdr:col>17</xdr:col>
      <xdr:colOff>719936</xdr:colOff>
      <xdr:row>12</xdr:row>
      <xdr:rowOff>94765</xdr:rowOff>
    </xdr:to>
    <xdr:sp macro="" textlink="">
      <xdr:nvSpPr>
        <xdr:cNvPr id="48" name="TextBox 47">
          <a:hlinkClick xmlns:r="http://schemas.openxmlformats.org/officeDocument/2006/relationships" r:id="rId20"/>
          <a:extLst>
            <a:ext uri="{FF2B5EF4-FFF2-40B4-BE49-F238E27FC236}">
              <a16:creationId xmlns:a16="http://schemas.microsoft.com/office/drawing/2014/main" id="{F03A6A31-AEB9-4679-B945-6A6311301344}"/>
            </a:ext>
          </a:extLst>
        </xdr:cNvPr>
        <xdr:cNvSpPr txBox="1"/>
      </xdr:nvSpPr>
      <xdr:spPr>
        <a:xfrm>
          <a:off x="8870966" y="955353"/>
          <a:ext cx="6882801" cy="170415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baseline="0">
              <a:solidFill>
                <a:schemeClr val="bg1"/>
              </a:solidFill>
              <a:latin typeface="+mn-lt"/>
              <a:ea typeface="+mn-ea"/>
              <a:cs typeface="+mn-cs"/>
            </a:rPr>
            <a:t>No WASH cluster team field visits in Q1 . For more information on WASH Cluster team </a:t>
          </a:r>
          <a:r>
            <a:rPr lang="en-US" sz="2000" b="1" baseline="0">
              <a:solidFill>
                <a:schemeClr val="bg1"/>
              </a:solidFill>
            </a:rPr>
            <a:t>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0</xdr:col>
      <xdr:colOff>65974</xdr:colOff>
      <xdr:row>66</xdr:row>
      <xdr:rowOff>100580</xdr:rowOff>
    </xdr:from>
    <xdr:to>
      <xdr:col>8</xdr:col>
      <xdr:colOff>29766</xdr:colOff>
      <xdr:row>69</xdr:row>
      <xdr:rowOff>165804</xdr:rowOff>
    </xdr:to>
    <xdr:sp macro="" textlink="">
      <xdr:nvSpPr>
        <xdr:cNvPr id="53" name="Rectangle 52">
          <a:extLst>
            <a:ext uri="{FF2B5EF4-FFF2-40B4-BE49-F238E27FC236}">
              <a16:creationId xmlns:a16="http://schemas.microsoft.com/office/drawing/2014/main" id="{C5A8029D-69B7-4714-B775-A93E7BB13175}"/>
            </a:ext>
          </a:extLst>
        </xdr:cNvPr>
        <xdr:cNvSpPr/>
      </xdr:nvSpPr>
      <xdr:spPr>
        <a:xfrm>
          <a:off x="65974" y="14499411"/>
          <a:ext cx="7369376" cy="658990"/>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MHF, SIDA, UNICEF, UNOPS</a:t>
          </a:r>
        </a:p>
      </xdr:txBody>
    </xdr:sp>
    <xdr:clientData/>
  </xdr:twoCellAnchor>
  <xdr:twoCellAnchor>
    <xdr:from>
      <xdr:col>0</xdr:col>
      <xdr:colOff>74044</xdr:colOff>
      <xdr:row>45</xdr:row>
      <xdr:rowOff>156689</xdr:rowOff>
    </xdr:from>
    <xdr:to>
      <xdr:col>8</xdr:col>
      <xdr:colOff>16494</xdr:colOff>
      <xdr:row>55</xdr:row>
      <xdr:rowOff>306504</xdr:rowOff>
    </xdr:to>
    <xdr:graphicFrame macro="">
      <xdr:nvGraphicFramePr>
        <xdr:cNvPr id="54" name="Chart 53">
          <a:extLst>
            <a:ext uri="{FF2B5EF4-FFF2-40B4-BE49-F238E27FC236}">
              <a16:creationId xmlns:a16="http://schemas.microsoft.com/office/drawing/2014/main" id="{0F44C81B-4924-4294-9207-821310B4A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69634</xdr:colOff>
      <xdr:row>55</xdr:row>
      <xdr:rowOff>421909</xdr:rowOff>
    </xdr:from>
    <xdr:to>
      <xdr:col>8</xdr:col>
      <xdr:colOff>33426</xdr:colOff>
      <xdr:row>66</xdr:row>
      <xdr:rowOff>3854</xdr:rowOff>
    </xdr:to>
    <xdr:graphicFrame macro="">
      <xdr:nvGraphicFramePr>
        <xdr:cNvPr id="55" name="Chart 54">
          <a:extLst>
            <a:ext uri="{FF2B5EF4-FFF2-40B4-BE49-F238E27FC236}">
              <a16:creationId xmlns:a16="http://schemas.microsoft.com/office/drawing/2014/main" id="{069EA723-0CB4-4B9A-B25F-1227B9055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53140</xdr:colOff>
      <xdr:row>70</xdr:row>
      <xdr:rowOff>41235</xdr:rowOff>
    </xdr:from>
    <xdr:to>
      <xdr:col>8</xdr:col>
      <xdr:colOff>16283</xdr:colOff>
      <xdr:row>86</xdr:row>
      <xdr:rowOff>125405</xdr:rowOff>
    </xdr:to>
    <xdr:graphicFrame macro="">
      <xdr:nvGraphicFramePr>
        <xdr:cNvPr id="56" name="Chart 55">
          <a:extLst>
            <a:ext uri="{FF2B5EF4-FFF2-40B4-BE49-F238E27FC236}">
              <a16:creationId xmlns:a16="http://schemas.microsoft.com/office/drawing/2014/main" id="{EDE57A03-5E29-491B-9464-E9BC19C7A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B_%204%20W/002.%204Ws%20matrix/001.New%204%20W/2022/Q3_2022/Core_File_Myanmar_WASH_4W_2022_Q3_KachinShan_Cam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3/2023_Q1/20230427_Funding%20Matrix_2023_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HWS"/>
      <sheetName val="DATABASE"/>
      <sheetName val="Site_DB"/>
      <sheetName val="Indicator Summary  Eng"/>
      <sheetName val="Indicator Summary  MM"/>
      <sheetName val="HRP Calculations"/>
      <sheetName val="HRP"/>
      <sheetName val="HRP ref"/>
      <sheetName val="Analysis"/>
      <sheetName val="Sheet2"/>
      <sheetName val="partners_Q1"/>
      <sheetName val="partners_Q2"/>
      <sheetName val="Kachin"/>
      <sheetName val="Shan(n)"/>
      <sheetName val="AAP-community Feedback"/>
      <sheetName val="Quarterly Dashboard"/>
      <sheetName val="By Camps"/>
      <sheetName val="Tracking Dashboard"/>
      <sheetName val="Lookup"/>
      <sheetName val="Core_File_Myanmar_WASH_4W_2022_"/>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refreshError="1"/>
      <sheetData sheetId="16"/>
      <sheetData sheetId="17"/>
      <sheetData sheetId="18"/>
      <sheetData sheetId="19">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t="str">
            <v>Cumulative Funding Received for 2023</v>
          </cell>
          <cell r="E3" t="str">
            <v>Gap</v>
          </cell>
        </row>
        <row r="6">
          <cell r="B6" t="str">
            <v>Mon</v>
          </cell>
          <cell r="E6">
            <v>1853240.182604447</v>
          </cell>
        </row>
        <row r="7">
          <cell r="B7" t="str">
            <v>Ayeyarwady</v>
          </cell>
          <cell r="E7">
            <v>134631.20129620383</v>
          </cell>
        </row>
        <row r="8">
          <cell r="B8" t="str">
            <v>Bago (East)</v>
          </cell>
          <cell r="E8">
            <v>2490802.2051830729</v>
          </cell>
        </row>
        <row r="9">
          <cell r="B9" t="str">
            <v>Chin</v>
          </cell>
          <cell r="E9">
            <v>7709206.9804666061</v>
          </cell>
        </row>
        <row r="10">
          <cell r="B10" t="str">
            <v>Kachin/Shan (North)</v>
          </cell>
          <cell r="D10">
            <v>656417.322661118</v>
          </cell>
          <cell r="E10">
            <v>12159950.677338881</v>
          </cell>
        </row>
        <row r="11">
          <cell r="B11" t="str">
            <v>Kayah</v>
          </cell>
          <cell r="E11">
            <v>4667835.8539725961</v>
          </cell>
        </row>
        <row r="12">
          <cell r="B12" t="str">
            <v>Kayin</v>
          </cell>
          <cell r="E12">
            <v>4425611.9797762176</v>
          </cell>
        </row>
        <row r="13">
          <cell r="B13" t="str">
            <v>Magway</v>
          </cell>
          <cell r="E13">
            <v>8264315.9854123313</v>
          </cell>
        </row>
        <row r="14">
          <cell r="B14" t="str">
            <v>Rakhine</v>
          </cell>
          <cell r="D14">
            <v>3564068.3580405232</v>
          </cell>
          <cell r="E14">
            <v>37105396.400790654</v>
          </cell>
        </row>
        <row r="15">
          <cell r="B15" t="str">
            <v>Sagaing</v>
          </cell>
          <cell r="E15">
            <v>21197136.881095313</v>
          </cell>
        </row>
        <row r="16">
          <cell r="B16" t="str">
            <v>Shan (South)</v>
          </cell>
          <cell r="E16">
            <v>6191612.0047773272</v>
          </cell>
        </row>
        <row r="17">
          <cell r="B17" t="str">
            <v>Tanintharyi</v>
          </cell>
          <cell r="E17">
            <v>1491708.8500778582</v>
          </cell>
        </row>
        <row r="18">
          <cell r="B18" t="str">
            <v>Yangon</v>
          </cell>
          <cell r="D18">
            <v>67935.738239454004</v>
          </cell>
          <cell r="E18">
            <v>341884.11265765881</v>
          </cell>
        </row>
      </sheetData>
      <sheetData sheetId="13" refreshError="1"/>
      <sheetData sheetId="14" refreshError="1"/>
      <sheetData sheetId="15" refreshError="1"/>
      <sheetData sheetId="16" refreshError="1"/>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050.405150347222" backgroundQuery="1" createdVersion="6" refreshedVersion="7" minRefreshableVersion="3" recordCount="0" supportSubquery="1" supportAdvancedDrill="1" xr:uid="{2424A037-BCF7-4B15-A4AE-1757238DB756}">
  <cacheSource type="external" connectionId="1"/>
  <cacheFields count="6">
    <cacheField name="[WWWW].[State].[State]" caption="State" numFmtId="0" hierarchy="4" level="1">
      <sharedItems count="1">
        <s v="Kachin"/>
      </sharedItems>
    </cacheField>
    <cacheField name="[WWWW].[Covered].[Covered]" caption="Covered" numFmtId="0" hierarchy="145"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2"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 name="[WWWW].[Remark].[Remark]" caption="Remark" numFmtId="0" hierarchy="146" level="1">
      <sharedItems containsSemiMixedTypes="0" containsNonDate="0" containsString="0"/>
    </cacheField>
  </cacheFields>
  <cacheHierarchies count="153">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13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5"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2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20"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5"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5"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 of affected people surveyed who report feeling satistfied with the water point design and water se]" caption="# of affected people surveyed who report feeling satistfied with the water point design and water se" attribute="1" defaultMemberUniqueName="[WWWW].[# of affected people surveyed who report feeling satistfied with the water point design and water se].[All]" allUniqueName="[WWWW].[# of affected people surveyed who report feeling satistfied with the water point design and water se].[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2" memberValueDatatype="130" unbalanced="0">
      <fieldsUsage count="2">
        <fieldUsage x="-1"/>
        <fieldUsage x="5"/>
      </fieldsUsage>
    </cacheHierarchy>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050.405151620369" backgroundQuery="1" createdVersion="6" refreshedVersion="7" minRefreshableVersion="3" recordCount="0" supportSubquery="1" supportAdvancedDrill="1" xr:uid="{980E0D70-0E92-48B4-B9FF-724DC0CAF19E}">
  <cacheSource type="external" connectionId="1"/>
  <cacheFields count="4">
    <cacheField name="[WWWW].[State].[State]" caption="State" numFmtId="0" hierarchy="4" level="1">
      <sharedItems count="1">
        <s v="Kachin"/>
      </sharedItems>
    </cacheField>
    <cacheField name="[WWWW].[Covered].[Covered]" caption="Covered" numFmtId="0" hierarchy="145"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2" level="32767"/>
  </cacheFields>
  <cacheHierarchies count="153">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13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5"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2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20"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20"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5"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5"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5"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5"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 of affected people surveyed who report feeling satistfied with the water point design and water se]" caption="# of affected people surveyed who report feeling satistfied with the water point design and water se" attribute="1" defaultMemberUniqueName="[WWWW].[# of affected people surveyed who report feeling satistfied with the water point design and water se].[All]" allUniqueName="[WWWW].[# of affected people surveyed who report feeling satistfied with the water point design and water se].[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050.405152083331" createdVersion="6" refreshedVersion="7" minRefreshableVersion="3" recordCount="213" xr:uid="{00000000-000A-0000-FFFF-FFFF00000000}">
  <cacheSource type="worksheet">
    <worksheetSource name="WWWW"/>
  </cacheSource>
  <cacheFields count="158">
    <cacheField name="Reporting Period" numFmtId="167">
      <sharedItems containsBlank="1" count="28">
        <s v="2023_Q1"/>
        <m u="1"/>
        <s v="2023_Q2" u="1"/>
        <s v="2022_Q1" u="1"/>
        <s v="2022_Q2" u="1"/>
        <s v="2021_Q1" u="1"/>
        <s v="2022_Q3" u="1"/>
        <s v="2018-Q1" u="1"/>
        <s v="2021_Q2" u="1"/>
        <s v="2022_Q4"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72">
        <s v="IRC"/>
        <s v="KMSS"/>
        <s v="KBC"/>
        <s v="Shalom"/>
        <s v="None"/>
        <s v="STW"/>
        <s v="Metta"/>
        <s v="SI"/>
        <s v="WPN"/>
        <s v="Metta, Shalom"/>
        <s v="KBC,IRC"/>
        <s v="KBC, Metta"/>
        <s v="KBC, IRC"/>
        <s v="HPA"/>
        <s v="Metta, GLAD"/>
        <s v="CARE International in Myanmar"/>
        <s v="Metta, KMSS"/>
        <s v="KBC, IRC, Shalom"/>
        <m u="1"/>
        <s v="OXSI(Oxfam), MA_UK" u="1"/>
        <s v="MRCS" u="1"/>
        <s v="MRCS,Others/ WVI" u="1"/>
        <s v="MRCS,Others,UNICEF/ACF" u="1"/>
        <s v="PIN" u="1"/>
        <s v="SCI" u="1"/>
        <s v="KMSS, KBC" u="1"/>
        <s v="MRCS,others" u="1"/>
        <s v="MA_UK" u="1"/>
        <s v="OXSI (Oxfam),ACF" u="1"/>
        <s v="Others/ WVI" u="1"/>
        <s v="KBC, KMSS" u="1"/>
        <s v="Others,MRCS" u="1"/>
        <s v="Others" u="1"/>
        <s v="WPN,HPA" u="1"/>
        <s v="MRCS, PLAN, RI,Others" u="1"/>
        <s v="KMSS,METTA" u="1"/>
        <s v="UNICEF" u="1"/>
        <s v="ACF" u="1"/>
        <s v="DRC" u="1"/>
        <s v="UNICEF,Others" u="1"/>
        <s v="UNICEF, IRC" u="1"/>
        <s v="PIN,IRC,WCM" u="1"/>
        <s v="MRCS, PLAN, RI" u="1"/>
        <s v="IRC, WCM" u="1"/>
        <s v="MRCS, Others" u="1"/>
        <s v="CDA" u="1"/>
        <s v="GIZ" u="1"/>
        <s v="KBC,HPA" u="1"/>
        <s v="SI,KBC" u="1"/>
        <s v="WVI" u="1"/>
        <s v="OXSI (Oxfam)" u="1"/>
        <s v="Metta, KMSS," u="1"/>
        <s v="RI" u="1"/>
        <s v="Metta, KMSS, GLAD" u="1"/>
        <s v="PIN,IRC" u="1"/>
        <s v="MRCS,Others,UNICEF" u="1"/>
        <s v="CARE" u="1"/>
        <s v="UNICEF,IRC" u="1"/>
        <s v="KMSS, METTA" u="1"/>
        <s v="CARE,Others" u="1"/>
        <s v="KBC,PIN" u="1"/>
        <s v="OXSI (SI)" u="1"/>
        <s v="SCI,Metta" u="1"/>
        <s v="MRCS,UNICEF" u="1"/>
        <s v="WCM" u="1"/>
        <s v="OXSI (SI), ACF" u="1"/>
        <s v="KBC, PIN" u="1"/>
        <s v="Malteser" u="1"/>
        <s v="SCI, Metta" u="1"/>
        <s v="PIN/ KBC, SI" u="1"/>
        <s v="Metta,KBC" u="1"/>
        <s v="CDN" u="1"/>
      </sharedItems>
    </cacheField>
    <cacheField name="WASH implementing agency" numFmtId="0">
      <sharedItems containsBlank="1" count="64">
        <s v="KBC"/>
        <s v="KMSS"/>
        <s v="Shalom"/>
        <s v="None"/>
        <s v="STW"/>
        <s v="Metta"/>
        <s v="SI"/>
        <s v="WPN"/>
        <s v="Metta, Shalom"/>
        <s v="KBC, Metta"/>
        <s v="HPA"/>
        <s v="Metta, GLAD"/>
        <s v="Meikswe Myanmar"/>
        <s v="Metta, KMSS"/>
        <s v="KBC, Shalom"/>
        <m u="1"/>
        <s v="CHAD" u="1"/>
        <s v="OXSI(Oxfam), MA_UK" u="1"/>
        <s v="MRCS" u="1"/>
        <s v="MRCS,Others/ WVI" u="1"/>
        <s v="SCI" u="1"/>
        <s v="KMSS, KBC" u="1"/>
        <s v="MRCS,others" u="1"/>
        <s v="MA_UK" u="1"/>
        <s v="Others/ WVI" u="1"/>
        <s v="KBC, KMSS" u="1"/>
        <s v="MHDO" u="1"/>
        <s v="SI, KBC" u="1"/>
        <s v="Others,MRCS" u="1"/>
        <s v="Others" u="1"/>
        <s v="WPN,HPA" u="1"/>
        <s v="MRCS, PLAN, RI,Others" u="1"/>
        <s v="KMSS,METTA" u="1"/>
        <s v="UNICEF" u="1"/>
        <s v="ACF" u="1"/>
        <s v="DRC" u="1"/>
        <s v="KBC, SI" u="1"/>
        <s v="MRCS, ACF" u="1"/>
        <s v="UNICEF/ UNHCR/UNFPA" u="1"/>
        <s v="UNICEF,Others" u="1"/>
        <s v="WFP" u="1"/>
        <s v="MRCS, PLAN, RI" u="1"/>
        <s v="MRCS, Others" u="1"/>
        <s v="MRCS,Others,ACF" u="1"/>
        <s v="CDA" u="1"/>
        <s v="GIZ" u="1"/>
        <s v="KBC,HPA" u="1"/>
        <s v="SI,KBC" u="1"/>
        <s v="OXSI (Oxfam)" u="1"/>
        <s v="RI" u="1"/>
        <s v="Metta, KMSS, GLAD" u="1"/>
        <s v="CARE" u="1"/>
        <s v="KMSS, METTA" u="1"/>
        <s v="CARE,Others" u="1"/>
        <s v="OXSI (SI)" u="1"/>
        <s v="SCI,Metta" u="1"/>
        <s v="WCM" u="1"/>
        <s v="Metta, KMSS, " u="1"/>
        <s v="Malteser" u="1"/>
        <s v="SCI, Metta" u="1"/>
        <s v="PIN/ KBC, SI" u="1"/>
        <s v="Metta,KBC" u="1"/>
        <s v="CDN" u="1"/>
        <s v="MRCS,ACF" u="1"/>
      </sharedItems>
    </cacheField>
    <cacheField name="Primary Donor covering WASH activities at site " numFmtId="0">
      <sharedItems containsBlank="1"/>
    </cacheField>
    <cacheField name="State" numFmtId="0">
      <sharedItems containsBlank="1" count="6">
        <s v="Kachin"/>
        <s v="Shan (North)"/>
        <m u="1"/>
        <s v="Central Rakhine" u="1"/>
        <s v="Rakhine" u="1"/>
        <s v="Northern Rakhine" u="1"/>
      </sharedItems>
    </cacheField>
    <cacheField name="Township" numFmtId="0">
      <sharedItems containsBlank="1" count="47">
        <s v="Bhamo"/>
        <s v="Myitkyina"/>
        <s v="Chipwi"/>
        <s v="Hpakant"/>
        <s v="Waingmaw"/>
        <s v="Mogaung"/>
        <s v="Momauk"/>
        <s v="Mansi"/>
        <s v="Mohnyin"/>
        <s v="Tanai"/>
        <s v="Sumprabum"/>
        <s v="Injangyang"/>
        <s v="Shwegu"/>
        <s v="Kutkai"/>
        <s v="Lashio"/>
        <s v="Laukkaing (Kokang SAZ)"/>
        <s v="Namtu"/>
        <s v="Kyaukme"/>
        <s v="Muse"/>
        <s v="Manton"/>
        <s v="Namhkan"/>
        <s v="Hseni"/>
        <s v="Tangyan "/>
        <s v="Hsipaw"/>
        <m u="1"/>
        <s v="Mohyin" u="1"/>
        <s v="Kyauktaw" u="1"/>
        <s v="Nawnghkio" u="1"/>
        <s v="Pangsang" u="1"/>
        <s v="Namhsan" u="1"/>
        <s v="Minbya" u="1"/>
        <s v="Ann" u="1"/>
        <s v="Pauktaw" u="1"/>
        <s v="Namatee" u="1"/>
        <s v="Myebon" u="1"/>
        <s v="Puta-O" u="1"/>
        <s v="Buthidaung " u="1"/>
        <s v="Maungdaw" u="1"/>
        <s v="Ponnagyun" u="1"/>
        <s v="Kyaukpyu" u="1"/>
        <s v="Sittwe" u="1"/>
        <s v="Rathedaung" u="1"/>
        <s v="Mai Ja Yang " u="1"/>
        <s v="Mrauk-U" u="1"/>
        <s v="Buthidaung" u="1"/>
        <s v="Ramree" u="1"/>
        <s v="Laukkaing" u="1"/>
      </sharedItems>
    </cacheField>
    <cacheField name="Location Type" numFmtId="0">
      <sharedItems count="15">
        <s v="Extenshion_camp"/>
        <s v="Camp"/>
        <s v="Camp_not registered"/>
        <s v="Relocated"/>
        <s v="Resettlement" u="1"/>
        <s v="return" u="1"/>
        <s v="Town_New_Displaced" u="1"/>
        <s v="Town" u="1"/>
        <e v="#N/A" u="1"/>
        <s v="New Temporary Site" u="1"/>
        <s v="Village_New_Displaced" u="1"/>
        <s v="New Site" u="1"/>
        <s v="Camp not registered" u="1"/>
        <s v="Village" u="1"/>
        <s v="Village_Not HRP" u="1"/>
      </sharedItems>
    </cacheField>
    <cacheField name="Site Name" numFmtId="0">
      <sharedItems containsBlank="1" count="1093">
        <s v="Momauk IDP new extension camp (Kye Nan)"/>
        <s v="Jan Mai Kawng Catholic Church"/>
        <s v="Ka Bu Dam CoC"/>
        <s v="Hpare Hkyer - BP6"/>
        <s v="Hlaing Naung Baptist"/>
        <s v="AG Church, Hmaw Si Sa"/>
        <s v="Nan Kway St. John Catholic Church"/>
        <s v="Muyin church (Aung Yar pre-school compound)"/>
        <s v="Pa Dauk Myaing(Pa La Na)"/>
        <s v="Ding Jang Yang (1)"/>
        <s v="Ding Jang Yang (2)"/>
        <s v="Pa Dauk Myaing(Pa La Na)-II"/>
        <s v="AG Church, Maw Wan"/>
        <s v="Border Post 8"/>
        <s v="Hka Shi"/>
        <s v="Shar Du Zut KBC church "/>
        <s v="IDP Boarding School, A Len Bum"/>
        <s v="Baptist Church, Hmaw Si Sar(Lon Khin)"/>
        <s v="Maina Catholic Church (St. Joseph)"/>
        <s v="Kyun Taw Baptist Church "/>
        <s v="Chin Church, Seik Mu"/>
        <s v="AD-2000 Tharthana Compound"/>
        <s v="Ma Hawng Baptist Church"/>
        <s v="Aung Thar Church"/>
        <s v="Myo Thit -IDP in Host"/>
        <s v="Bum Tsit Pa"/>
        <s v="Htoi San Church"/>
        <s v="Lone Khin Catholic Church"/>
        <s v="Lisu Boarding-House"/>
        <s v="Namatee Kan Hla AG"/>
        <s v="Maw Wan, Mu-yin Baptist Church"/>
        <s v="Nant Ma Hpit Catholic Church"/>
        <s v="Chipwi KBC camp"/>
        <s v="Na ru Kawng (Post 6 camp)"/>
        <s v="LCC UM Camp Hka Shi"/>
        <s v="Dhama Rakhita, Nyein Chan Tar Yar Ward(Lon Khin)"/>
        <s v="Namti Labraw Yang KBC Camp"/>
        <s v="Hpun Lum Yang "/>
        <s v="Dum Bung "/>
        <s v="Pa Kahtawng "/>
        <s v="Lana Zup Ja"/>
        <s v="Nat Gyi Kone Baptist Church "/>
        <s v="Nhkawng Pa "/>
        <s v="Maing Khaung Catholic Church"/>
        <s v="Man Wing Baptist Church"/>
        <s v="Sar Hmaw - KBC"/>
        <s v="Nawng Ing (Indawgyi) Baptist Church "/>
        <s v="Bhamo- IDPs in Host "/>
        <s v="St.Columban lone Khin camp"/>
        <s v="Agritural Compound (KBC)"/>
        <s v="Hpakant Baptist Church, Nam Ma Hpit"/>
        <s v="Hkat Cho "/>
        <s v="Lawng Hkang Shait Yang Camp​ ( Lel Pyin)​ "/>
        <s v="Lhaovao Baptist Church (LBC)"/>
        <s v="Lisu Baptist Church, Maw Shan Vil,. Seik Mu"/>
        <s v="Nam Hlaing Extension Ward camp"/>
        <s v="Man Wing Baptist Church Cultural Compound"/>
        <s v="Momauk-IDPs in Host"/>
        <s v="Sector 5 Pammati Quarter"/>
        <s v="Man Wing Catholic Church"/>
        <s v="Lisu Baptist Church, Maw Wan Ward"/>
        <s v="Man Wing Catholic Church II"/>
        <s v="Hopin -IDPs in Host"/>
        <s v="Moenyin- IDPs in Host"/>
        <s v="Kachin Su Baptist Church (ECCD)"/>
        <s v="Laiza Je Yang School"/>
        <s v="Lisu Ethnic Youth Development Center "/>
        <s v="St. Joseph Tanai RC camp "/>
        <s v="Tanai CoC"/>
        <s v="Du Kahtawng Baptist"/>
        <s v="St.Francis RCC 1"/>
        <s v="St.Francis RCC 2"/>
        <s v="Emmanuel AG Church"/>
        <s v="Jan Mai Kawng Baptist Church"/>
        <s v="Maina AG Church"/>
        <s v="Karmaing RC Church"/>
        <s v="Hka Garan Yang "/>
        <s v="Jaw Masat Camp"/>
        <s v="Le Kone Bethlehem Church"/>
        <s v="Bum Ra Yang Camp "/>
        <s v="(3 mile) Shwe Pyi Tar (SLCA)"/>
        <s v="Naung Tar Law (Kyet Chan) "/>
        <s v="Shwe Gu Baptist Church"/>
        <s v="Shwe Gu Catholic Church"/>
        <s v="Woi Chyai "/>
        <s v="Bang Yang Hka (Mung Ji Pa)-relocated"/>
        <s v="Enai (Man Pyein)"/>
        <s v="Galeng (Palaung) &amp; Kone Khem"/>
        <s v="His Aw (Chyu Fan) "/>
        <s v="Hseng Ja-Relocated"/>
        <s v="Hu Hku &amp; Ho Hko"/>
        <s v="Kutkai downtown (KBC Church)"/>
        <s v="Kyaukme Town (host)"/>
        <s v="Lin Hao chun "/>
        <s v="Kyu Sot"/>
        <s v="Mai Yu Lay New (Ta'ang)"/>
        <s v="Hka San Baptist church "/>
        <s v="Man Pint community Hall "/>
        <s v="Mandung - Jinghpaw"/>
        <s v="Man Loi"/>
        <s v="Mong Tin High School"/>
        <s v="Nam Hkam - Nay Win Ni (Palawng)"/>
        <s v="Nam Hkam (KBC Jaw Wang)"/>
        <s v="Nam Hpak Ka Mare "/>
        <s v="Nam Sa Larp"/>
        <s v="Nar Mun Primary School"/>
        <s v="Nam Hpak Ka Ta'ang ( Aung Tha Pyay)"/>
        <s v="Pyi Htaung Su"/>
        <s v="Shwe Sin (Ward 3) "/>
        <s v="SLCA Building Compound (Kyaukme town)"/>
        <s v="SLCA Building Compound (Moungnawt town)"/>
        <s v="Mandung - RC"/>
        <s v="Tsan Lun - Namjarap"/>
        <s v="New Pang Ku "/>
        <s v="Man Wing- IDPs in Host"/>
        <s v="Mansi- IDPs in Host"/>
        <s v="Kutkai downtown (KBC Church-2)"/>
        <s v="Mine Yu Lay village ( Old)"/>
        <s v="Mung Hawm "/>
        <s v="Pan Law"/>
        <s v="Zup Aung Camp"/>
        <s v="Mang Nawng Kawng (host)"/>
        <s v="Theravada Monastery "/>
        <s v="Nam Hkam (KBC Jaw Wang) II"/>
        <s v="Lisu Church Namtu"/>
        <s v="Nam Tu Baptist"/>
        <s v="Nam Hkam Catholic Church ( St. Thomas I)"/>
        <s v="Galeng Zup Awng ward 5 RC"/>
        <s v="Mansi Baptist Church"/>
        <s v="Robert Church"/>
        <s v="Phan Khar Kone"/>
        <s v="Htang Nya "/>
        <s v="Le Kone Ziun Baptist Church "/>
        <s v="Maina Relocation Site"/>
        <s v="Yi Hku Man Hkan "/>
        <s v="Sadung"/>
        <s v="Nbang Yang camp "/>
        <s v="Rawang Baptist Church"/>
        <s v="Sut Ngai yang camp "/>
        <s v="Sadung KBC"/>
        <s v="Sana Lisu Baptist Church (DTC)"/>
        <s v="Sutaung Taung Chae"/>
        <s v="Waingmaw St.Joseph RC Church"/>
        <s v="Mohnyin IDP in host (2)"/>
        <s v="Wuyan Lisu (KLCC) "/>
        <s v="Lisu Church"/>
        <s v="Chinese Baptist Church Compound(Oak Hpo)"/>
        <s v="Farmland(Kyay Zu Taw)"/>
        <s v="Pong Mun School"/>
        <s v="Ward 3 "/>
        <s v="Sun Lon monastery "/>
        <s v="Farmland(Kaung Kye Peik)"/>
        <s v="Hpai Kawng"/>
        <s v="Ward 5 &amp; 9"/>
        <s v="Kan Long "/>
        <s v="Chicken Farm "/>
        <s v="KBC Church "/>
        <s v="Phaug Nhae Camp"/>
        <s v="Khar Nan (1) Baptist Church"/>
        <s v="Loi Je Baptist Church"/>
        <s v="Loi Je Catholic Church"/>
        <s v="Loi Je Lisu Camp"/>
        <s v="Man Bung Catholic compound"/>
        <s v="Man Bung Edin Baptist Church"/>
        <s v="Momauk Baptist Church"/>
        <s v="Nyaung Na Pin "/>
        <s v="Seng Ja "/>
        <s v="Woi Chyai (Mong Lai)"/>
        <s v="Maliyang Baptist Church"/>
        <s v="Man Hkring Baptist Church"/>
        <s v="Njang Dung Baptist Church "/>
        <s v="Shatapru Sut Ngai Tawng"/>
        <s v="Shwe Zet Baptist Church"/>
        <s v="Tat Kone Baptist Church"/>
        <s v="Tat Kone Galile Baptist Church"/>
        <s v="Tat Kone San Pya Baptist Church"/>
        <s v="Trinity Camp"/>
        <s v="Pang Hkawn Yang"/>
        <s v="Ndup Yang"/>
        <s v="Salang Yang"/>
        <s v="Tanai KBC Camp"/>
        <s v="Hkau Shau (BP 12)"/>
        <s v="Mading Baptist Church"/>
        <s v="Maga Yang "/>
        <s v="Maina KBC (Bawng Ring)"/>
        <s v="Maina Lawang Baptist Church"/>
        <s v="Pajau - Jan Mai"/>
        <s v="Qtr. 2 Myoma Baptist Church"/>
        <s v="Sha-It Yang"/>
        <s v="Shing Jai"/>
        <s v="Waimaw Baptist Zonal Office 2"/>
        <s v="Je Yang Hka "/>
        <s v="Momauk KBC church"/>
        <s v="Maing Khaung"/>
        <s v="Woi Chyai host families"/>
        <s v="Kaung Nyaung Ywar Thit (Ho Piek gyi)"/>
        <s v="Man Kaung/Naung Ti Kyar Village"/>
        <s v="Maina Mu-yin  Baptist Church"/>
        <s v="Maw Hpawng Hka Nan Baptist Church"/>
        <s v="Maw Hpawng Lhaovo Baptist Church"/>
        <s v="Nam Ma Phyit, COC"/>
        <s v="Nawng Hee Village"/>
        <s v="New Nant  Hlaing camp"/>
        <s v="Qtr. 2 Lhaovo Baptist Church"/>
        <s v="Rawan Baptist Church, Maw Shan Vil., Seik Mu"/>
        <s v="Shan Culutre camp"/>
        <s v="Saint Matthew (Shin ma ti-sitapru) camp"/>
        <s v="Shatapru Thida Aye Baptist Church"/>
        <s v="Tat Kone COC Baptist - Tat Kone Htoi San"/>
        <s v="Thargaya Lisu Baptist Church"/>
        <s v="Waingmaw AG Church"/>
        <s v="Ward 2 Sai Taung Baptist Church, Seik Mu "/>
        <s v="Yumar Baptist Church"/>
        <s v="Pan Wa" u="1"/>
        <m u="1"/>
        <s v="Thet Kae Pyin Village (IDPs in host family)" u="1"/>
        <s v="Ramree Town" u="1"/>
        <s v="Set Yone Su 1" u="1"/>
        <s v="Tanai KBC Church " u="1"/>
        <s v="Gyit Chaung" u="1"/>
        <s v="Let Than Chi (Ywar Thit)" u="1"/>
        <s v="Man Wing Host Families"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3 mile) Shwe Pyi Tar " u="1"/>
        <s v="Hla Nyo Kan" u="1"/>
        <s v="Baw Du Pha Village (IDP in host families)" u="1"/>
        <s v="Ywa Haung" u="1"/>
        <s v="Aung Taing" u="1"/>
        <s v="Pan Ta Pyae" u="1"/>
        <s v="HlaKhaing" u="1"/>
        <s v="Pyu Chaing" u="1"/>
        <s v="Taung Htaung Ha Yar" u="1"/>
        <s v="Dam ( Zup Ngai Yang)" u="1"/>
        <s v="Shwe Zin Khin (Rakhine)" u="1"/>
        <s v="Shwe Thee " u="1"/>
        <s v="Hindu" u="1"/>
        <s v="Sin Kae (High School)" u="1"/>
        <s v="Cheit Taung" u="1"/>
        <s v="Za Yan Gyi Monastery"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Kha Tin Pike Gyi" u="1"/>
        <s v="Taung Poke Kay" u="1"/>
        <s v="Kyee Kan Pyin ( Temoprary Tent)" u="1"/>
        <s v="Muslim (Aley Ywa)" u="1"/>
        <s v="Kar Di" u="1"/>
        <s v="Kyauk Ta Lone" u="1"/>
        <s v="Ohn Chaung" u="1"/>
        <s v="Langui" u="1"/>
        <s v="Kat Pa Kaung" u="1"/>
        <s v="Inn Chaung (Muslim)" u="1"/>
        <s v="Nyaung Pin Gyi (Rakhine)" u="1"/>
        <s v="Dar Paing Ywar Thit" u="1"/>
        <s v="Yuu Ka lait Kone Camp" u="1"/>
        <s v="War Bo" u="1"/>
        <s v="Nant Yar Gaing (Nant Yar Gaing)" u="1"/>
        <s v="Taung Myint" u="1"/>
        <s v="Set Yone Su 3" u="1"/>
        <s v="Qtr. 4 Monestry (Thargaya Thayett Taw)" u="1"/>
        <s v="Sut Chyai" u="1"/>
        <s v="Laung Don (Myo)" u="1"/>
        <s v="Tha Yet Cho" u="1"/>
        <s v="Shauk Chaung" u="1"/>
        <s v="Har Ra Paing" u="1"/>
        <s v="NiDin" u="1"/>
        <s v="Koe Tan Kauk" u="1"/>
        <s v="Naw Wai" u="1"/>
        <s v="Trinity KBC Church" u="1"/>
        <s v="U Htoe Dan " u="1"/>
        <s v="Shwe Zar (Middle)" u="1"/>
        <s v="Kwayt Shey Ywar Thit_x000a_(Kwayt Shay)" u="1"/>
        <s v="Lan Gwa St.Paul RC Church"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Mandalay Monestry" u="1"/>
        <s v="PyunTo" u="1"/>
        <s v="Ta Man Thar Ah Nauk (Rakhine)" u="1"/>
        <s v="Tein Nyo" u="1"/>
        <s v="Chaung New Min Gan" u="1"/>
        <s v="Nur Ru Lar" u="1"/>
        <s v="Wa Lan Kone" u="1"/>
        <s v="Baw Du Pha 2" u="1"/>
        <s v="Ma Ji Bum" u="1"/>
        <s v="Ngan Chaung_Gone Nar"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Ohn Taw Gyi (South)" u="1"/>
        <s v="Thein Taung pyin (Muslim)" u="1"/>
        <s v="Taung Yin" u="1"/>
        <s v="Thein Tan (Rakhine)" u="1"/>
        <s v="Kyauk Pan Du (NTL)" u="1"/>
        <s v="Tha Yet Oke Ywar Thit" u="1"/>
        <s v="Myo Thit " u="1"/>
        <s v="Nat Maw (Upper)" u="1"/>
        <s v="Palay Taung Ywa Thit"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Namhkan - Pang Long KBC" u="1"/>
        <s v="DPA" u="1"/>
        <s v="Ban Dang" u="1"/>
        <s v="Nget Chaung 2"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Ka Yar Lane , 74 Miles" u="1"/>
        <s v="Na ru Kawng "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Pamati Camp"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Mong Wee Shan-relocated" u="1"/>
        <s v="Kha Maung Seik North" u="1"/>
        <s v="Nam Sa Lap ,Upper Church " u="1"/>
        <s v="Tat Kone Emanuel Church" u="1"/>
        <s v="Koe Song (2) Village" u="1"/>
        <s v="Mee Chaung Zay_Ywar Thit" u="1"/>
        <s v="Khat Pa Kaung" u="1"/>
        <s v="Bu May Ohn Daw Chay" u="1"/>
        <s v="Lhaovo Baptist Convention  Old Office Camp"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Shar Du Zut SanPya" u="1"/>
        <s v="Thae Chaung(Rakhine)" u="1"/>
        <s v="Sasana 2500 monastery" u="1"/>
        <s v="N-bau Tu"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Sin Tet Maw Rakhine(Baw Da Li)" u="1"/>
        <s v="Gwa Sone Chin" u="1"/>
        <s v="Thaing Ta Poke" u="1"/>
        <s v="Moenyin Host Families" u="1"/>
        <s v="Kha Yu Chaung (Muslim)" u="1"/>
        <s v="Ku Lar Thein" u="1"/>
        <s v="Khaung Doke Khar 2 (Hmanzi)" u="1"/>
        <s v="St. Patrick Catholic Church "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Hmaw Wan, Anglican"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Mansi_Host Families"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Muse Catholic Church"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Lian Bang village" u="1"/>
        <s v="Nam Hkawng" u="1"/>
        <s v="Kho Long" u="1"/>
        <s v="Yae Nauk Ngar Thar (Daing Nat)" u="1"/>
        <s v="Jwan Jaw KBC" u="1"/>
        <s v="That Kaing Nyar (Thet)" u="1"/>
        <s v="Htai Ra Yang" u="1"/>
        <s v="Laung Chaung (Daing Net)" u="1"/>
        <s v="Zu Kaing" u="1"/>
        <s v="Thin Pan Kaing" u="1"/>
        <s v="Ah Htet Nan Yar (Rakhine)" u="1"/>
        <s v="Nga Khu Ya" u="1"/>
        <s v="Kan Beit"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Mong Wee Shan" u="1"/>
        <s v="Yet Khone Taing" u="1"/>
        <s v="Goke Pi Htaunt (Rakhine)" u="1"/>
        <s v="Thea Chaung Pyu Su" u="1"/>
        <s v="Tha Dar" u="1"/>
        <s v="Hseng Ja" u="1"/>
        <s v="Zin Paing Nyar" u="1"/>
        <s v="MinPauk" u="1"/>
        <s v="Thin Pon Tan" u="1"/>
        <s v="Gar Pu (Lower)" u="1"/>
        <s v="Zay Teit Taung" u="1"/>
        <s v="Thone Saung" u="1"/>
        <s v="Chaung Thit Monastery" u="1"/>
        <s v="Say Tha Ma Gyi" u="1"/>
        <s v="Ah Htet Myat Hle" u="1"/>
        <s v="Quarter -7 , Lashio" u="1"/>
        <s v="Inn Hpauk" u="1"/>
        <s v="Aung Ba La" u="1"/>
        <s v="5 Ward RC Church(lon Khin)" u="1"/>
        <s v="Let Wea Det Pyin Shey_Tha Pyay Taw" u="1"/>
        <s v="Pyin Shey" u="1"/>
        <s v="Sa Bai Pin Yin" u="1"/>
        <s v="Yat Khone Taing" u="1"/>
        <s v="Mya Ta Saung Monastery" u="1"/>
        <s v="Bethela KBC church" u="1"/>
        <s v="Ohn Taw Gyi (North)" u="1"/>
        <s v="Kan Pyin Ywa Haung" u="1"/>
        <s v="Taung Chauk" u="1"/>
        <s v="Lung Sut" u="1"/>
        <s v="N-gum La" u="1"/>
        <s v="Kun Taung" u="1"/>
        <s v="Shwe Taung Monastery" u="1"/>
        <s v="Tauk Sone" u="1"/>
        <s v="Hpai Kawng Mare" u="1"/>
        <s v="Kan Za Li" u="1"/>
        <s v="Waingmaw LBC church " u="1"/>
        <s v="Tote Tan Ward" u="1"/>
        <s v="Khaung Htoke" u="1"/>
        <s v="Hpa Ji Shalat Boarding School ( Daw Hpum Yang)"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Momauk_Host Families" u="1"/>
        <s v="Ah Lel Chaung"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Lisu Zonal camp" u="1"/>
        <s v="Sin Tet Maw (Host)" u="1"/>
        <s v="Yar Tan" u="1"/>
        <s v="Ti Yang Zup" u="1"/>
        <s v="Chein Khar Li" u="1"/>
        <s v="Doke Kan Chaung Monastery" u="1"/>
        <s v="Kin Taung" u="1"/>
        <s v="Nga Ku Ya (Ku Lar)" u="1"/>
        <s v="Goke Pi Htaunt" u="1"/>
        <s v="Kyauk Yan Thar Si" u="1"/>
        <s v="Raza Bil" u="1"/>
        <s v="Sat Roe Kya 1" u="1"/>
        <s v="Chipwi Pan Wa  (Host IDP)" u="1"/>
        <s v="Kan Tha Ya" u="1"/>
        <s v="Taung Pauk" u="1"/>
        <s v="Pyar Lay Chaung Ywar Haung" u="1"/>
        <s v="Yay Myet" u="1"/>
        <s v="SGZ " u="1"/>
        <s v="Gye Kyaung" u="1"/>
        <s v="Mungji Pa Dabang (Baptist Church)"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Hat Hlan village (host)" u="1"/>
        <s v="Lawk Awng Mare D. (Sinbo Area)" u="1"/>
        <s v="Win Zar" u="1"/>
        <s v="Baw Li " u="1"/>
        <s v="Baw Ya Par" u="1"/>
        <s v="Saw Zam" u="1"/>
        <s v="Gwa Sone (Muslim)" u="1"/>
        <s v="NgweTwinDway" u="1"/>
        <s v="Wa Khote Chaung" u="1"/>
        <s v="Kyar Nyo Pyin (Rakhine)_x000a_+ Pyar Yae" u="1"/>
        <s v="Alay Mushee" u="1"/>
        <s v="Sin Khone Taing (Rakhine)" u="1"/>
        <s v="Du Than Dar" u="1"/>
        <s v="Sin Aing" u="1"/>
        <s v="Sat Roe Kya 2" u="1"/>
        <s v="Pyin Hpyu Maw" u="1"/>
        <s v="Pyaing Taung (Rakhine)" u="1"/>
        <s v="Robert -High school" u="1"/>
        <s v="U Yin Thar" u="1"/>
        <s v="Ah Kyaw (Arisha Para)" u="1"/>
        <s v="Myin Kan Seik" u="1"/>
        <s v="Kyar Nyo Pyin" u="1"/>
        <s v="Lian He village" u="1"/>
        <s v="Nga Kyi Tauk Daing Nat" u="1"/>
        <s v="Thet Kaing Ngyar" u="1"/>
        <s v="Sin Thay Pyin (Zay Di Pyin)" u="1"/>
        <s v="Shwe Zar Kat Pa Kaung" u="1"/>
        <s v="Sumprabum" u="1"/>
        <s v="Lwegel High School" u="1"/>
        <s v="Sin Thi Pein Hne Taw (Sin Tae)" u="1"/>
        <s v="Naung Pataine/lachid " u="1"/>
        <s v="Wa Lar Kann" u="1"/>
        <s v="U Gar Hton" u="1"/>
        <s v="Ah Nauk Ywe" u="1"/>
        <s v="Tanai AG Church " u="1"/>
        <s v="Nan Hlaing_new camp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Bang Yang Hka (Mung Ji Pa)"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yo Oo St. Dominic RC Church" u="1"/>
        <s v="Min Kha Maung (NaTaLa)" u="1"/>
        <s v="Ywa Thar Yar" u="1"/>
        <s v="Ka Nyin Taw" u="1"/>
        <s v="Sa Ma Nya Village" u="1"/>
        <s v="Sin Baw Kaing (School)" u="1"/>
        <s v="Naw Naw(Ku Lar)" u="1"/>
        <s v="Ahla Madi" u="1"/>
        <s v="Kyauk Reik Kay Monastery" u="1"/>
        <s v="San Kar Resettlement" u="1"/>
        <s v="Thit Tone Na Gwa Sone (Daung Ywa)" u="1"/>
        <s v="Ngwe Taung" u="1"/>
        <s v="Tha Yet" u="1"/>
        <s v="Ban Bwee" u="1"/>
        <s v="Chaik Taung" u="1"/>
        <s v="Ywar Thit Kay" u="1"/>
        <s v="Hpet Leik" u="1"/>
        <s v="Lwe Mauk Yang Boarding School" u="1"/>
        <s v="Done Pyin Village" u="1"/>
        <s v="Oke Kan" u="1"/>
        <s v="Ah Lel Ywa" u="1"/>
        <s v="Mra_Zay Di Taung" u="1"/>
        <s v="Ar Kya" u="1"/>
        <s v="La Baw Zar" u="1"/>
        <s v="Kyein Chaung" u="1"/>
        <s v="Kan Thar Htwat Wa" u="1"/>
        <s v="Baw Li (Rakhine)" u="1"/>
        <s v="Kyet Yoe Pyin (Ywa Ma)" u="1"/>
        <s v="War Taung Camp" u="1"/>
        <s v="Hpar Wut Chaung (Ywar Thit)" u="1"/>
        <s v="Tan Chaung" u="1"/>
        <s v="Nant Hlaing Church"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AD 2000 School" u="1"/>
        <s v="Tha Ray Kon Baung" u="1"/>
        <s v="Namatee AG" u="1"/>
        <s v="Ward-6 (Lay Myaing)" u="1"/>
        <s v="Ka Doe Seik" u="1"/>
        <s v="Kyan Taw" u="1"/>
        <s v="Nyaung Bin Hla Village" u="1"/>
        <s v="Pann Phaw Pyin" u="1"/>
        <s v="Aung Zay Yar" u="1"/>
        <s v="AD-2000 Extension camp" u="1"/>
        <s v="Man Pya San Pya Resettlement" u="1"/>
        <s v="Ywar Thar Yar" u="1"/>
        <s v="Kutkai downtown (RC Church)"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Yoe Kyi Monastery" u="1"/>
        <s v="Let Saung Kauk" u="1"/>
        <s v="Than Du" u="1"/>
        <s v="Yoe Ta Yote" u="1"/>
      </sharedItems>
    </cacheField>
    <cacheField name="Total HH" numFmtId="164">
      <sharedItems containsSemiMixedTypes="0" containsString="0" containsNumber="1" minValue="3" maxValue="1592"/>
    </cacheField>
    <cacheField name="Total PoP " numFmtId="164">
      <sharedItems containsSemiMixedTypes="0" containsString="0" containsNumber="1" containsInteger="1" minValue="15" maxValue="8225"/>
    </cacheField>
    <cacheField name="Project start date" numFmtId="168">
      <sharedItems containsDate="1" containsBlank="1" containsMixedTypes="1" minDate="2020-10-01T00:00:00" maxDate="2023-02-17T00:00:00"/>
    </cacheField>
    <cacheField name="Project end date" numFmtId="165">
      <sharedItems containsDate="1" containsBlank="1" containsMixedTypes="1" minDate="2022-04-30T00:00:00" maxDate="2024-02-16T00:00:00"/>
    </cacheField>
    <cacheField name="#_students at TLS_CFS" numFmtId="164">
      <sharedItems containsString="0" containsBlank="1" containsNumber="1" containsInteger="1" minValue="13" maxValue="489"/>
    </cacheField>
    <cacheField name="#_ paid camp based WASH skilled labor" numFmtId="164">
      <sharedItems containsString="0" containsBlank="1" containsNumber="1" containsInteger="1" minValue="1" maxValue="6"/>
    </cacheField>
    <cacheField name="#_paid camp based unskilled WASH unskilled labor" numFmtId="164">
      <sharedItems containsString="0" containsBlank="1" containsNumber="1" containsInteger="1" minValue="1" maxValue="6"/>
    </cacheField>
    <cacheField name="# Work days (approx) lost in this site due to access restrictions" numFmtId="164">
      <sharedItems containsString="0" containsBlank="1" containsNumber="1" containsInteger="1" minValue="1" maxValue="1"/>
    </cacheField>
    <cacheField name="WASH Focal in camp management structure?" numFmtId="1">
      <sharedItems containsBlank="1"/>
    </cacheField>
    <cacheField name="#_men on camp WASH team" numFmtId="164">
      <sharedItems containsString="0" containsBlank="1" containsNumber="1" containsInteger="1" minValue="1" maxValue="19"/>
    </cacheField>
    <cacheField name="#_women on camp WASH team" numFmtId="164">
      <sharedItems containsString="0" containsBlank="1" containsNumber="1" containsInteger="1" minValue="1" maxValue="55"/>
    </cacheField>
    <cacheField name="#_Constructed/existing protected hand dug well" numFmtId="164">
      <sharedItems containsString="0" containsBlank="1" containsNumber="1" containsInteger="1" minValue="1" maxValue="27"/>
    </cacheField>
    <cacheField name="#_Non-functional protected hand dug well" numFmtId="164">
      <sharedItems containsString="0" containsBlank="1" containsNumber="1" containsInteger="1" minValue="1" maxValue="12"/>
    </cacheField>
    <cacheField name="#_Operation &amp; Maintenance of hand dug well" numFmtId="164">
      <sharedItems containsString="0" containsBlank="1" containsNumber="1" containsInteger="1" minValue="1" maxValue="1"/>
    </cacheField>
    <cacheField name="#_Constructed/Existing tube wells/boreholes/handpumps_WASH_agency" numFmtId="164">
      <sharedItems containsString="0" containsBlank="1" containsNumber="1" containsInteger="1" minValue="1" maxValue="24"/>
    </cacheField>
    <cacheField name="#_Non-Cluster partner water tube-wells/boreholes/handpumps" numFmtId="164">
      <sharedItems containsString="0" containsBlank="1" containsNumber="1" containsInteger="1" minValue="1" maxValue="2"/>
    </cacheField>
    <cacheField name="#_Non-functional tube wells/boreholes/handpumps" numFmtId="164">
      <sharedItems containsString="0" containsBlank="1" containsNumber="1" containsInteger="1" minValue="1" maxValue="1"/>
    </cacheField>
    <cacheField name="#_Operation &amp; Maintenance of tube wells/boreholes/handpumps" numFmtId="164">
      <sharedItems containsString="0" containsBlank="1" containsNumber="1" containsInteger="1" minValue="1" maxValue="1"/>
    </cacheField>
    <cacheField name="#_Constructed/Existingwater storage tank with gravity fed reticulation system" numFmtId="164">
      <sharedItems containsString="0" containsBlank="1" containsNumber="1" containsInteger="1" minValue="1" maxValue="48"/>
    </cacheField>
    <cacheField name="#_Non-functional storage tank gravity fed reticulation system" numFmtId="164">
      <sharedItems containsString="0" containsBlank="1" containsNumber="1" containsInteger="1" minValue="1" maxValue="2"/>
    </cacheField>
    <cacheField name="#_Operation &amp; maintenance of storage tank and reticulation system" numFmtId="164">
      <sharedItems containsString="0" containsBlank="1" containsNumber="1" minValue="1" maxValue="5.6781180000000004"/>
    </cacheField>
    <cacheField name="#_Water_Liters_supplied_by_Water boating or water trucking" numFmtId="164">
      <sharedItems containsString="0" containsBlank="1" containsNumber="1" containsInteger="1" minValue="1500" maxValue="1500"/>
    </cacheField>
    <cacheField name="#_Constructed/Existing protected/fenced ponds" numFmtId="164">
      <sharedItems containsString="0" containsBlank="1" containsNumber="1" containsInteger="1" minValue="1" maxValue="14"/>
    </cacheField>
    <cacheField name="#_Water_Liters_from_Constructed/Existing water distribution system from river or natural spring" numFmtId="164">
      <sharedItems containsNonDate="0" containsString="0" containsBlank="1"/>
    </cacheField>
    <cacheField name="#_committes/technicians trained and maintaining the water points" numFmtId="164">
      <sharedItems containsString="0" containsBlank="1" containsNumber="1" containsInteger="1" minValue="1" maxValue="26"/>
    </cacheField>
    <cacheField name="#_Water points fully handed over" numFmtId="164">
      <sharedItems containsString="0" containsBlank="1" containsNumber="1" containsInteger="1" minValue="1" maxValue="10"/>
    </cacheField>
    <cacheField name="#_Water sources tested for fecal coliform " numFmtId="164">
      <sharedItems containsString="0" containsBlank="1" containsNumber="1" containsInteger="1" minValue="1" maxValue="15"/>
    </cacheField>
    <cacheField name="#_Water sources passed" numFmtId="164">
      <sharedItems containsString="0" containsBlank="1" containsNumber="1" containsInteger="1" minValue="1" maxValue="15"/>
    </cacheField>
    <cacheField name="#_Household water samples tested for fecal coliform" numFmtId="164">
      <sharedItems containsString="0" containsBlank="1" containsNumber="1" containsInteger="1" minValue="1" maxValue="36"/>
    </cacheField>
    <cacheField name="#_Household passed" numFmtId="164">
      <sharedItems containsString="0" containsBlank="1" containsNumber="1" containsInteger="1" minValue="5" maxValue="36"/>
    </cacheField>
    <cacheField name="#_Constructed/Existing hand washing stations at TLS/CFS/THF" numFmtId="164">
      <sharedItems containsString="0" containsBlank="1" containsNumber="1" containsInteger="1" minValue="1" maxValue="21"/>
    </cacheField>
    <cacheField name="#_of water points in TLS/CFS" numFmtId="164">
      <sharedItems containsString="0" containsBlank="1" containsNumber="1" containsInteger="1" minValue="1" maxValue="23"/>
    </cacheField>
    <cacheField name="#_of water points in THF" numFmtId="164">
      <sharedItems containsString="0" containsBlank="1" containsNumber="1" containsInteger="1" minValue="1" maxValue="3"/>
    </cacheField>
    <cacheField name="WATER Comments" numFmtId="0">
      <sharedItems containsBlank="1"/>
    </cacheField>
    <cacheField name="#_Constructed latrines_by_WASHAgencies" numFmtId="164">
      <sharedItems containsString="0" containsBlank="1" containsNumber="1" containsInteger="1" minValue="1" maxValue="614"/>
    </cacheField>
    <cacheField name="#_Non Cluster partner latrines" numFmtId="164">
      <sharedItems containsString="0" containsBlank="1" containsNumber="1" containsInteger="1" minValue="2" maxValue="62"/>
    </cacheField>
    <cacheField name="Name of Non-Cluster partner who constructed latrines" numFmtId="9">
      <sharedItems containsBlank="1"/>
    </cacheField>
    <cacheField name="#_Non-functional latrines" numFmtId="164">
      <sharedItems containsString="0" containsBlank="1" containsNumber="1" containsInteger="1" minValue="1" maxValue="26"/>
    </cacheField>
    <cacheField name="#_Operation &amp; maintenance of latrines" numFmtId="164">
      <sharedItems containsString="0" containsBlank="1" containsNumber="1" containsInteger="1" minValue="1" maxValue="19"/>
    </cacheField>
    <cacheField name="#_Latrines desludged during the past quarter" numFmtId="164">
      <sharedItems containsString="0" containsBlank="1" containsNumber="1" containsInteger="1" minValue="2" maxValue="153"/>
    </cacheField>
    <cacheField name="#_Cubic meters of desludging in past quarter" numFmtId="164">
      <sharedItems containsString="0" containsBlank="1" containsNumber="1" minValue="11.35624" maxValue="171.70627999999999"/>
    </cacheField>
    <cacheField name="#_Latrines fully handed over" numFmtId="164">
      <sharedItems containsString="0" containsBlank="1" containsNumber="1" containsInteger="1" minValue="2" maxValue="413"/>
    </cacheField>
    <cacheField name="Is there provision of solid waste management equipment?" numFmtId="0">
      <sharedItems containsBlank="1" count="4">
        <s v="Yes"/>
        <s v="NA"/>
        <s v="No"/>
        <m/>
      </sharedItems>
    </cacheField>
    <cacheField name="Is there constructed surface water drainage system?_x000a_" numFmtId="0">
      <sharedItems containsBlank="1" count="6">
        <s v="Functional"/>
        <s v="No"/>
        <s v="NA"/>
        <s v="Not_Functional"/>
        <m/>
        <s v="Yes" u="1"/>
      </sharedItems>
    </cacheField>
    <cacheField name="#_Constructed/Existing child friendly latrines" numFmtId="164">
      <sharedItems containsString="0" containsBlank="1" containsNumber="1" containsInteger="1" minValue="1" maxValue="13"/>
    </cacheField>
    <cacheField name="#_Constructed/Existing disabled &amp; elderly friendly latrines " numFmtId="164">
      <sharedItems containsString="0" containsBlank="1" containsNumber="1" containsInteger="1" minValue="1" maxValue="274"/>
    </cacheField>
    <cacheField name="# of functional latrines in TLS/CFS supported by WASH partners during the reporting period" numFmtId="164">
      <sharedItems containsString="0" containsBlank="1" containsNumber="1" containsInteger="1" minValue="1" maxValue="62"/>
    </cacheField>
    <cacheField name="# of functional latrines in THF supported by WASH partners during the reporting period2" numFmtId="164">
      <sharedItems containsString="0" containsBlank="1" containsNumber="1" minValue="0.5" maxValue="5"/>
    </cacheField>
    <cacheField name="#_of_persons_with_disabilities_with_adapted_sanitation_option" numFmtId="164">
      <sharedItems containsString="0" containsBlank="1" containsNumber="1" containsInteger="1" minValue="1" maxValue="78"/>
    </cacheField>
    <cacheField name="Sanitation Comments" numFmtId="0">
      <sharedItems containsBlank="1"/>
    </cacheField>
    <cacheField name="#_Constructed/Existing hand washing stations" numFmtId="164">
      <sharedItems containsString="0" containsBlank="1" containsNumber="1" containsInteger="1" minValue="1" maxValue="315"/>
    </cacheField>
    <cacheField name="#_Non-Functional_hand_washing_stations" numFmtId="164">
      <sharedItems containsString="0" containsBlank="1" containsNumber="1" containsInteger="1" minValue="1" maxValue="60"/>
    </cacheField>
    <cacheField name="#_Constructed/Existing_individual_bathing_spaces " numFmtId="164">
      <sharedItems containsString="0" containsBlank="1" containsNumber="1" containsInteger="1" minValue="1" maxValue="266"/>
    </cacheField>
    <cacheField name="#_Constructed/Existing communal bathing spaces " numFmtId="164">
      <sharedItems containsString="0" containsBlank="1" containsNumber="1" containsInteger="1" minValue="1" maxValue="108"/>
    </cacheField>
    <cacheField name="#_Non-Functional communal_bathing spaces " numFmtId="164">
      <sharedItems containsString="0" containsBlank="1" containsNumber="1" containsInteger="1" minValue="1" maxValue="4"/>
    </cacheField>
    <cacheField name="#_male hygiene promoters" numFmtId="164">
      <sharedItems containsString="0" containsBlank="1" containsNumber="1" containsInteger="1" minValue="1" maxValue="3"/>
    </cacheField>
    <cacheField name="#_female hygiene promoters" numFmtId="164">
      <sharedItems containsString="0" containsBlank="1" containsNumber="1" containsInteger="1" minValue="1" maxValue="14"/>
    </cacheField>
    <cacheField name="#_households that received standard amount of soap for this quarter" numFmtId="164">
      <sharedItems containsString="0" containsBlank="1" containsNumber="1" containsInteger="1" minValue="4" maxValue="681"/>
    </cacheField>
    <cacheField name="# of affected women and girls receiving a sufficient quantity of sanitary pads from direct distribution or from MHM room facilities" numFmtId="164">
      <sharedItems containsString="0" containsBlank="1" containsNumber="1" containsInteger="1" minValue="4" maxValue="1773"/>
    </cacheField>
    <cacheField name="Is sufficient soap available for TLS? (Yes/No)" numFmtId="0">
      <sharedItems containsBlank="1"/>
    </cacheField>
    <cacheField name="#_Hygiene Promotion activities (sessions) in TLS?" numFmtId="1">
      <sharedItems containsString="0" containsBlank="1" containsNumber="1" containsInteger="1" minValue="0" maxValue="3"/>
    </cacheField>
    <cacheField name="% of students reached by HP activities" numFmtId="9">
      <sharedItems containsString="0" containsBlank="1" containsNumber="1" minValue="0.08" maxValue="1"/>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4" maxValue="1"/>
    </cacheField>
    <cacheField name="%_of_affected_people_surveyed_who_report_feeling_satistfied_with_the_water_point_design_and_water_service" numFmtId="9">
      <sharedItems containsString="0" containsBlank="1" containsNumber="1" minValue="0.2" maxValue="1"/>
    </cacheField>
    <cacheField name="#_of_affected_people_surveyed_who_report_feeling_informed_about_the_different_WASH_services_available_to_them" numFmtId="0">
      <sharedItems containsString="0" containsBlank="1" containsNumber="1" containsInteger="1" minValue="1" maxValue="100"/>
    </cacheField>
    <cacheField name="%_of_complaints_received_that_result_in_timely_corrective_action_and_feedback_to_the_community" numFmtId="9">
      <sharedItems containsString="0" containsBlank="1" containsNumber="1" minValue="0.2"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20" maxValue="20"/>
    </cacheField>
    <cacheField name="# of sanitation facilities (HH sanitation devices) distributed following risk-sensitive programming and consultation with communities and/or GBV risk-sensitive programming" numFmtId="164">
      <sharedItems containsNonDate="0" containsString="0" containsBlank="1"/>
    </cacheField>
    <cacheField name="# of sanitation facilities (bathing spaces) built following risk-sensitive programming and consultation with communities" numFmtId="164">
      <sharedItems containsNonDate="0" containsString="0" containsBlank="1"/>
    </cacheField>
    <cacheField name="amount_of_MMK/Voucher_or_Token_distributed_per_HH/Family" numFmtId="164">
      <sharedItems containsNonDate="0" containsString="0" containsBlank="1"/>
    </cacheField>
    <cacheField name="#_of_Family/HH_Reached" numFmtId="164">
      <sharedItems containsNonDate="0" containsString="0" containsBlank="1"/>
    </cacheField>
    <cacheField name="Date_of_Cash_distribution" numFmtId="168">
      <sharedItems containsNonDate="0" containsString="0" containsBlank="1"/>
    </cacheField>
    <cacheField name="Cash_distributed_for_which_items" numFmtId="164">
      <sharedItems containsNonDate="0" containsString="0" containsBlank="1"/>
    </cacheField>
    <cacheField name="% of water sources passed" numFmtId="9">
      <sharedItems containsMixedTypes="1" containsNumber="1" containsInteger="1" minValue="1" maxValue="1"/>
    </cacheField>
    <cacheField name="% Household passed" numFmtId="9">
      <sharedItems containsMixedTypes="1" containsNumber="1" minValue="0" maxValue="1"/>
    </cacheField>
    <cacheField name="Warter quality test done" numFmtId="1">
      <sharedItems/>
    </cacheField>
    <cacheField name="Functional protected hand dug well" numFmtId="1">
      <sharedItems containsSemiMixedTypes="0" containsString="0" containsNumber="1" containsInteger="1" minValue="0" maxValue="15"/>
    </cacheField>
    <cacheField name="Functional tube wells/boreholes/handpumps (including non-cluster partners)" numFmtId="1">
      <sharedItems containsSemiMixedTypes="0" containsString="0" containsNumber="1" containsInteger="1" minValue="0" maxValue="24"/>
    </cacheField>
    <cacheField name="Functional storage tank with gravity fed reticulation system" numFmtId="1">
      <sharedItems containsSemiMixedTypes="0" containsString="0" containsNumber="1" containsInteger="1" minValue="0" maxValue="48"/>
    </cacheField>
    <cacheField name="Liters_Water boating or water trucking" numFmtId="1">
      <sharedItems containsSemiMixedTypes="0" containsString="0" containsNumber="1" minValue="0" maxValue="1.1111111111111112"/>
    </cacheField>
    <cacheField name="Liters_Constructed water distribution system from river" numFmtId="1">
      <sharedItems containsSemiMixedTypes="0" containsString="0" containsNumber="1" containsInteger="1" minValue="0" maxValue="0"/>
    </cacheField>
    <cacheField name="# People access to functional water points or water provision supported by WASH partners in TLS/CFS_HRP5" numFmtId="1">
      <sharedItems containsSemiMixedTypes="0" containsString="0" containsNumber="1" containsInteger="1" minValue="0" maxValue="3000"/>
    </cacheField>
    <cacheField name="# People access to functional water points or water provision supported by WASH partners in THF_HRP6" numFmtId="1">
      <sharedItems containsSemiMixedTypes="0" containsString="0" containsNumber="1" containsInteger="1" minValue="0" maxValue="451"/>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3451"/>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3451"/>
    </cacheField>
    <cacheField name="#Water points coverage" numFmtId="1">
      <sharedItems containsSemiMixedTypes="0" containsString="0" containsNumber="1" minValue="0" maxValue="6.9020000000000001"/>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6660.666666666667"/>
    </cacheField>
    <cacheField name="#Potential required new water points" numFmtId="1">
      <sharedItems containsSemiMixedTypes="0" containsString="0" containsNumber="1" minValue="0" maxValue="13.533333333333333"/>
    </cacheField>
    <cacheField name="Total required water points" numFmtId="1">
      <sharedItems containsSemiMixedTypes="0" containsString="0" containsNumber="1" containsInteger="1" minValue="1" maxValue="16"/>
    </cacheField>
    <cacheField name="# of Functioning latrine" numFmtId="1">
      <sharedItems containsSemiMixedTypes="0" containsString="0" containsNumber="1" containsInteger="1" minValue="0" maxValue="609"/>
    </cacheField>
    <cacheField name="% people access to functioning Latrine" numFmtId="9">
      <sharedItems containsSemiMixedTypes="0" containsString="0" containsNumber="1" minValue="0" maxValue="1"/>
    </cacheField>
    <cacheField name="HRP2" numFmtId="1">
      <sharedItems containsSemiMixedTypes="0" containsString="0" containsNumber="1" containsInteger="1" minValue="0" maxValue="8225"/>
    </cacheField>
    <cacheField name="# people access to continuous sanitation services desluding" numFmtId="1">
      <sharedItems containsSemiMixedTypes="0" containsString="0" containsNumber="1" containsInteger="1" minValue="0" maxValue="3060"/>
    </cacheField>
    <cacheField name="# students access to functioning school latrines_HRP5" numFmtId="1">
      <sharedItems containsSemiMixedTypes="0" containsString="0" containsNumber="1" containsInteger="1" minValue="0" maxValue="90"/>
    </cacheField>
    <cacheField name="# People access to functioning latrines in THF_HRP6" numFmtId="1">
      <sharedItems containsSemiMixedTypes="0" containsString="0" containsNumber="1" containsInteger="1" minValue="0" maxValue="250"/>
    </cacheField>
    <cacheField name="Total required Latrines" numFmtId="1">
      <sharedItems containsSemiMixedTypes="0" containsString="0" containsNumber="1" containsInteger="1" minValue="1" maxValue="464"/>
    </cacheField>
    <cacheField name="# potential required new latrines" numFmtId="1">
      <sharedItems containsSemiMixedTypes="0" containsString="0" containsNumber="1" containsInteger="1" minValue="0" maxValue="464"/>
    </cacheField>
    <cacheField name="% of Latrine Gap" numFmtId="9">
      <sharedItems containsSemiMixedTypes="0" containsString="0" containsNumber="1" minValue="0" maxValue="1"/>
    </cacheField>
    <cacheField name="% Latrines requiring  repairs" numFmtId="9">
      <sharedItems containsSemiMixedTypes="0" containsString="0" containsNumber="1" minValue="0" maxValue="0.9285714285714286"/>
    </cacheField>
    <cacheField name="# people reached by regular dedicated hygiene promotion_5" numFmtId="1">
      <sharedItems containsSemiMixedTypes="0" containsString="0" containsNumber="1" containsInteger="1" minValue="0" maxValue="7000"/>
    </cacheField>
    <cacheField name="# People with access to soap" numFmtId="1">
      <sharedItems containsSemiMixedTypes="0" containsString="0" containsNumber="1" containsInteger="1" minValue="0" maxValue="3405"/>
    </cacheField>
    <cacheField name="# People with access to Sanity Pads" numFmtId="1">
      <sharedItems containsSemiMixedTypes="0" containsString="0" containsNumber="1" containsInteger="1" minValue="0" maxValue="1773"/>
    </cacheField>
    <cacheField name="# People received regular supply of hygiene items_6" numFmtId="1">
      <sharedItems containsSemiMixedTypes="0" containsString="0" containsNumber="1" containsInteger="1" minValue="0" maxValue="3405"/>
    </cacheField>
    <cacheField name="HRP3" numFmtId="1">
      <sharedItems containsSemiMixedTypes="0" containsString="0" containsNumber="1" containsInteger="1" minValue="0" maxValue="7000"/>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 of HH with access to Sanitary Pad" numFmtId="9">
      <sharedItems containsSemiMixedTypes="0" containsString="0" containsNumber="1" minValue="0" maxValue="1"/>
    </cacheField>
    <cacheField name="# Functional hand washing stations during reporting period" numFmtId="1">
      <sharedItems containsSemiMixedTypes="0" containsString="0" containsNumber="1" containsInteger="1" minValue="0" maxValue="315"/>
    </cacheField>
    <cacheField name="#HH with access to Hand Washing Station" numFmtId="1">
      <sharedItems containsSemiMixedTypes="0" containsString="0" containsNumber="1" containsInteger="1" minValue="0" maxValue="1400"/>
    </cacheField>
    <cacheField name="# of hand washing stations with soap in TLS" numFmtId="1">
      <sharedItems containsSemiMixedTypes="0" containsString="0" containsNumber="1" containsInteger="1" minValue="0" maxValue="12"/>
    </cacheField>
    <cacheField name="# People access to Handwashing Station" numFmtId="1">
      <sharedItems containsSemiMixedTypes="0" containsString="0" containsNumber="1" containsInteger="1" minValue="0" maxValue="7000"/>
    </cacheField>
    <cacheField name="Sites with TLS" numFmtId="1">
      <sharedItems/>
    </cacheField>
    <cacheField name="%_of_affected_people_surveyed_who_report_feeling_informed_about_the_different_WASH_services_available_to_them2" numFmtId="9">
      <sharedItems containsMixedTypes="1" containsNumber="1" minValue="1.3986013986013986E-3" maxValue="0.46948356807511737"/>
    </cacheField>
    <cacheField name="# of affected people surveyed who report feeling satistfied with the latrine design and sanitation service " numFmtId="164">
      <sharedItems containsSemiMixedTypes="0" containsString="0" containsNumber="1" minValue="0" maxValue="5757.5"/>
    </cacheField>
    <cacheField name="# of affected people surveyed who report feeling satistfied with the water point design and water service" numFmtId="164">
      <sharedItems containsSemiMixedTypes="0" containsString="0" containsNumber="1" minValue="0" maxValue="6580"/>
    </cacheField>
    <cacheField name="# complaints received that result in timely, corrective action and feedback to the community" numFmtId="164">
      <sharedItems containsSemiMixedTypes="0" containsString="0" containsNumber="1" minValue="0" maxValue="6580"/>
    </cacheField>
    <cacheField name="HRP4" numFmtId="164">
      <sharedItems containsSemiMixedTypes="0" containsString="0" containsNumber="1" minValue="0" maxValue="6580"/>
    </cacheField>
    <cacheField name="HRP5" numFmtId="164">
      <sharedItems containsSemiMixedTypes="0" containsString="0" containsNumber="1" containsInteger="1" minValue="0" maxValue="3000"/>
    </cacheField>
    <cacheField name="HRP6" numFmtId="164">
      <sharedItems containsSemiMixedTypes="0" containsString="0" containsNumber="1" containsInteger="1" minValue="0" maxValue="451"/>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9">
        <s v="Camp"/>
        <s v="Relocated"/>
        <s v="Village Type Camp"/>
        <m u="1"/>
        <s v="Temporary location" u="1"/>
        <s v="Camp like setting" u="1"/>
        <s v="Town" u="1"/>
        <e v="#N/A" u="1"/>
        <s v="Village" u="1"/>
      </sharedItems>
    </cacheField>
    <cacheField name="Type of accommodation" numFmtId="0">
      <sharedItems containsMixedTypes="1" containsNumber="1" containsInteger="1" minValue="0" maxValue="0" count="9">
        <s v="Camp like setting"/>
        <s v="Camp"/>
        <s v="Boarding School"/>
        <s v="IDPs in host"/>
        <s v="School"/>
        <s v="Relocated-Individual House"/>
        <s v="Closed Camp"/>
        <s v="Host Families"/>
        <n v="0" u="1"/>
      </sharedItems>
    </cacheField>
    <cacheField name="Ethnic or GCA/NGCA" numFmtId="0">
      <sharedItems containsMixedTypes="1" containsNumber="1" minValue="0" maxValue="97.49136" count="341">
        <s v="GCA"/>
        <s v="NGCA"/>
        <n v="0" u="1"/>
        <n v="20.181405999999999" u="1"/>
        <n v="20.8550128936768" u="1"/>
        <n v="20.201499999999999" u="1"/>
        <n v="20.645240783999999" u="1"/>
        <n v="23.682887999999998" u="1"/>
        <n v="25.371049444444399" u="1"/>
        <n v="26.569633" u="1"/>
        <n v="19.611209869384801" u="1"/>
        <n v="20.482030868999999" u="1"/>
        <n v="24.200367" u="1"/>
        <n v="24.263786" u="1"/>
        <n v="25.404752999999999" u="1"/>
        <n v="20.0641" u="1"/>
        <n v="20.713259999999998" u="1"/>
        <n v="23.400155999999999" u="1"/>
        <n v="23.4008" u="1"/>
        <n v="25.350809000000002" u="1"/>
        <n v="25.635300000000001" u="1"/>
        <n v="20.183790206909201" u="1"/>
        <n v="20.509660720999999" u="1"/>
        <n v="20.705930709838899" u="1"/>
        <n v="24.996279999999999" u="1"/>
        <n v="25.220278" u="1"/>
        <n v="25.321710740740698" u="1"/>
        <n v="19.424576999999999" u="1"/>
        <n v="20.191719055175799" u="1"/>
        <n v="24.222349999999999" u="1"/>
        <n v="97.49136" u="1"/>
        <n v="20.167421999999998" u="1"/>
        <n v="20.339799880981399" u="1"/>
        <n v="20.394809723000002" u="1"/>
        <n v="20.903770446777301" u="1"/>
        <n v="23.460349999999998" u="1"/>
        <n v="23.83013" u="1"/>
        <n v="19.421102000000001" u="1"/>
        <n v="21.000970840454102" u="1"/>
        <n v="25.493819999999999" u="1"/>
        <n v="20.494340897000001" u="1"/>
        <n v="20.711349487304702" u="1"/>
        <n v="23.591999999999999" u="1"/>
        <n v="27.337499999999999" u="1"/>
        <n v="20.398889541999999" u="1"/>
        <n v="20.569759368896499" u="1"/>
        <n v="23.829599000000002" u="1"/>
        <n v="24.08738" u="1"/>
        <n v="24.2631743589744" u="1"/>
        <n v="25.424529444444399" u="1"/>
        <n v="25.51352" u="1"/>
        <n v="20.731571197509801" u="1"/>
        <n v="22.677008000000001" u="1"/>
        <n v="19.7062797546387" u="1"/>
        <n v="20.179939999999998" u="1"/>
        <n v="20.272630691528299" u="1"/>
        <n v="23.250678000000001" u="1"/>
        <n v="23.828150000000001" u="1"/>
        <n v="24.056132999999999" u="1"/>
        <n v="24.24766" u="1"/>
        <n v="25.299679999999999" u="1"/>
        <n v="20.677059173583999" u="1"/>
        <n v="20.785770416259801" u="1"/>
        <n v="20.057860999999999" u="1"/>
        <n v="20.148584" u="1"/>
        <n v="20.151471999999998" u="1"/>
        <n v="20.16846" u="1"/>
        <n v="20.194370269775401" u="1"/>
        <n v="20.78332" u="1"/>
        <n v="23.099304" u="1"/>
        <n v="23.353999999999999" u="1"/>
        <n v="24.251860000000001" u="1"/>
        <n v="25.362420757575801" u="1"/>
        <n v="25.374343974359" u="1"/>
        <n v="26.548506" u="1"/>
        <n v="19.591590881347699" u="1"/>
        <n v="20.392137999999999" u="1"/>
        <n v="20.495670318603501" u="1"/>
        <n v="20.851089477539102" u="1"/>
        <n v="25.440928" u="1"/>
        <n v="25.656009999999998" u="1"/>
        <n v="19.721389770507798" u="1"/>
        <n v="20.786739349365199" u="1"/>
        <n v="20.806400299072301" u="1"/>
        <n v="24.245100000000001" u="1"/>
        <n v="25.265277999999999" u="1"/>
        <n v="25.415667500000001" u="1"/>
        <n v="19.725629806518601" u="1"/>
        <n v="20.18994" u="1"/>
        <n v="20.260789871215799" u="1"/>
        <n v="20.478969573974599" u="1"/>
        <n v="20.866529464721701" u="1"/>
        <n v="23.450914000000001" u="1"/>
        <n v="25.6145" u="1"/>
        <n v="20.564739227" u="1"/>
        <n v="23.694130000000001" u="1"/>
        <n v="24.200361000000001" u="1"/>
        <n v="24.404876999999999" u="1"/>
        <n v="25.423817" u="1"/>
        <n v="19.962713241577099" u="1"/>
        <n v="20.470119476318398" u="1"/>
        <n v="23.821380000000001" u="1"/>
        <n v="23.828520000000001" u="1"/>
        <n v="24.378167000000001" u="1"/>
        <n v="27.248964999999998" u="1"/>
        <n v="19.925739288330099" u="1"/>
        <n v="20.727589999999999" u="1"/>
        <n v="24.461033" u="1"/>
        <n v="25.403476999999999" u="1"/>
        <n v="25.404015000000001" u="1"/>
        <n v="25.613894999999999" u="1"/>
        <n v="25.920006000000001" u="1"/>
        <n v="20.463909149169901" u="1"/>
        <n v="20.910375595092798" u="1"/>
        <n v="24.260466999999998" u="1"/>
        <n v="25.305669999999999" u="1"/>
        <n v="25.360463124999999" u="1"/>
        <n v="20.037655000000001" u="1"/>
        <n v="24.260719999999999" u="1"/>
        <n v="24.764959999999999" u="1"/>
        <n v="25.418084" u="1"/>
        <n v="20.041981" u="1"/>
        <n v="20.497299194335898" u="1"/>
        <n v="20.8037109375" u="1"/>
        <n v="20.824777999999998" u="1"/>
        <n v="24.268292826086999" u="1"/>
        <n v="24.29138" u="1"/>
        <n v="25.305008999999998" u="1"/>
        <n v="25.401061110000001" u="1"/>
        <n v="25.4118005797101" u="1"/>
        <n v="20.212700000000002" u="1"/>
        <n v="20.596279144" u="1"/>
        <n v="20.946010589599599" u="1"/>
        <n v="24.129059999999999" u="1"/>
        <n v="97.431079999999994" u="1"/>
        <n v="19.991359710693398" u="1"/>
        <n v="20.180194" u="1"/>
        <n v="20.821479797363299" u="1"/>
        <n v="25.647649999999999" u="1"/>
        <n v="19.484790802001999" u="1"/>
        <n v="19.627199172973601" u="1"/>
        <n v="19.639009475708001" u="1"/>
        <n v="20.235199999999999" u="1"/>
        <n v="20.803529739379901" u="1"/>
        <n v="20.886997999999998" u="1"/>
        <n v="25.200333000000001" u="1"/>
        <n v="25.889410000000002" u="1"/>
        <n v="20.0087699890137" u="1"/>
        <n v="20.245159149169901" u="1"/>
        <n v="20.697889328002901" u="1"/>
        <n v="20.723630905151399" u="1"/>
        <n v="20.8490600585938" u="1"/>
        <n v="20.865687000000001" u="1"/>
        <n v="20.8950595855713" u="1"/>
        <n v="23.372409999999999" u="1"/>
        <n v="24.253067000000001" u="1"/>
        <n v="20.4625244140625" u="1"/>
        <n v="23.611999999999998" u="1"/>
        <n v="20.473930358886701" u="1"/>
        <n v="20.831729888916001" u="1"/>
        <n v="20.859569549560501" u="1"/>
        <n v="25.351250396825399" u="1"/>
        <n v="25.423209" u="1"/>
        <n v="20.155805999999998" u="1"/>
        <n v="20.632720946999999" u="1"/>
        <n v="24.002433" u="1"/>
        <n v="19.646549224853501" u="1"/>
        <n v="20.1573600769043" u="1"/>
        <n v="24.752471" u="1"/>
        <n v="25.333683333333301" u="1"/>
        <n v="25.3510167948718" u="1"/>
        <n v="25.3959740909091" u="1"/>
        <n v="20.1438598632813" u="1"/>
        <n v="20.1585" u="1"/>
        <n v="20.179417000000001" u="1"/>
        <n v="20.182987000000001" u="1"/>
        <n v="20.202525000000001" u="1"/>
        <n v="20.5047302246094" u="1"/>
        <n v="23.38503" u="1"/>
        <n v="24.32638" u="1"/>
        <n v="24.755253" u="1"/>
        <n v="25.351724999999998" u="1"/>
        <n v="23.588920000000002" u="1"/>
        <n v="25.415482000000001" u="1"/>
        <n v="20.709970473999999" u="1"/>
        <n v="23.463000000000001" u="1"/>
        <n v="23.976571" u="1"/>
        <n v="24.207332999999998" u="1"/>
        <n v="20.185917" u="1"/>
        <n v="20.218299999999999" u="1"/>
        <n v="20.453830718994102" u="1"/>
        <n v="23.24661" u="1"/>
        <n v="20.807970046997099" u="1"/>
        <n v="20.926780700683601" u="1"/>
        <n v="23.841646999999998" u="1"/>
        <n v="25.410569299999999" u="1"/>
        <n v="25.412313000000001" u="1"/>
        <n v="19.989589691162099" u="1"/>
        <n v="20.181742" u="1"/>
        <n v="20.396680832000001" u="1"/>
        <n v="20.872400283813501" u="1"/>
        <n v="24.006319999999999" u="1"/>
        <n v="24.998349999999999" u="1"/>
        <n v="25.599250000000001" u="1"/>
        <n v="25.616509000000001" u="1"/>
        <n v="97.010629910000006" u="1"/>
        <n v="19.610979080200199" u="1"/>
        <n v="20.361530303999999" u="1"/>
        <n v="20.630609511999999" u="1"/>
        <n v="24.661905999999998" u="1"/>
        <n v="24.980250000000002" u="1"/>
        <n v="25.428910999999999" u="1"/>
        <n v="25.582065" u="1"/>
        <n v="25.754110000000001" u="1"/>
        <n v="20.0839" u="1"/>
        <n v="20.108101999999999" u="1"/>
        <n v="20.1975498199463" u="1"/>
        <n v="25.356632000000001" u="1"/>
        <n v="26.541930000000001" u="1"/>
        <n v="97.104997409999996" u="1"/>
        <n v="20.162599563598601" u="1"/>
        <n v="19.955690383911101" u="1"/>
        <n v="20.1934604644775" u="1"/>
        <n v="20.987419128418001" u="1"/>
        <n v="25.637309999999999" u="1"/>
        <n v="20.480100631713899" u="1"/>
        <n v="20.785699844360401" u="1"/>
        <n v="24.250689999999999" u="1"/>
        <n v="20.206778" u="1"/>
        <n v="20.486930847168001" u="1"/>
        <n v="20.716699600219702" u="1"/>
        <n v="20.864519119262699" u="1"/>
        <n v="20.651939392089801" u="1"/>
        <n v="19.985679626464801" u="1"/>
        <n v="20.608819961999998" u="1"/>
        <n v="23.354268999999999" u="1"/>
        <n v="25.225000000000001" u="1"/>
        <n v="25.409612685185198" u="1"/>
        <n v="19.988689422607401" u="1"/>
        <n v="20.286720275878899" u="1"/>
        <n v="20.581470489501999" u="1"/>
        <n v="20.681715011596701" u="1"/>
        <n v="20.703550338745099" u="1"/>
        <n v="25.577559999999998" u="1"/>
        <n v="25.611160000000002" u="1"/>
        <n v="97.013800000000003" u="1"/>
        <n v="25.351965" u="1"/>
        <n v="20.099340438842798" u="1"/>
        <n v="20.335864000000001" u="1"/>
        <n v="25.60867" u="1"/>
        <n v="20.181778000000001" u="1"/>
        <n v="23.835319999999999" u="1"/>
        <n v="23.838190000000001" u="1"/>
        <n v="23.972453000000002" u="1"/>
        <n v="24.2744" u="1"/>
        <n v="20.204370498657202" u="1"/>
        <n v="20.399269" u="1"/>
        <n v="20.502599716186499" u="1"/>
        <n v="23.094290000000001" u="1"/>
        <n v="23.850999999999999" u="1"/>
        <n v="25.56551" u="1"/>
        <n v="19.434253692626999" u="1"/>
        <n v="19.726810455322301" u="1"/>
        <n v="25.615960999999999" u="1"/>
        <n v="20.229290008544901" u="1"/>
        <n v="20.627639770507798" u="1"/>
        <n v="21.025630950927699" u="1"/>
        <n v="23.933098999999999" u="1"/>
        <n v="20.148910522460898" u="1"/>
        <n v="20.587142" u="1"/>
        <n v="20.809240341186499" u="1"/>
        <n v="20.894269943237301" u="1"/>
        <n v="24.688338999999999" u="1"/>
        <n v="25.61842" u="1"/>
        <n v="24.118618999999999" u="1"/>
        <n v="24.251232000000002" u="1"/>
        <n v="24.764800000000001" u="1"/>
        <n v="25.422194000000001" u="1"/>
        <n v="20.207284999999999" u="1"/>
        <n v="20.805580139160199" u="1"/>
        <n v="20.903369903564499" u="1"/>
        <n v="21.0094203948975" u="1"/>
        <n v="19.615800857543899" u="1"/>
        <n v="19.930080413818398" u="1"/>
        <n v="20.218471527099599" u="1"/>
        <n v="20.46994972229" u="1"/>
        <n v="24.24953" u="1"/>
        <n v="25.3540362037037" u="1"/>
        <n v="20.5199794769287" u="1"/>
        <n v="23.827870999999998" u="1"/>
        <n v="24.205417000000001" u="1"/>
        <n v="25.417733999999999" u="1"/>
        <n v="19.738719940185501" u="1"/>
        <n v="20.506580353" u="1"/>
        <n v="24.200433" u="1"/>
        <n v="25.617998" u="1"/>
        <n v="27.311699999999998" u="1"/>
        <n v="20.2302" u="1"/>
        <n v="20.696819999999999" u="1"/>
        <n v="20.697229385376001" u="1"/>
        <n v="20.720213000000001" u="1"/>
        <n v="20.805734000000001" u="1"/>
        <n v="24.006789000000001" u="1"/>
        <n v="24.377054000000001" u="1"/>
        <n v="20.489089965820298" u="1"/>
        <n v="21.007270812988299" u="1"/>
        <n v="24.831944" u="1"/>
        <n v="25.887339999999998" u="1"/>
        <n v="19.988599777221701" u="1"/>
        <n v="20.090183" u="1"/>
        <n v="20.39902" u="1"/>
        <n v="25.668399999999998" u="1"/>
        <n v="20.128488999999998" u="1"/>
        <n v="20.202400000000001" u="1"/>
        <n v="20.424389999999999" u="1"/>
        <n v="20.644098281860401" u="1"/>
        <n v="20.782770156860401" u="1"/>
        <n v="20.936040878295898" u="1"/>
        <n v="23.833477999999999" u="1"/>
        <n v="25.345918166666699" u="1"/>
        <n v="25.645959999999999" u="1"/>
        <n v="20.064226000000001" u="1"/>
        <n v="20.292100000000001" u="1"/>
        <n v="25.296579999999999" u="1"/>
        <n v="25.3660036111111" u="1"/>
        <n v="19.619289398193398" u="1"/>
        <n v="20.127127999999999" u="1"/>
        <n v="25.30442" u="1"/>
        <n v="19.686580657958999" u="1"/>
        <n v="20.185092000000001" u="1"/>
        <n v="22.765999999999998" u="1"/>
        <n v="20.555610656738299" u="1"/>
        <n v="23.447111" u="1"/>
        <n v="19.9947109222412" u="1"/>
        <n v="20.073437999999999" u="1"/>
        <n v="20.464775085449201" u="1"/>
        <n v="20.6080207824707" u="1"/>
        <n v="25.566510000000001" u="1"/>
        <n v="19.9044303894043" u="1"/>
        <n v="20.268000000000001" u="1"/>
        <n v="24.200972" u="1"/>
      </sharedItems>
    </cacheField>
    <cacheField name="Lat" numFmtId="0">
      <sharedItems containsMixedTypes="1" containsNumber="1" minValue="0" maxValue="26.569633"/>
    </cacheField>
    <cacheField name="Long" numFmtId="0">
      <sharedItems containsMixedTypes="1" containsNumber="1" minValue="0" maxValue="98.779853500000002"/>
    </cacheField>
    <cacheField name="Pcode" numFmtId="0">
      <sharedItems containsMixedTypes="1" containsNumber="1" containsInteger="1" minValue="0" maxValue="0"/>
    </cacheField>
    <cacheField name="Covered" numFmtId="0">
      <sharedItems containsBlank="1" count="5">
        <s v="Covered"/>
        <s v="Notcovered"/>
        <m u="1"/>
        <s v="cccm_2019July" u="1"/>
        <e v="#REF!" u="1"/>
      </sharedItems>
    </cacheField>
    <cacheField name="Remark" numFmtId="0">
      <sharedItems containsBlank="1" count="3">
        <s v="yes"/>
        <m/>
        <s v="No"/>
      </sharedItems>
    </cacheField>
    <cacheField name="HH" numFmtId="0">
      <sharedItems containsBlank="1" containsMixedTypes="1" containsNumber="1" containsInteger="1" minValue="0" maxValue="1352"/>
    </cacheField>
    <cacheField name="Population" numFmtId="0">
      <sharedItems containsBlank="1" containsMixedTypes="1" containsNumber="1" containsInteger="1" minValue="0" maxValue="7253"/>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050.405160069444" createdVersion="6" refreshedVersion="7" minRefreshableVersion="3" recordCount="99" xr:uid="{1499D0FE-E8B8-480B-848F-CA4A2E64ED37}">
  <cacheSource type="worksheet">
    <worksheetSource name="Table11"/>
  </cacheSource>
  <cacheFields count="3">
    <cacheField name="State" numFmtId="0">
      <sharedItems count="12">
        <s v="Bago (East)"/>
        <s v="Chin"/>
        <s v="Kachin"/>
        <s v="Kayah"/>
        <s v="Kayin"/>
        <s v="Magway"/>
        <s v="Mon State"/>
        <s v="Rakhine"/>
        <s v="Sagaing"/>
        <s v="Shan (North)"/>
        <s v="Shan (South)"/>
        <s v="Mon" u="1"/>
      </sharedItems>
    </cacheField>
    <cacheField name="Acronym" numFmtId="0">
      <sharedItems count="47">
        <s v="PWJ"/>
        <s v="UNICEF"/>
        <s v="CARE"/>
        <s v="CHRO"/>
        <s v="KMSS"/>
        <s v="MA-UK"/>
        <s v="PIN"/>
        <s v="TGH-RCDF"/>
        <s v="ICRC"/>
        <s v="STW"/>
        <s v="KyWO"/>
        <s v="MC"/>
        <s v="WDC"/>
        <s v="ADRA"/>
        <s v="CIDKP"/>
        <s v="TWG"/>
        <s v="NHTYK"/>
        <s v="CDN"/>
        <s v="CERA"/>
        <s v="DRC"/>
        <s v="IRC"/>
        <s v="LWF"/>
        <s v="RI"/>
        <s v="SI"/>
        <s v="TGH-GJ"/>
        <s v="WFP"/>
        <s v="ACF"/>
        <s v="AYO"/>
        <s v="Metta"/>
        <s v="MM"/>
        <s v="SCI"/>
        <s v="HPA"/>
        <s v="KBC"/>
        <s v="Shalom"/>
        <s v="WCM"/>
        <s v="WPN"/>
        <s v="CDA"/>
        <s v="OXFAM"/>
        <s v="WVI"/>
        <s v="IRW"/>
        <s v="Malteser"/>
        <s v="PSSAG"/>
        <s v="SDF"/>
        <s v="TLDA"/>
        <s v="GLAD"/>
        <s v="MA_UK" u="1"/>
        <s v="Meikswe MM" u="1"/>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050.405160185182" createdVersion="7" refreshedVersion="7" minRefreshableVersion="3" recordCount="107" xr:uid="{87A334E5-60EE-4591-865F-BD8FCBEB6498}">
  <cacheSource type="worksheet">
    <worksheetSource name="Table1114"/>
  </cacheSource>
  <cacheFields count="3">
    <cacheField name="State" numFmtId="0">
      <sharedItems count="11">
        <s v="Bago (East)"/>
        <s v="Chin"/>
        <s v="Kachin"/>
        <s v="Kayah"/>
        <s v="Kayin"/>
        <s v="Magway"/>
        <s v="Mon"/>
        <s v="Rakhine"/>
        <s v="Sagaing"/>
        <s v="Shan (North)"/>
        <s v="Shan (South)"/>
      </sharedItems>
    </cacheField>
    <cacheField name="Acronym" numFmtId="0">
      <sharedItems count="48">
        <s v="PWJ"/>
        <s v="UNICEF"/>
        <s v="CARE"/>
        <s v="CHRO"/>
        <s v="KMSS"/>
        <s v="MA_UK"/>
        <s v="PIN"/>
        <s v="SCI"/>
        <s v="TGH-RCDF"/>
        <s v="ICRC"/>
        <s v="KBC"/>
        <s v="STW"/>
        <s v="WCM"/>
        <s v="KyWO"/>
        <s v="MC"/>
        <s v="WDC"/>
        <s v="ADRA"/>
        <s v="CIDKP"/>
        <s v="TWG"/>
        <s v="NHTYK"/>
        <s v="CDN"/>
        <s v="CERA"/>
        <s v="DRC"/>
        <s v="IRC"/>
        <s v="LWF"/>
        <s v="RI"/>
        <s v="SI"/>
        <s v="TGH-GJ"/>
        <s v="WFP"/>
        <s v="ACF"/>
        <s v="AYO"/>
        <s v="Swe Tha Har"/>
        <s v="Metta"/>
        <s v="MM"/>
        <s v="HPA"/>
        <s v="Shalom"/>
        <s v="WPN"/>
        <s v="CDA"/>
        <s v="OXFAM"/>
        <s v="WVI"/>
        <s v="IRW"/>
        <s v="Malteser"/>
        <s v="PSSAG"/>
        <s v="SDF"/>
        <s v="TLDA"/>
        <s v="GLAD"/>
        <s v="SPMO"/>
        <s v="MA-UK" u="1"/>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050.405160416667" createdVersion="6" refreshedVersion="7" minRefreshableVersion="3" recordCount="45" xr:uid="{E27625E0-AC44-474C-A2D2-68AB64A69968}">
  <cacheSource type="worksheet">
    <worksheetSource name="Table12"/>
  </cacheSource>
  <cacheFields count="2">
    <cacheField name="Acronym" numFmtId="0">
      <sharedItems/>
    </cacheField>
    <cacheField name="Type" numFmtId="0">
      <sharedItems count="5">
        <s v="CSO"/>
        <s v="International NGO"/>
        <s v="National NGO"/>
        <s v="Red Cross"/>
        <s v="United Nations"/>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050.405160648152" createdVersion="7" refreshedVersion="7" minRefreshableVersion="3" recordCount="47" xr:uid="{8A2F6903-FAF1-4DB2-A0C3-964E1F478579}">
  <cacheSource type="worksheet">
    <worksheetSource name="Table1215"/>
  </cacheSource>
  <cacheFields count="2">
    <cacheField name="Acronym" numFmtId="0">
      <sharedItems/>
    </cacheField>
    <cacheField name="Type" numFmtId="0">
      <sharedItems count="5">
        <s v="International NGO"/>
        <s v="CSO"/>
        <s v="National NGO"/>
        <s v="Red Cross"/>
        <s v="United Nations"/>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050.40516076389" createdVersion="6" refreshedVersion="7" minRefreshableVersion="3" recordCount="73" xr:uid="{F2DC6D15-FFB0-4EB3-9F86-717018A7F5AA}">
  <cacheSource type="worksheet">
    <worksheetSource name="Table9"/>
  </cacheSource>
  <cacheFields count="3">
    <cacheField name="State" numFmtId="0">
      <sharedItems containsBlank="1" count="12">
        <s v="Kachin"/>
        <s v="Shan (North)"/>
        <s v="Rakhine"/>
        <s v="Chin"/>
        <s v="Magway"/>
        <s v="Sagaing"/>
        <s v="Kayin"/>
        <s v="Mon"/>
        <m/>
        <s v="Shan (South)" u="1"/>
        <s v="Kayah" u="1"/>
        <s v="Bago (East)" u="1"/>
      </sharedItems>
    </cacheField>
    <cacheField name="Acronym" numFmtId="0">
      <sharedItems containsBlank="1" count="56">
        <s v="IRC"/>
        <s v="KBC"/>
        <s v="KMSS"/>
        <s v="Metta"/>
        <s v="Shalom"/>
        <s v="SI"/>
        <s v="STW"/>
        <s v="UNICEF"/>
        <s v="WPN"/>
        <s v="HPA"/>
        <s v="GLAD"/>
        <s v="CARE"/>
        <s v="Meikswe Myanmar"/>
        <s v="CDA"/>
        <s v="Oxfam"/>
        <s v="RI"/>
        <s v="SCI"/>
        <s v="DRC"/>
        <s v="MA_UK"/>
        <s v="TLDA"/>
        <s v="SDF"/>
        <s v="ALARM"/>
        <s v="TEF"/>
        <s v="Meikswe MM"/>
        <s v="MA-UK"/>
        <s v="PIN"/>
        <s v="CHRO"/>
        <s v="TGH-RCDF"/>
        <s v="GN"/>
        <s v="ACF"/>
        <s v="AYO"/>
        <s v="Swe Tha Har"/>
        <s v="CDN"/>
        <s v="TGH-GJ"/>
        <s v="CERA"/>
        <s v="LWF"/>
        <s v="WFP"/>
        <s v="UNHCR"/>
        <s v="ADRA"/>
        <s v="CIDKP"/>
        <s v="Alinn BLDO"/>
        <m/>
        <s v="W_138" u="1"/>
        <s v="IRW" u="1"/>
        <s v="W_137" u="1"/>
        <s v="W_121" u="1"/>
        <s v="SCI / ICRC" u="1"/>
        <s v="W_098" u="1"/>
        <s v="ICRC" u="1"/>
        <s v="OXSI (Oxfam)" u="1"/>
        <s v="W_005" u="1"/>
        <s v="OXSI (SI)" u="1"/>
        <s v="W_070" u="1"/>
        <s v="Nway Htwe Thaw Yin Khwin" u="1"/>
        <s v="W_057" u="1"/>
        <s v="Metta " u="1"/>
      </sharedItems>
    </cacheField>
    <cacheField name="reporting"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
  <r>
    <x v="0"/>
    <x v="0"/>
    <x v="0"/>
    <s v="SIDA"/>
    <x v="0"/>
    <x v="0"/>
    <x v="0"/>
    <x v="0"/>
    <n v="49"/>
    <n v="203"/>
    <d v="2022-04-01T00:00:00"/>
    <d v="2022-10-31T00:00:00"/>
    <m/>
    <m/>
    <m/>
    <m/>
    <s v="Yes"/>
    <n v="1"/>
    <n v="1"/>
    <n v="4"/>
    <m/>
    <m/>
    <m/>
    <m/>
    <m/>
    <m/>
    <m/>
    <m/>
    <m/>
    <m/>
    <m/>
    <m/>
    <m/>
    <m/>
    <m/>
    <m/>
    <m/>
    <m/>
    <n v="1"/>
    <m/>
    <m/>
    <m/>
    <n v="7"/>
    <m/>
    <m/>
    <m/>
    <m/>
    <m/>
    <m/>
    <m/>
    <x v="0"/>
    <x v="0"/>
    <m/>
    <m/>
    <m/>
    <m/>
    <n v="4"/>
    <m/>
    <n v="2"/>
    <m/>
    <m/>
    <n v="2"/>
    <m/>
    <n v="1"/>
    <m/>
    <m/>
    <m/>
    <s v="Yes"/>
    <m/>
    <m/>
    <m/>
    <m/>
    <m/>
    <m/>
    <m/>
    <m/>
    <m/>
    <m/>
    <m/>
    <m/>
    <m/>
    <m/>
    <s v="no test"/>
    <s v="no test"/>
    <s v="No Test"/>
    <n v="4"/>
    <n v="0"/>
    <n v="0"/>
    <n v="0"/>
    <n v="0"/>
    <n v="0"/>
    <n v="0"/>
    <n v="1"/>
    <n v="1"/>
    <n v="1"/>
    <n v="203"/>
    <n v="0"/>
    <n v="0"/>
    <n v="1"/>
    <n v="203"/>
    <n v="0.40600000000000003"/>
    <n v="0"/>
    <n v="0"/>
    <n v="0.59399999999999997"/>
    <n v="1"/>
    <n v="7"/>
    <n v="0.70935960591133007"/>
    <n v="144"/>
    <n v="0"/>
    <n v="0"/>
    <n v="0"/>
    <n v="10"/>
    <n v="3"/>
    <n v="0.29064039408866993"/>
    <n v="0"/>
    <n v="203"/>
    <n v="0"/>
    <n v="0"/>
    <n v="0"/>
    <n v="203"/>
    <n v="1"/>
    <n v="0"/>
    <n v="1"/>
    <n v="0"/>
    <n v="0"/>
    <n v="2"/>
    <n v="40"/>
    <n v="1"/>
    <n v="200"/>
    <s v="No"/>
    <s v=""/>
    <n v="0"/>
    <n v="0"/>
    <n v="0"/>
    <n v="0"/>
    <n v="0"/>
    <n v="0"/>
    <n v="0"/>
    <n v="0"/>
    <x v="0"/>
    <x v="0"/>
    <x v="0"/>
    <n v="0"/>
    <n v="0"/>
    <n v="0"/>
    <x v="0"/>
    <x v="0"/>
    <n v="0"/>
    <n v="0"/>
  </r>
  <r>
    <x v="0"/>
    <x v="1"/>
    <x v="1"/>
    <s v="UNICEF"/>
    <x v="0"/>
    <x v="1"/>
    <x v="1"/>
    <x v="1"/>
    <n v="53"/>
    <n v="278"/>
    <d v="2023-02-16T00:00:00"/>
    <d v="2024-02-15T00:00:00"/>
    <m/>
    <n v="3"/>
    <m/>
    <m/>
    <s v="Yes"/>
    <n v="2"/>
    <n v="8"/>
    <n v="1"/>
    <m/>
    <m/>
    <m/>
    <m/>
    <m/>
    <m/>
    <m/>
    <m/>
    <m/>
    <m/>
    <m/>
    <m/>
    <m/>
    <m/>
    <m/>
    <m/>
    <m/>
    <m/>
    <n v="5"/>
    <m/>
    <m/>
    <m/>
    <n v="22"/>
    <m/>
    <m/>
    <m/>
    <m/>
    <m/>
    <m/>
    <m/>
    <x v="0"/>
    <x v="0"/>
    <n v="1"/>
    <m/>
    <m/>
    <m/>
    <m/>
    <m/>
    <n v="7"/>
    <m/>
    <m/>
    <n v="3"/>
    <m/>
    <m/>
    <n v="2"/>
    <m/>
    <m/>
    <s v="Yes"/>
    <n v="1"/>
    <m/>
    <m/>
    <m/>
    <m/>
    <m/>
    <m/>
    <m/>
    <m/>
    <m/>
    <m/>
    <m/>
    <m/>
    <m/>
    <s v="no test"/>
    <s v="no test"/>
    <s v="No Test"/>
    <n v="1"/>
    <n v="0"/>
    <n v="0"/>
    <n v="0"/>
    <n v="0"/>
    <n v="0"/>
    <n v="0"/>
    <n v="1"/>
    <n v="0.89928057553956831"/>
    <n v="1"/>
    <n v="278"/>
    <n v="0"/>
    <n v="0"/>
    <n v="1"/>
    <n v="278"/>
    <n v="0.55600000000000005"/>
    <n v="0"/>
    <n v="0"/>
    <n v="0.44399999999999995"/>
    <n v="1"/>
    <n v="22"/>
    <n v="1"/>
    <n v="278"/>
    <n v="0"/>
    <n v="0"/>
    <n v="0"/>
    <n v="14"/>
    <n v="0"/>
    <n v="0"/>
    <n v="0"/>
    <n v="278"/>
    <n v="0"/>
    <n v="0"/>
    <n v="0"/>
    <n v="278"/>
    <n v="1"/>
    <n v="0"/>
    <n v="1"/>
    <n v="0"/>
    <n v="0"/>
    <n v="7"/>
    <n v="53"/>
    <n v="5"/>
    <n v="278"/>
    <s v="No"/>
    <s v=""/>
    <n v="0"/>
    <n v="0"/>
    <n v="0"/>
    <n v="0"/>
    <n v="0"/>
    <n v="0"/>
    <s v="Yes"/>
    <s v="KMSS-MYT"/>
    <x v="0"/>
    <x v="1"/>
    <x v="0"/>
    <n v="25.403476999999999"/>
    <n v="97.373361000000003"/>
    <s v="MMR001CMP019"/>
    <x v="0"/>
    <x v="0"/>
    <n v="63"/>
    <n v="337"/>
  </r>
  <r>
    <x v="0"/>
    <x v="1"/>
    <x v="1"/>
    <s v="UNICEF"/>
    <x v="0"/>
    <x v="1"/>
    <x v="1"/>
    <x v="2"/>
    <n v="18"/>
    <n v="62"/>
    <d v="2023-02-16T00:00:00"/>
    <d v="2024-02-15T00:00:00"/>
    <n v="489"/>
    <n v="2"/>
    <m/>
    <m/>
    <s v="Yes"/>
    <n v="1"/>
    <n v="2"/>
    <n v="1"/>
    <m/>
    <m/>
    <n v="1"/>
    <m/>
    <m/>
    <m/>
    <m/>
    <m/>
    <m/>
    <m/>
    <m/>
    <m/>
    <m/>
    <m/>
    <m/>
    <m/>
    <m/>
    <m/>
    <n v="4"/>
    <m/>
    <m/>
    <m/>
    <n v="4"/>
    <m/>
    <m/>
    <m/>
    <m/>
    <m/>
    <m/>
    <m/>
    <x v="0"/>
    <x v="0"/>
    <m/>
    <m/>
    <m/>
    <m/>
    <m/>
    <m/>
    <n v="2"/>
    <m/>
    <m/>
    <n v="1"/>
    <m/>
    <m/>
    <n v="1"/>
    <m/>
    <m/>
    <s v="Yes"/>
    <n v="1"/>
    <m/>
    <m/>
    <m/>
    <m/>
    <m/>
    <m/>
    <m/>
    <m/>
    <m/>
    <m/>
    <m/>
    <m/>
    <m/>
    <s v="no test"/>
    <s v="no test"/>
    <s v="No Test"/>
    <n v="1"/>
    <n v="1"/>
    <n v="0"/>
    <n v="0"/>
    <n v="0"/>
    <n v="0"/>
    <n v="0"/>
    <n v="1"/>
    <n v="1"/>
    <n v="1"/>
    <n v="62"/>
    <n v="0"/>
    <n v="0"/>
    <n v="1"/>
    <n v="62"/>
    <n v="0.124"/>
    <n v="0"/>
    <n v="0"/>
    <n v="0.876"/>
    <n v="1"/>
    <n v="4"/>
    <n v="1"/>
    <n v="62"/>
    <n v="0"/>
    <n v="0"/>
    <n v="0"/>
    <n v="3"/>
    <n v="0"/>
    <n v="0"/>
    <n v="0"/>
    <n v="62"/>
    <n v="0"/>
    <n v="0"/>
    <n v="0"/>
    <n v="62"/>
    <n v="1"/>
    <n v="0"/>
    <n v="1"/>
    <n v="0"/>
    <n v="0"/>
    <n v="2"/>
    <n v="18"/>
    <n v="4"/>
    <n v="62"/>
    <s v="Yes"/>
    <s v=""/>
    <n v="0"/>
    <n v="0"/>
    <n v="0"/>
    <n v="0"/>
    <n v="0"/>
    <n v="0"/>
    <n v="0"/>
    <s v="KMSS-MYT"/>
    <x v="0"/>
    <x v="1"/>
    <x v="0"/>
    <n v="25.244700000000002"/>
    <n v="97.2209"/>
    <s v="MMR001CMP256"/>
    <x v="0"/>
    <x v="0"/>
    <n v="18"/>
    <n v="61"/>
  </r>
  <r>
    <x v="0"/>
    <x v="2"/>
    <x v="0"/>
    <s v="UNICEF"/>
    <x v="0"/>
    <x v="2"/>
    <x v="1"/>
    <x v="3"/>
    <n v="178"/>
    <n v="1075"/>
    <d v="2022-09-07T00:00:00"/>
    <d v="2023-09-06T00:00:00"/>
    <m/>
    <n v="2"/>
    <m/>
    <m/>
    <s v="Yes"/>
    <n v="3"/>
    <n v="1"/>
    <m/>
    <m/>
    <m/>
    <m/>
    <m/>
    <m/>
    <m/>
    <m/>
    <m/>
    <m/>
    <m/>
    <m/>
    <m/>
    <m/>
    <m/>
    <m/>
    <m/>
    <m/>
    <m/>
    <m/>
    <m/>
    <m/>
    <m/>
    <n v="32"/>
    <m/>
    <m/>
    <m/>
    <m/>
    <m/>
    <m/>
    <n v="32"/>
    <x v="0"/>
    <x v="0"/>
    <m/>
    <m/>
    <n v="5"/>
    <m/>
    <m/>
    <m/>
    <n v="8"/>
    <m/>
    <m/>
    <n v="3"/>
    <m/>
    <n v="2"/>
    <m/>
    <m/>
    <m/>
    <m/>
    <m/>
    <m/>
    <m/>
    <m/>
    <m/>
    <m/>
    <m/>
    <m/>
    <m/>
    <m/>
    <m/>
    <m/>
    <m/>
    <m/>
    <s v="no test"/>
    <s v="no test"/>
    <s v="No Test"/>
    <n v="0"/>
    <n v="0"/>
    <n v="0"/>
    <n v="0"/>
    <n v="0"/>
    <n v="0"/>
    <n v="0"/>
    <n v="0"/>
    <n v="0"/>
    <n v="0"/>
    <n v="0"/>
    <n v="0"/>
    <n v="0"/>
    <n v="0"/>
    <n v="0"/>
    <n v="0"/>
    <n v="1"/>
    <n v="1075"/>
    <n v="2"/>
    <n v="2"/>
    <n v="32"/>
    <n v="0.59534883720930232"/>
    <n v="640"/>
    <n v="0"/>
    <n v="0"/>
    <n v="0"/>
    <n v="54"/>
    <n v="22"/>
    <n v="0.40465116279069768"/>
    <n v="0"/>
    <n v="1000"/>
    <n v="0"/>
    <n v="0"/>
    <n v="0"/>
    <n v="1000"/>
    <n v="0.93023255813953487"/>
    <n v="6.9767441860465129E-2"/>
    <n v="0.93023255813953487"/>
    <n v="0"/>
    <n v="0"/>
    <n v="8"/>
    <n v="160"/>
    <n v="0"/>
    <n v="800"/>
    <s v="No"/>
    <s v=""/>
    <n v="0"/>
    <n v="0"/>
    <n v="0"/>
    <n v="0"/>
    <n v="0"/>
    <n v="0"/>
    <s v="Yes"/>
    <s v="KBC-MYT"/>
    <x v="0"/>
    <x v="1"/>
    <x v="1"/>
    <n v="25.754110000000001"/>
    <n v="98.475719999999995"/>
    <s v="MMR001CMP043"/>
    <x v="0"/>
    <x v="0"/>
    <n v="178"/>
    <n v="1075"/>
  </r>
  <r>
    <x v="0"/>
    <x v="2"/>
    <x v="0"/>
    <s v="UNICEF"/>
    <x v="0"/>
    <x v="3"/>
    <x v="1"/>
    <x v="4"/>
    <n v="25"/>
    <n v="128"/>
    <d v="2022-09-07T00:00:00"/>
    <d v="2023-09-06T00:00:00"/>
    <m/>
    <n v="1"/>
    <m/>
    <m/>
    <s v="Yes"/>
    <n v="3"/>
    <n v="3"/>
    <m/>
    <m/>
    <m/>
    <n v="1"/>
    <m/>
    <m/>
    <m/>
    <m/>
    <m/>
    <m/>
    <m/>
    <m/>
    <m/>
    <m/>
    <m/>
    <m/>
    <m/>
    <m/>
    <m/>
    <m/>
    <m/>
    <m/>
    <m/>
    <n v="4"/>
    <m/>
    <m/>
    <m/>
    <m/>
    <m/>
    <m/>
    <n v="4"/>
    <x v="0"/>
    <x v="0"/>
    <m/>
    <m/>
    <m/>
    <m/>
    <m/>
    <m/>
    <n v="1"/>
    <m/>
    <m/>
    <n v="1"/>
    <m/>
    <m/>
    <m/>
    <m/>
    <m/>
    <m/>
    <m/>
    <m/>
    <m/>
    <m/>
    <m/>
    <m/>
    <m/>
    <m/>
    <m/>
    <m/>
    <m/>
    <m/>
    <m/>
    <m/>
    <s v="no test"/>
    <s v="no test"/>
    <s v="No Test"/>
    <n v="0"/>
    <n v="1"/>
    <n v="0"/>
    <n v="0"/>
    <n v="0"/>
    <n v="0"/>
    <n v="0"/>
    <n v="1"/>
    <n v="1"/>
    <n v="1"/>
    <n v="128"/>
    <n v="0"/>
    <n v="0"/>
    <n v="1"/>
    <n v="128"/>
    <n v="0.25600000000000001"/>
    <n v="0"/>
    <n v="0"/>
    <n v="0.74399999999999999"/>
    <n v="1"/>
    <n v="4"/>
    <n v="0.625"/>
    <n v="80"/>
    <n v="0"/>
    <n v="0"/>
    <n v="0"/>
    <n v="6"/>
    <n v="2"/>
    <n v="0.375"/>
    <n v="0"/>
    <n v="0"/>
    <n v="0"/>
    <n v="0"/>
    <n v="0"/>
    <n v="0"/>
    <n v="0"/>
    <n v="1"/>
    <n v="0"/>
    <n v="0"/>
    <n v="0"/>
    <n v="1"/>
    <n v="20"/>
    <n v="0"/>
    <n v="100"/>
    <s v="No"/>
    <s v=""/>
    <n v="0"/>
    <n v="0"/>
    <n v="0"/>
    <n v="0"/>
    <n v="0"/>
    <n v="0"/>
    <s v="Yes"/>
    <s v="KBC-MYT"/>
    <x v="0"/>
    <x v="1"/>
    <x v="0"/>
    <n v="25.51352"/>
    <n v="96.705960000000005"/>
    <s v="MMR001CMP148"/>
    <x v="0"/>
    <x v="0"/>
    <n v="26"/>
    <n v="125"/>
  </r>
  <r>
    <x v="0"/>
    <x v="3"/>
    <x v="2"/>
    <s v="ANCHOR"/>
    <x v="0"/>
    <x v="3"/>
    <x v="1"/>
    <x v="5"/>
    <n v="96"/>
    <n v="446"/>
    <d v="2023-01-01T00:00:00"/>
    <d v="2023-12-31T00:00:00"/>
    <n v="50"/>
    <m/>
    <n v="1"/>
    <n v="1"/>
    <s v="No"/>
    <n v="5"/>
    <n v="5"/>
    <n v="3"/>
    <m/>
    <m/>
    <m/>
    <m/>
    <m/>
    <m/>
    <n v="4"/>
    <m/>
    <n v="5.6781180000000004"/>
    <m/>
    <m/>
    <m/>
    <m/>
    <n v="1"/>
    <m/>
    <m/>
    <m/>
    <m/>
    <m/>
    <m/>
    <m/>
    <m/>
    <n v="4"/>
    <n v="14"/>
    <s v="Chruch , Shalom"/>
    <m/>
    <m/>
    <m/>
    <m/>
    <m/>
    <x v="0"/>
    <x v="1"/>
    <m/>
    <m/>
    <m/>
    <m/>
    <n v="8"/>
    <s v="New Latrine လိုအပ်"/>
    <n v="4"/>
    <n v="3"/>
    <n v="1"/>
    <n v="1"/>
    <n v="1"/>
    <n v="1"/>
    <m/>
    <n v="96"/>
    <n v="99"/>
    <m/>
    <n v="1"/>
    <m/>
    <s v="45 နှစ်အထက် အမျိုးသမီးများလည်း လစဉ်သုံးပေးစေလို"/>
    <n v="1"/>
    <n v="1"/>
    <n v="30"/>
    <n v="0.7"/>
    <m/>
    <m/>
    <m/>
    <m/>
    <m/>
    <m/>
    <m/>
    <s v="no test"/>
    <s v="no test"/>
    <s v="No Test"/>
    <n v="3"/>
    <n v="0"/>
    <n v="4"/>
    <n v="0"/>
    <n v="0"/>
    <n v="0"/>
    <n v="0"/>
    <n v="1"/>
    <n v="1"/>
    <n v="1"/>
    <n v="446"/>
    <n v="0"/>
    <n v="0"/>
    <n v="1"/>
    <n v="446"/>
    <n v="0.89200000000000002"/>
    <n v="0"/>
    <n v="0"/>
    <n v="0.10799999999999998"/>
    <n v="1"/>
    <n v="18"/>
    <n v="0.82511210762331844"/>
    <n v="368"/>
    <n v="0"/>
    <n v="0"/>
    <n v="0"/>
    <n v="22"/>
    <n v="4"/>
    <n v="0.17488789237668156"/>
    <n v="0"/>
    <n v="446"/>
    <n v="446"/>
    <n v="99"/>
    <n v="446"/>
    <n v="446"/>
    <n v="1"/>
    <n v="0"/>
    <n v="1"/>
    <n v="1"/>
    <n v="1"/>
    <n v="1"/>
    <n v="20"/>
    <n v="0"/>
    <n v="100"/>
    <s v="Yes"/>
    <n v="6.726457399103139E-2"/>
    <n v="446"/>
    <n v="446"/>
    <n v="312.2"/>
    <n v="446"/>
    <n v="0"/>
    <n v="0"/>
    <s v="Yes"/>
    <s v="Shalom"/>
    <x v="0"/>
    <x v="1"/>
    <x v="0"/>
    <n v="25.635300000000001"/>
    <n v="96.345569999999995"/>
    <s v="MMR001CMP176"/>
    <x v="0"/>
    <x v="0"/>
    <n v="95"/>
    <n v="442"/>
  </r>
  <r>
    <x v="0"/>
    <x v="1"/>
    <x v="1"/>
    <s v="UNICEF"/>
    <x v="0"/>
    <x v="1"/>
    <x v="1"/>
    <x v="6"/>
    <n v="59"/>
    <n v="274"/>
    <d v="2023-02-16T00:00:00"/>
    <d v="2024-02-15T00:00:00"/>
    <m/>
    <n v="2"/>
    <m/>
    <m/>
    <s v="Yes"/>
    <n v="2"/>
    <n v="9"/>
    <m/>
    <m/>
    <m/>
    <n v="4"/>
    <m/>
    <m/>
    <m/>
    <m/>
    <m/>
    <m/>
    <m/>
    <m/>
    <m/>
    <m/>
    <m/>
    <m/>
    <m/>
    <m/>
    <m/>
    <n v="4"/>
    <m/>
    <m/>
    <m/>
    <n v="20"/>
    <m/>
    <m/>
    <m/>
    <m/>
    <m/>
    <m/>
    <m/>
    <x v="0"/>
    <x v="0"/>
    <n v="1"/>
    <m/>
    <m/>
    <m/>
    <m/>
    <m/>
    <n v="7"/>
    <m/>
    <m/>
    <n v="2"/>
    <m/>
    <m/>
    <n v="1"/>
    <m/>
    <m/>
    <s v="Yes"/>
    <n v="1"/>
    <m/>
    <m/>
    <m/>
    <m/>
    <m/>
    <m/>
    <m/>
    <m/>
    <m/>
    <m/>
    <m/>
    <m/>
    <m/>
    <s v="no test"/>
    <s v="no test"/>
    <s v="No Test"/>
    <n v="0"/>
    <n v="4"/>
    <n v="0"/>
    <n v="0"/>
    <n v="0"/>
    <n v="0"/>
    <n v="0"/>
    <n v="1"/>
    <n v="1"/>
    <n v="1"/>
    <n v="274"/>
    <n v="0"/>
    <n v="0"/>
    <n v="1"/>
    <n v="274"/>
    <n v="0.54800000000000004"/>
    <n v="0"/>
    <n v="0"/>
    <n v="0.45199999999999996"/>
    <n v="1"/>
    <n v="20"/>
    <n v="1"/>
    <n v="274"/>
    <n v="0"/>
    <n v="0"/>
    <n v="0"/>
    <n v="14"/>
    <n v="0"/>
    <n v="0"/>
    <n v="0"/>
    <n v="274"/>
    <n v="0"/>
    <n v="0"/>
    <n v="0"/>
    <n v="274"/>
    <n v="1"/>
    <n v="0"/>
    <n v="1"/>
    <n v="0"/>
    <n v="0"/>
    <n v="7"/>
    <n v="59"/>
    <n v="4"/>
    <n v="274"/>
    <s v="No"/>
    <s v=""/>
    <n v="0"/>
    <n v="0"/>
    <n v="0"/>
    <n v="0"/>
    <n v="0"/>
    <n v="0"/>
    <s v="Yes"/>
    <s v="KMSS-MYT"/>
    <x v="0"/>
    <x v="1"/>
    <x v="0"/>
    <n v="25.410569299999999"/>
    <n v="97.359320179999997"/>
    <s v="MMR001CMP024"/>
    <x v="0"/>
    <x v="0"/>
    <n v="59"/>
    <n v="271"/>
  </r>
  <r>
    <x v="0"/>
    <x v="2"/>
    <x v="0"/>
    <s v="UNICEF"/>
    <x v="0"/>
    <x v="3"/>
    <x v="1"/>
    <x v="7"/>
    <n v="24"/>
    <n v="105"/>
    <d v="2022-09-07T00:00:00"/>
    <d v="2023-09-06T00:00:00"/>
    <m/>
    <n v="1"/>
    <m/>
    <m/>
    <m/>
    <n v="2"/>
    <n v="2"/>
    <n v="1"/>
    <m/>
    <m/>
    <n v="1"/>
    <m/>
    <m/>
    <m/>
    <m/>
    <m/>
    <m/>
    <m/>
    <m/>
    <m/>
    <m/>
    <m/>
    <m/>
    <m/>
    <m/>
    <m/>
    <m/>
    <m/>
    <m/>
    <m/>
    <m/>
    <m/>
    <m/>
    <m/>
    <m/>
    <m/>
    <m/>
    <m/>
    <x v="1"/>
    <x v="2"/>
    <m/>
    <m/>
    <m/>
    <m/>
    <m/>
    <m/>
    <n v="5"/>
    <m/>
    <m/>
    <n v="3"/>
    <m/>
    <m/>
    <m/>
    <m/>
    <m/>
    <m/>
    <m/>
    <m/>
    <m/>
    <m/>
    <m/>
    <m/>
    <m/>
    <m/>
    <m/>
    <m/>
    <m/>
    <m/>
    <m/>
    <m/>
    <s v="no test"/>
    <s v="no test"/>
    <s v="No Test"/>
    <n v="1"/>
    <n v="1"/>
    <n v="0"/>
    <n v="0"/>
    <n v="0"/>
    <n v="0"/>
    <n v="0"/>
    <n v="1"/>
    <n v="1"/>
    <n v="1"/>
    <n v="105"/>
    <n v="0"/>
    <n v="0"/>
    <n v="1"/>
    <n v="105"/>
    <n v="0.21"/>
    <n v="0"/>
    <n v="0"/>
    <n v="0.79"/>
    <n v="1"/>
    <n v="0"/>
    <n v="0"/>
    <n v="0"/>
    <n v="0"/>
    <n v="0"/>
    <n v="0"/>
    <n v="5"/>
    <n v="5"/>
    <n v="1"/>
    <n v="0"/>
    <n v="0"/>
    <n v="0"/>
    <n v="0"/>
    <n v="0"/>
    <n v="0"/>
    <n v="0"/>
    <n v="1"/>
    <n v="0"/>
    <n v="0"/>
    <n v="0"/>
    <n v="5"/>
    <n v="24"/>
    <n v="0"/>
    <n v="105"/>
    <s v="No"/>
    <s v=""/>
    <n v="0"/>
    <n v="0"/>
    <n v="0"/>
    <n v="0"/>
    <n v="0"/>
    <n v="0"/>
    <s v="Yes"/>
    <s v="KMSS-MYT"/>
    <x v="0"/>
    <x v="1"/>
    <x v="0"/>
    <n v="25.920006000000001"/>
    <n v="96.662092000000001"/>
    <s v="MMR001CMP247"/>
    <x v="0"/>
    <x v="0"/>
    <n v="24"/>
    <n v="104"/>
  </r>
  <r>
    <x v="0"/>
    <x v="1"/>
    <x v="1"/>
    <s v="UNICEF"/>
    <x v="0"/>
    <x v="1"/>
    <x v="1"/>
    <x v="8"/>
    <n v="140"/>
    <n v="948"/>
    <d v="2023-02-16T00:00:00"/>
    <d v="2024-02-15T00:00:00"/>
    <m/>
    <n v="4"/>
    <m/>
    <m/>
    <s v="Yes"/>
    <n v="1"/>
    <n v="4"/>
    <n v="4"/>
    <m/>
    <m/>
    <n v="2"/>
    <m/>
    <m/>
    <m/>
    <n v="1"/>
    <m/>
    <m/>
    <m/>
    <m/>
    <m/>
    <m/>
    <m/>
    <m/>
    <m/>
    <m/>
    <m/>
    <n v="12"/>
    <m/>
    <m/>
    <m/>
    <n v="33"/>
    <m/>
    <m/>
    <m/>
    <m/>
    <m/>
    <m/>
    <m/>
    <x v="0"/>
    <x v="0"/>
    <n v="1"/>
    <m/>
    <m/>
    <m/>
    <m/>
    <m/>
    <n v="8"/>
    <m/>
    <m/>
    <n v="5"/>
    <m/>
    <m/>
    <n v="2"/>
    <m/>
    <m/>
    <s v="Yes"/>
    <n v="1"/>
    <m/>
    <m/>
    <m/>
    <m/>
    <m/>
    <m/>
    <m/>
    <m/>
    <m/>
    <m/>
    <m/>
    <m/>
    <m/>
    <s v="no test"/>
    <s v="no test"/>
    <s v="No Test"/>
    <n v="4"/>
    <n v="2"/>
    <n v="1"/>
    <n v="0"/>
    <n v="0"/>
    <n v="0"/>
    <n v="0"/>
    <n v="1"/>
    <n v="1"/>
    <n v="1"/>
    <n v="948"/>
    <n v="0"/>
    <n v="0"/>
    <n v="1"/>
    <n v="948"/>
    <n v="1.8959999999999999"/>
    <n v="0"/>
    <n v="0"/>
    <n v="0.10400000000000009"/>
    <n v="2"/>
    <n v="33"/>
    <n v="0.71729957805907174"/>
    <n v="680"/>
    <n v="0"/>
    <n v="0"/>
    <n v="0"/>
    <n v="47"/>
    <n v="14"/>
    <n v="0.28270042194092826"/>
    <n v="0"/>
    <n v="948"/>
    <n v="0"/>
    <n v="0"/>
    <n v="0"/>
    <n v="948"/>
    <n v="1"/>
    <n v="0"/>
    <n v="1"/>
    <n v="0"/>
    <n v="0"/>
    <n v="8"/>
    <n v="140"/>
    <n v="12"/>
    <n v="800"/>
    <s v="No"/>
    <s v=""/>
    <n v="0"/>
    <n v="0"/>
    <n v="0"/>
    <n v="0"/>
    <n v="0"/>
    <n v="0"/>
    <s v="Yes"/>
    <s v="KMSS-MYT"/>
    <x v="0"/>
    <x v="1"/>
    <x v="0"/>
    <n v="25.493819999999999"/>
    <n v="97.4345"/>
    <s v="MMR001CMP162"/>
    <x v="0"/>
    <x v="0"/>
    <n v="138"/>
    <n v="948"/>
  </r>
  <r>
    <x v="0"/>
    <x v="4"/>
    <x v="3"/>
    <m/>
    <x v="0"/>
    <x v="4"/>
    <x v="1"/>
    <x v="9"/>
    <n v="48"/>
    <n v="240"/>
    <m/>
    <m/>
    <m/>
    <m/>
    <m/>
    <m/>
    <m/>
    <m/>
    <m/>
    <m/>
    <m/>
    <m/>
    <m/>
    <m/>
    <m/>
    <m/>
    <m/>
    <m/>
    <m/>
    <m/>
    <m/>
    <m/>
    <m/>
    <m/>
    <m/>
    <m/>
    <m/>
    <m/>
    <m/>
    <m/>
    <m/>
    <m/>
    <m/>
    <m/>
    <m/>
    <m/>
    <m/>
    <m/>
    <m/>
    <m/>
    <x v="1"/>
    <x v="2"/>
    <m/>
    <m/>
    <m/>
    <m/>
    <m/>
    <m/>
    <n v="7"/>
    <m/>
    <m/>
    <n v="4"/>
    <m/>
    <m/>
    <m/>
    <m/>
    <m/>
    <m/>
    <m/>
    <m/>
    <m/>
    <m/>
    <m/>
    <m/>
    <m/>
    <m/>
    <m/>
    <m/>
    <m/>
    <m/>
    <m/>
    <m/>
    <s v="no test"/>
    <s v="no test"/>
    <s v="No Test"/>
    <n v="0"/>
    <n v="0"/>
    <n v="0"/>
    <n v="0"/>
    <n v="0"/>
    <n v="0"/>
    <n v="0"/>
    <n v="0"/>
    <n v="0"/>
    <n v="0"/>
    <n v="0"/>
    <n v="0"/>
    <n v="0"/>
    <n v="0"/>
    <n v="0"/>
    <n v="0"/>
    <n v="1"/>
    <n v="240"/>
    <n v="1"/>
    <n v="1"/>
    <n v="0"/>
    <n v="0"/>
    <n v="0"/>
    <n v="0"/>
    <n v="0"/>
    <n v="0"/>
    <n v="12"/>
    <n v="12"/>
    <n v="1"/>
    <n v="0"/>
    <n v="0"/>
    <n v="0"/>
    <n v="0"/>
    <n v="0"/>
    <n v="0"/>
    <n v="0"/>
    <n v="1"/>
    <n v="0"/>
    <n v="0"/>
    <n v="0"/>
    <n v="7"/>
    <n v="48"/>
    <n v="0"/>
    <n v="240"/>
    <s v="No"/>
    <s v=""/>
    <n v="0"/>
    <n v="0"/>
    <n v="0"/>
    <n v="0"/>
    <n v="0"/>
    <n v="0"/>
    <n v="0"/>
    <s v="Uncovered  "/>
    <x v="0"/>
    <x v="0"/>
    <x v="0"/>
    <n v="0"/>
    <n v="0"/>
    <s v="MMR001CMP293"/>
    <x v="1"/>
    <x v="1"/>
    <n v="29"/>
    <n v="166"/>
  </r>
  <r>
    <x v="0"/>
    <x v="4"/>
    <x v="3"/>
    <m/>
    <x v="0"/>
    <x v="4"/>
    <x v="1"/>
    <x v="10"/>
    <n v="34"/>
    <n v="189"/>
    <m/>
    <m/>
    <m/>
    <m/>
    <m/>
    <m/>
    <m/>
    <m/>
    <m/>
    <m/>
    <m/>
    <m/>
    <m/>
    <m/>
    <m/>
    <m/>
    <m/>
    <m/>
    <m/>
    <m/>
    <m/>
    <m/>
    <m/>
    <m/>
    <m/>
    <m/>
    <m/>
    <m/>
    <m/>
    <m/>
    <m/>
    <m/>
    <m/>
    <m/>
    <m/>
    <m/>
    <m/>
    <m/>
    <m/>
    <m/>
    <x v="1"/>
    <x v="2"/>
    <m/>
    <m/>
    <m/>
    <m/>
    <m/>
    <m/>
    <n v="3"/>
    <m/>
    <m/>
    <n v="2"/>
    <m/>
    <m/>
    <m/>
    <m/>
    <m/>
    <m/>
    <m/>
    <m/>
    <m/>
    <m/>
    <m/>
    <m/>
    <m/>
    <m/>
    <m/>
    <m/>
    <m/>
    <m/>
    <m/>
    <m/>
    <s v="no test"/>
    <s v="no test"/>
    <s v="No Test"/>
    <n v="0"/>
    <n v="0"/>
    <n v="0"/>
    <n v="0"/>
    <n v="0"/>
    <n v="0"/>
    <n v="0"/>
    <n v="0"/>
    <n v="0"/>
    <n v="0"/>
    <n v="0"/>
    <n v="0"/>
    <n v="0"/>
    <n v="0"/>
    <n v="0"/>
    <n v="0"/>
    <n v="1"/>
    <n v="189"/>
    <n v="1"/>
    <n v="1"/>
    <n v="0"/>
    <n v="0"/>
    <n v="0"/>
    <n v="0"/>
    <n v="0"/>
    <n v="0"/>
    <n v="9"/>
    <n v="9"/>
    <n v="1"/>
    <n v="0"/>
    <n v="0"/>
    <n v="0"/>
    <n v="0"/>
    <n v="0"/>
    <n v="0"/>
    <n v="0"/>
    <n v="1"/>
    <n v="0"/>
    <n v="0"/>
    <n v="0"/>
    <n v="3"/>
    <n v="34"/>
    <n v="0"/>
    <n v="189"/>
    <s v="No"/>
    <s v=""/>
    <n v="0"/>
    <n v="0"/>
    <n v="0"/>
    <n v="0"/>
    <n v="0"/>
    <n v="0"/>
    <n v="0"/>
    <s v="Uncovered  "/>
    <x v="0"/>
    <x v="0"/>
    <x v="0"/>
    <n v="0"/>
    <n v="0"/>
    <s v="MMR001CMP294"/>
    <x v="1"/>
    <x v="1"/>
    <n v="20"/>
    <n v="132"/>
  </r>
  <r>
    <x v="0"/>
    <x v="1"/>
    <x v="1"/>
    <s v="UNICEF"/>
    <x v="0"/>
    <x v="1"/>
    <x v="1"/>
    <x v="11"/>
    <n v="216"/>
    <n v="1213"/>
    <d v="2023-02-16T00:00:00"/>
    <d v="2024-02-15T00:00:00"/>
    <m/>
    <n v="2"/>
    <m/>
    <m/>
    <s v="Yes"/>
    <n v="2"/>
    <n v="4"/>
    <n v="4"/>
    <m/>
    <m/>
    <m/>
    <m/>
    <m/>
    <m/>
    <m/>
    <m/>
    <m/>
    <m/>
    <m/>
    <m/>
    <m/>
    <m/>
    <m/>
    <m/>
    <m/>
    <m/>
    <m/>
    <m/>
    <m/>
    <m/>
    <n v="66"/>
    <m/>
    <m/>
    <m/>
    <m/>
    <m/>
    <m/>
    <m/>
    <x v="0"/>
    <x v="0"/>
    <n v="1"/>
    <m/>
    <m/>
    <m/>
    <m/>
    <m/>
    <n v="4"/>
    <m/>
    <n v="7"/>
    <n v="11"/>
    <m/>
    <m/>
    <n v="1"/>
    <m/>
    <m/>
    <s v="Yes"/>
    <n v="1"/>
    <m/>
    <m/>
    <m/>
    <m/>
    <m/>
    <m/>
    <m/>
    <m/>
    <m/>
    <m/>
    <m/>
    <m/>
    <m/>
    <s v="no test"/>
    <s v="no test"/>
    <s v="No Test"/>
    <n v="4"/>
    <n v="0"/>
    <n v="0"/>
    <n v="0"/>
    <n v="0"/>
    <n v="0"/>
    <n v="0"/>
    <n v="1"/>
    <n v="0.82440230832646333"/>
    <n v="1"/>
    <n v="1213"/>
    <n v="0"/>
    <n v="0"/>
    <n v="1"/>
    <n v="1213"/>
    <n v="2.4260000000000002"/>
    <n v="0"/>
    <n v="0"/>
    <n v="0"/>
    <n v="2"/>
    <n v="66"/>
    <n v="1"/>
    <n v="1213"/>
    <n v="0"/>
    <n v="0"/>
    <n v="0"/>
    <n v="61"/>
    <n v="0"/>
    <n v="0"/>
    <n v="0"/>
    <n v="500"/>
    <n v="0"/>
    <n v="0"/>
    <n v="0"/>
    <n v="500"/>
    <n v="0.41220115416323166"/>
    <n v="0.58779884583676834"/>
    <n v="0.41220115416323166"/>
    <n v="0"/>
    <n v="0"/>
    <n v="4"/>
    <n v="80"/>
    <n v="0"/>
    <n v="400"/>
    <s v="No"/>
    <s v=""/>
    <n v="0"/>
    <n v="0"/>
    <n v="0"/>
    <n v="0"/>
    <n v="0"/>
    <n v="0"/>
    <s v="Yes"/>
    <s v="KMSS-MYT"/>
    <x v="0"/>
    <x v="1"/>
    <x v="0"/>
    <n v="25.493819999999999"/>
    <n v="97.4345"/>
    <s v="MMR001CMP271"/>
    <x v="0"/>
    <x v="0"/>
    <n v="215"/>
    <n v="1202"/>
  </r>
  <r>
    <x v="0"/>
    <x v="3"/>
    <x v="2"/>
    <s v="ANCHOR"/>
    <x v="0"/>
    <x v="3"/>
    <x v="1"/>
    <x v="12"/>
    <n v="13"/>
    <n v="70"/>
    <d v="2023-01-01T00:00:00"/>
    <d v="2023-12-31T00:00:00"/>
    <n v="25"/>
    <m/>
    <n v="1"/>
    <m/>
    <s v="Yes"/>
    <n v="1"/>
    <n v="4"/>
    <n v="1"/>
    <m/>
    <m/>
    <m/>
    <m/>
    <m/>
    <m/>
    <n v="2"/>
    <m/>
    <n v="2"/>
    <m/>
    <n v="1"/>
    <m/>
    <m/>
    <m/>
    <m/>
    <n v="1"/>
    <m/>
    <m/>
    <n v="3"/>
    <m/>
    <m/>
    <s v="new dugwell "/>
    <n v="5"/>
    <m/>
    <s v="Shalom"/>
    <n v="2"/>
    <n v="2"/>
    <m/>
    <m/>
    <m/>
    <x v="0"/>
    <x v="1"/>
    <m/>
    <m/>
    <m/>
    <m/>
    <m/>
    <m/>
    <n v="3"/>
    <m/>
    <m/>
    <m/>
    <m/>
    <m/>
    <n v="1"/>
    <n v="13"/>
    <n v="18"/>
    <s v="No"/>
    <n v="1"/>
    <n v="0.4"/>
    <m/>
    <n v="0.5"/>
    <n v="0.5"/>
    <m/>
    <n v="0.5"/>
    <m/>
    <m/>
    <m/>
    <m/>
    <m/>
    <m/>
    <m/>
    <s v="no test"/>
    <s v="no test"/>
    <s v="No Test"/>
    <n v="1"/>
    <n v="0"/>
    <n v="2"/>
    <n v="0"/>
    <n v="0"/>
    <n v="0"/>
    <n v="0"/>
    <n v="1"/>
    <n v="1"/>
    <n v="1"/>
    <n v="70"/>
    <n v="1"/>
    <n v="70"/>
    <n v="1"/>
    <n v="70"/>
    <n v="0.14000000000000001"/>
    <n v="0"/>
    <n v="0"/>
    <n v="0.86"/>
    <n v="1"/>
    <n v="3"/>
    <n v="0.8571428571428571"/>
    <n v="60"/>
    <n v="0"/>
    <n v="0"/>
    <n v="0"/>
    <n v="4"/>
    <n v="0"/>
    <n v="0.1428571428571429"/>
    <n v="0.4"/>
    <n v="70"/>
    <n v="70"/>
    <n v="18"/>
    <n v="70"/>
    <n v="70"/>
    <n v="1"/>
    <n v="0"/>
    <n v="1"/>
    <n v="1"/>
    <n v="1"/>
    <n v="3"/>
    <n v="13"/>
    <n v="0"/>
    <n v="70"/>
    <s v="Yes"/>
    <s v=""/>
    <n v="35"/>
    <n v="35"/>
    <n v="35"/>
    <n v="35"/>
    <n v="0"/>
    <n v="0"/>
    <s v="Yes"/>
    <s v="Shalom"/>
    <x v="0"/>
    <x v="1"/>
    <x v="0"/>
    <n v="25.616509000000001"/>
    <n v="96.317350000000005"/>
    <s v="MMR001CMP190"/>
    <x v="0"/>
    <x v="0"/>
    <n v="16"/>
    <n v="78"/>
  </r>
  <r>
    <x v="0"/>
    <x v="1"/>
    <x v="1"/>
    <s v="UNICEF"/>
    <x v="0"/>
    <x v="4"/>
    <x v="1"/>
    <x v="13"/>
    <n v="115"/>
    <n v="405"/>
    <d v="2023-02-16T00:00:00"/>
    <d v="2024-02-15T00:00:00"/>
    <m/>
    <n v="3"/>
    <m/>
    <m/>
    <s v="Yes"/>
    <n v="4"/>
    <n v="3"/>
    <n v="3"/>
    <m/>
    <m/>
    <n v="2"/>
    <m/>
    <m/>
    <m/>
    <n v="1"/>
    <m/>
    <m/>
    <m/>
    <m/>
    <m/>
    <m/>
    <m/>
    <m/>
    <m/>
    <m/>
    <m/>
    <n v="4"/>
    <m/>
    <m/>
    <m/>
    <n v="90"/>
    <m/>
    <m/>
    <m/>
    <m/>
    <m/>
    <m/>
    <m/>
    <x v="0"/>
    <x v="0"/>
    <m/>
    <m/>
    <m/>
    <m/>
    <m/>
    <m/>
    <n v="2"/>
    <m/>
    <m/>
    <n v="3"/>
    <m/>
    <m/>
    <n v="2"/>
    <m/>
    <m/>
    <s v="Yes"/>
    <n v="1"/>
    <m/>
    <s v="Hygiene kits"/>
    <m/>
    <m/>
    <m/>
    <m/>
    <m/>
    <m/>
    <m/>
    <m/>
    <m/>
    <m/>
    <m/>
    <s v="no test"/>
    <s v="no test"/>
    <s v="No Test"/>
    <n v="3"/>
    <n v="2"/>
    <n v="1"/>
    <n v="0"/>
    <n v="0"/>
    <n v="0"/>
    <n v="0"/>
    <n v="1"/>
    <n v="1"/>
    <n v="1"/>
    <n v="405"/>
    <n v="0"/>
    <n v="0"/>
    <n v="1"/>
    <n v="405"/>
    <n v="0.81"/>
    <n v="0"/>
    <n v="0"/>
    <n v="0.18999999999999995"/>
    <n v="1"/>
    <n v="90"/>
    <n v="1"/>
    <n v="405"/>
    <n v="0"/>
    <n v="0"/>
    <n v="0"/>
    <n v="20"/>
    <n v="0"/>
    <n v="0"/>
    <n v="0"/>
    <n v="405"/>
    <n v="0"/>
    <n v="0"/>
    <n v="0"/>
    <n v="405"/>
    <n v="1"/>
    <n v="0"/>
    <n v="1"/>
    <n v="0"/>
    <n v="0"/>
    <n v="2"/>
    <n v="40"/>
    <n v="4"/>
    <n v="200"/>
    <s v="No"/>
    <s v=""/>
    <n v="0"/>
    <n v="0"/>
    <n v="0"/>
    <n v="0"/>
    <n v="0"/>
    <n v="0"/>
    <s v="Yes"/>
    <s v="KMSS-MYT"/>
    <x v="0"/>
    <x v="1"/>
    <x v="1"/>
    <n v="25.220278"/>
    <n v="97.915833000000006"/>
    <s v="MMR001CMP113"/>
    <x v="0"/>
    <x v="0"/>
    <n v="115"/>
    <n v="405"/>
  </r>
  <r>
    <x v="0"/>
    <x v="5"/>
    <x v="4"/>
    <s v="Trocaire/MHF"/>
    <x v="0"/>
    <x v="4"/>
    <x v="1"/>
    <x v="14"/>
    <n v="64"/>
    <n v="381"/>
    <d v="2022-01-01T00:00:00"/>
    <d v="2022-12-31T00:00:00"/>
    <m/>
    <m/>
    <m/>
    <m/>
    <s v="Yes"/>
    <n v="3"/>
    <n v="8"/>
    <n v="1"/>
    <m/>
    <m/>
    <n v="2"/>
    <m/>
    <m/>
    <m/>
    <n v="1"/>
    <m/>
    <m/>
    <m/>
    <m/>
    <m/>
    <n v="1"/>
    <n v="10"/>
    <m/>
    <m/>
    <m/>
    <m/>
    <m/>
    <m/>
    <m/>
    <m/>
    <n v="8"/>
    <m/>
    <m/>
    <m/>
    <m/>
    <m/>
    <m/>
    <m/>
    <x v="0"/>
    <x v="0"/>
    <m/>
    <n v="2"/>
    <m/>
    <m/>
    <n v="4"/>
    <m/>
    <n v="3"/>
    <m/>
    <n v="2"/>
    <n v="2"/>
    <m/>
    <m/>
    <n v="1"/>
    <m/>
    <m/>
    <s v="No"/>
    <m/>
    <m/>
    <m/>
    <m/>
    <m/>
    <m/>
    <m/>
    <m/>
    <m/>
    <m/>
    <m/>
    <m/>
    <m/>
    <m/>
    <s v="no test"/>
    <s v="no test"/>
    <s v="No Test"/>
    <n v="1"/>
    <n v="2"/>
    <n v="1"/>
    <n v="0"/>
    <n v="0"/>
    <n v="0"/>
    <n v="0"/>
    <n v="1"/>
    <n v="1"/>
    <n v="1"/>
    <n v="381"/>
    <n v="0"/>
    <n v="0"/>
    <n v="1"/>
    <n v="381"/>
    <n v="0.76200000000000001"/>
    <n v="0"/>
    <n v="0"/>
    <n v="0.23799999999999999"/>
    <n v="1"/>
    <n v="8"/>
    <n v="0.43044619422572178"/>
    <n v="164"/>
    <n v="0"/>
    <n v="0"/>
    <n v="0"/>
    <n v="19"/>
    <n v="11"/>
    <n v="0.56955380577427817"/>
    <n v="0"/>
    <n v="381"/>
    <n v="0"/>
    <n v="0"/>
    <n v="0"/>
    <n v="381"/>
    <n v="1"/>
    <n v="0"/>
    <n v="1"/>
    <n v="0"/>
    <n v="0"/>
    <n v="3"/>
    <n v="60"/>
    <n v="0"/>
    <n v="300"/>
    <s v="No"/>
    <s v=""/>
    <n v="0"/>
    <n v="0"/>
    <n v="0"/>
    <n v="0"/>
    <n v="0"/>
    <n v="0"/>
    <n v="0"/>
    <s v="uncovered"/>
    <x v="0"/>
    <x v="0"/>
    <x v="0"/>
    <n v="25.305008999999998"/>
    <n v="97.430321000000006"/>
    <s v="MMR001CMP248"/>
    <x v="0"/>
    <x v="2"/>
    <n v="64"/>
    <n v="377"/>
  </r>
  <r>
    <x v="0"/>
    <x v="2"/>
    <x v="0"/>
    <s v="UNICEF"/>
    <x v="0"/>
    <x v="3"/>
    <x v="1"/>
    <x v="15"/>
    <n v="24"/>
    <n v="116"/>
    <d v="2022-09-07T00:00:00"/>
    <d v="2023-09-06T00:00:00"/>
    <m/>
    <n v="1"/>
    <m/>
    <m/>
    <s v="Yes"/>
    <n v="2"/>
    <n v="2"/>
    <n v="1"/>
    <m/>
    <m/>
    <n v="2"/>
    <m/>
    <m/>
    <m/>
    <m/>
    <m/>
    <m/>
    <m/>
    <m/>
    <m/>
    <m/>
    <m/>
    <m/>
    <m/>
    <m/>
    <m/>
    <m/>
    <m/>
    <m/>
    <m/>
    <n v="5"/>
    <m/>
    <m/>
    <m/>
    <m/>
    <m/>
    <m/>
    <n v="5"/>
    <x v="0"/>
    <x v="3"/>
    <m/>
    <m/>
    <m/>
    <m/>
    <m/>
    <m/>
    <n v="2"/>
    <m/>
    <m/>
    <n v="2"/>
    <m/>
    <m/>
    <m/>
    <m/>
    <m/>
    <m/>
    <m/>
    <m/>
    <m/>
    <m/>
    <m/>
    <m/>
    <m/>
    <m/>
    <m/>
    <m/>
    <m/>
    <m/>
    <m/>
    <m/>
    <s v="no test"/>
    <s v="no test"/>
    <s v="No Test"/>
    <n v="1"/>
    <n v="2"/>
    <n v="0"/>
    <n v="0"/>
    <n v="0"/>
    <n v="0"/>
    <n v="0"/>
    <n v="1"/>
    <n v="1"/>
    <n v="1"/>
    <n v="116"/>
    <n v="0"/>
    <n v="0"/>
    <n v="1"/>
    <n v="116"/>
    <n v="0.23200000000000001"/>
    <n v="0"/>
    <n v="0"/>
    <n v="0.76800000000000002"/>
    <n v="1"/>
    <n v="5"/>
    <n v="0.86206896551724133"/>
    <n v="100"/>
    <n v="0"/>
    <n v="0"/>
    <n v="0"/>
    <n v="6"/>
    <n v="1"/>
    <n v="0.13793103448275867"/>
    <n v="0"/>
    <n v="0"/>
    <n v="0"/>
    <n v="0"/>
    <n v="0"/>
    <n v="0"/>
    <n v="0"/>
    <n v="1"/>
    <n v="0"/>
    <n v="0"/>
    <n v="0"/>
    <n v="2"/>
    <n v="24"/>
    <n v="0"/>
    <n v="116"/>
    <s v="No"/>
    <s v=""/>
    <n v="0"/>
    <n v="0"/>
    <n v="0"/>
    <n v="0"/>
    <n v="0"/>
    <n v="0"/>
    <s v="Yes"/>
    <s v="KBC-MYT"/>
    <x v="0"/>
    <x v="1"/>
    <x v="0"/>
    <n v="25.920006000000001"/>
    <n v="96.662092000000001"/>
    <s v="MMR001CMP244"/>
    <x v="0"/>
    <x v="0"/>
    <n v="24"/>
    <n v="110"/>
  </r>
  <r>
    <x v="0"/>
    <x v="6"/>
    <x v="5"/>
    <s v="USAID/HOPE-94"/>
    <x v="0"/>
    <x v="4"/>
    <x v="1"/>
    <x v="16"/>
    <n v="426.2"/>
    <n v="2322"/>
    <s v="13-8-2021, 6-1-2020"/>
    <s v="30-6-2022, 30.4.2021"/>
    <m/>
    <m/>
    <m/>
    <m/>
    <s v="Yes"/>
    <n v="3"/>
    <n v="6"/>
    <m/>
    <m/>
    <m/>
    <m/>
    <m/>
    <m/>
    <m/>
    <n v="8"/>
    <m/>
    <m/>
    <m/>
    <m/>
    <m/>
    <m/>
    <m/>
    <m/>
    <m/>
    <m/>
    <m/>
    <n v="14"/>
    <n v="5"/>
    <m/>
    <m/>
    <n v="100"/>
    <m/>
    <m/>
    <m/>
    <m/>
    <m/>
    <m/>
    <m/>
    <x v="0"/>
    <x v="0"/>
    <m/>
    <m/>
    <m/>
    <m/>
    <m/>
    <m/>
    <n v="10"/>
    <m/>
    <m/>
    <n v="8"/>
    <m/>
    <m/>
    <m/>
    <m/>
    <m/>
    <m/>
    <m/>
    <m/>
    <m/>
    <m/>
    <m/>
    <m/>
    <m/>
    <m/>
    <m/>
    <m/>
    <m/>
    <m/>
    <m/>
    <m/>
    <s v="no test"/>
    <s v="no test"/>
    <s v="No Test"/>
    <n v="0"/>
    <n v="0"/>
    <n v="8"/>
    <n v="0"/>
    <n v="0"/>
    <n v="2322"/>
    <n v="0"/>
    <n v="0.22968705139247778"/>
    <n v="0.22968705139247778"/>
    <n v="0.22968705139247778"/>
    <n v="533.33333333333337"/>
    <n v="0"/>
    <n v="0"/>
    <n v="0.22968705139247778"/>
    <n v="533.33333333333337"/>
    <n v="1.0666666666666667"/>
    <n v="0.7703129486075222"/>
    <n v="1788.6666666666665"/>
    <n v="3.9333333333333336"/>
    <n v="5"/>
    <n v="100"/>
    <n v="0.8613264427217916"/>
    <n v="2000"/>
    <n v="0"/>
    <n v="0"/>
    <n v="0"/>
    <n v="116"/>
    <n v="16"/>
    <n v="0.1386735572782084"/>
    <n v="0"/>
    <n v="0"/>
    <n v="0"/>
    <n v="0"/>
    <n v="0"/>
    <n v="0"/>
    <n v="0"/>
    <n v="1"/>
    <n v="0"/>
    <n v="0"/>
    <n v="0"/>
    <n v="10"/>
    <n v="200"/>
    <n v="0"/>
    <n v="1000"/>
    <s v="No"/>
    <s v=""/>
    <n v="0"/>
    <n v="0"/>
    <n v="0"/>
    <n v="0"/>
    <n v="2322"/>
    <n v="0"/>
    <n v="0"/>
    <s v="uncovered"/>
    <x v="0"/>
    <x v="2"/>
    <x v="1"/>
    <n v="24.752471"/>
    <n v="97.541793999999996"/>
    <s v="MMR001CMP208"/>
    <x v="0"/>
    <x v="0"/>
    <n v="0"/>
    <n v="366"/>
  </r>
  <r>
    <x v="0"/>
    <x v="3"/>
    <x v="2"/>
    <s v="ANCHOR"/>
    <x v="0"/>
    <x v="3"/>
    <x v="1"/>
    <x v="17"/>
    <n v="40"/>
    <n v="249"/>
    <d v="2023-01-01T00:00:00"/>
    <d v="2023-12-31T00:00:00"/>
    <n v="80"/>
    <m/>
    <n v="1"/>
    <m/>
    <s v="Yes"/>
    <n v="1"/>
    <n v="5"/>
    <n v="2"/>
    <m/>
    <m/>
    <m/>
    <n v="1"/>
    <m/>
    <m/>
    <m/>
    <m/>
    <m/>
    <m/>
    <n v="1"/>
    <m/>
    <m/>
    <n v="1"/>
    <m/>
    <m/>
    <m/>
    <m/>
    <m/>
    <m/>
    <m/>
    <m/>
    <n v="10"/>
    <m/>
    <s v="Shalom"/>
    <m/>
    <m/>
    <m/>
    <m/>
    <m/>
    <x v="0"/>
    <x v="0"/>
    <m/>
    <m/>
    <m/>
    <m/>
    <m/>
    <s v="ရေနုတ်မြှောင်းပြုပြင်ရန်လို"/>
    <n v="2"/>
    <m/>
    <n v="4"/>
    <n v="3"/>
    <m/>
    <m/>
    <n v="1"/>
    <n v="40"/>
    <n v="55"/>
    <s v="Yes"/>
    <n v="1"/>
    <n v="0.2"/>
    <s v="hygiene kits ကို ၄၅ နှစ်အထက်ပေးစေလို "/>
    <n v="0.8"/>
    <n v="0.7"/>
    <n v="10"/>
    <n v="0.7"/>
    <m/>
    <m/>
    <m/>
    <m/>
    <m/>
    <m/>
    <m/>
    <s v="no test"/>
    <s v="no test"/>
    <s v="No Test"/>
    <n v="2"/>
    <n v="1"/>
    <n v="0"/>
    <n v="0"/>
    <n v="0"/>
    <n v="0"/>
    <n v="0"/>
    <n v="1"/>
    <n v="1"/>
    <n v="1"/>
    <n v="249"/>
    <n v="1"/>
    <n v="249"/>
    <n v="1"/>
    <n v="249"/>
    <n v="0.498"/>
    <n v="0"/>
    <n v="0"/>
    <n v="0.502"/>
    <n v="1"/>
    <n v="10"/>
    <n v="0.80321285140562249"/>
    <n v="200"/>
    <n v="0"/>
    <n v="0"/>
    <n v="0"/>
    <n v="12"/>
    <n v="2"/>
    <n v="0.19678714859437751"/>
    <n v="0"/>
    <n v="249"/>
    <n v="249"/>
    <n v="55"/>
    <n v="249"/>
    <n v="249"/>
    <n v="1"/>
    <n v="0"/>
    <n v="1"/>
    <n v="1"/>
    <n v="1"/>
    <n v="2"/>
    <n v="40"/>
    <n v="0"/>
    <n v="200"/>
    <s v="Yes"/>
    <n v="4.0160642570281124E-2"/>
    <n v="199.20000000000002"/>
    <n v="174.29999999999998"/>
    <n v="174.29999999999998"/>
    <n v="199.20000000000002"/>
    <n v="0"/>
    <n v="0"/>
    <s v="Yes"/>
    <s v="KBC-MYT"/>
    <x v="0"/>
    <x v="1"/>
    <x v="0"/>
    <n v="25.647649999999999"/>
    <n v="96.346469999999997"/>
    <s v="MMR001CMP169"/>
    <x v="0"/>
    <x v="0"/>
    <n v="41"/>
    <n v="249"/>
  </r>
  <r>
    <x v="0"/>
    <x v="1"/>
    <x v="1"/>
    <s v="UNICEF"/>
    <x v="0"/>
    <x v="4"/>
    <x v="1"/>
    <x v="18"/>
    <n v="216"/>
    <n v="1189"/>
    <d v="2023-02-16T00:00:00"/>
    <d v="2024-02-15T00:00:00"/>
    <m/>
    <n v="5"/>
    <m/>
    <m/>
    <s v="Yes"/>
    <n v="4"/>
    <n v="3"/>
    <n v="11"/>
    <m/>
    <m/>
    <m/>
    <m/>
    <m/>
    <m/>
    <m/>
    <m/>
    <m/>
    <m/>
    <m/>
    <m/>
    <m/>
    <m/>
    <m/>
    <m/>
    <m/>
    <m/>
    <n v="5"/>
    <m/>
    <m/>
    <m/>
    <n v="97"/>
    <m/>
    <m/>
    <m/>
    <m/>
    <m/>
    <m/>
    <m/>
    <x v="0"/>
    <x v="0"/>
    <m/>
    <m/>
    <m/>
    <m/>
    <m/>
    <m/>
    <n v="1"/>
    <m/>
    <m/>
    <n v="4"/>
    <m/>
    <m/>
    <n v="2"/>
    <m/>
    <m/>
    <s v="Yes"/>
    <n v="1"/>
    <m/>
    <s v="Hygiene kits"/>
    <m/>
    <m/>
    <m/>
    <m/>
    <m/>
    <m/>
    <m/>
    <m/>
    <m/>
    <m/>
    <m/>
    <s v="no test"/>
    <s v="no test"/>
    <s v="No Test"/>
    <n v="11"/>
    <n v="0"/>
    <n v="0"/>
    <n v="0"/>
    <n v="0"/>
    <n v="0"/>
    <n v="0"/>
    <n v="1"/>
    <n v="1"/>
    <n v="1"/>
    <n v="1189"/>
    <n v="0"/>
    <n v="0"/>
    <n v="1"/>
    <n v="1189"/>
    <n v="2.3780000000000001"/>
    <n v="0"/>
    <n v="0"/>
    <n v="0"/>
    <n v="2"/>
    <n v="97"/>
    <n v="1"/>
    <n v="1189"/>
    <n v="0"/>
    <n v="0"/>
    <n v="0"/>
    <n v="59"/>
    <n v="0"/>
    <n v="0"/>
    <n v="0"/>
    <n v="1000"/>
    <n v="0"/>
    <n v="0"/>
    <n v="0"/>
    <n v="1000"/>
    <n v="0.84104289318755254"/>
    <n v="0.15895710681244746"/>
    <n v="0.84104289318755254"/>
    <n v="0"/>
    <n v="0"/>
    <n v="1"/>
    <n v="20"/>
    <n v="5"/>
    <n v="100"/>
    <s v="No"/>
    <s v=""/>
    <n v="0"/>
    <n v="0"/>
    <n v="0"/>
    <n v="0"/>
    <n v="0"/>
    <n v="0"/>
    <s v="Yes"/>
    <s v="KMSS-MYT"/>
    <x v="0"/>
    <x v="1"/>
    <x v="0"/>
    <n v="25.415667500000001"/>
    <n v="97.437782499999997"/>
    <s v="MMR001CMP029"/>
    <x v="0"/>
    <x v="0"/>
    <n v="274"/>
    <n v="1490"/>
  </r>
  <r>
    <x v="0"/>
    <x v="2"/>
    <x v="0"/>
    <s v="UNICEF"/>
    <x v="0"/>
    <x v="5"/>
    <x v="1"/>
    <x v="19"/>
    <n v="13"/>
    <n v="74"/>
    <d v="2022-09-07T00:00:00"/>
    <d v="2023-09-06T00:00:00"/>
    <m/>
    <n v="1"/>
    <m/>
    <m/>
    <s v="Yes"/>
    <n v="2"/>
    <n v="3"/>
    <n v="1"/>
    <m/>
    <m/>
    <n v="1"/>
    <m/>
    <m/>
    <m/>
    <m/>
    <m/>
    <m/>
    <m/>
    <m/>
    <m/>
    <m/>
    <n v="2"/>
    <m/>
    <m/>
    <m/>
    <m/>
    <m/>
    <m/>
    <m/>
    <m/>
    <n v="6"/>
    <m/>
    <m/>
    <m/>
    <m/>
    <m/>
    <m/>
    <n v="6"/>
    <x v="0"/>
    <x v="3"/>
    <m/>
    <m/>
    <m/>
    <m/>
    <m/>
    <m/>
    <n v="4"/>
    <m/>
    <m/>
    <n v="2"/>
    <m/>
    <m/>
    <m/>
    <m/>
    <m/>
    <m/>
    <m/>
    <m/>
    <m/>
    <m/>
    <m/>
    <m/>
    <m/>
    <m/>
    <m/>
    <m/>
    <m/>
    <m/>
    <m/>
    <m/>
    <s v="no test"/>
    <s v="no test"/>
    <s v="No Test"/>
    <n v="1"/>
    <n v="1"/>
    <n v="0"/>
    <n v="0"/>
    <n v="0"/>
    <n v="0"/>
    <n v="0"/>
    <n v="1"/>
    <n v="1"/>
    <n v="1"/>
    <n v="74"/>
    <n v="0"/>
    <n v="0"/>
    <n v="1"/>
    <n v="74"/>
    <n v="0.14799999999999999"/>
    <n v="0"/>
    <n v="0"/>
    <n v="0.85199999999999998"/>
    <n v="1"/>
    <n v="6"/>
    <n v="1"/>
    <n v="74"/>
    <n v="0"/>
    <n v="0"/>
    <n v="0"/>
    <n v="4"/>
    <n v="0"/>
    <n v="0"/>
    <n v="0"/>
    <n v="0"/>
    <n v="0"/>
    <n v="0"/>
    <n v="0"/>
    <n v="0"/>
    <n v="0"/>
    <n v="1"/>
    <n v="0"/>
    <n v="0"/>
    <n v="0"/>
    <n v="4"/>
    <n v="13"/>
    <n v="0"/>
    <n v="74"/>
    <s v="No"/>
    <s v=""/>
    <n v="0"/>
    <n v="0"/>
    <n v="0"/>
    <n v="0"/>
    <n v="0"/>
    <n v="0"/>
    <s v="Yes"/>
    <s v="KBC-MYT"/>
    <x v="0"/>
    <x v="1"/>
    <x v="0"/>
    <n v="25.305669999999999"/>
    <n v="96.922619999999995"/>
    <s v="MMR001CMP078"/>
    <x v="0"/>
    <x v="0"/>
    <n v="13"/>
    <n v="77"/>
  </r>
  <r>
    <x v="0"/>
    <x v="3"/>
    <x v="2"/>
    <s v="MHF"/>
    <x v="0"/>
    <x v="3"/>
    <x v="1"/>
    <x v="20"/>
    <n v="5"/>
    <n v="24"/>
    <d v="2022-01-01T00:00:00"/>
    <d v="2022-12-31T00:00:00"/>
    <m/>
    <n v="1"/>
    <m/>
    <m/>
    <s v="Yes"/>
    <n v="2"/>
    <n v="2"/>
    <m/>
    <m/>
    <m/>
    <m/>
    <m/>
    <m/>
    <m/>
    <m/>
    <m/>
    <m/>
    <m/>
    <m/>
    <m/>
    <n v="1"/>
    <m/>
    <m/>
    <m/>
    <m/>
    <m/>
    <m/>
    <m/>
    <m/>
    <m/>
    <n v="2"/>
    <m/>
    <m/>
    <m/>
    <m/>
    <m/>
    <m/>
    <m/>
    <x v="0"/>
    <x v="0"/>
    <m/>
    <m/>
    <m/>
    <m/>
    <m/>
    <m/>
    <n v="1"/>
    <m/>
    <m/>
    <n v="1"/>
    <m/>
    <m/>
    <n v="1"/>
    <m/>
    <m/>
    <m/>
    <m/>
    <m/>
    <m/>
    <m/>
    <m/>
    <m/>
    <m/>
    <m/>
    <m/>
    <m/>
    <m/>
    <m/>
    <m/>
    <m/>
    <s v="no test"/>
    <s v="no test"/>
    <s v="No Test"/>
    <n v="0"/>
    <n v="0"/>
    <n v="0"/>
    <n v="0"/>
    <n v="0"/>
    <n v="0"/>
    <n v="0"/>
    <n v="0"/>
    <n v="0"/>
    <n v="0"/>
    <n v="0"/>
    <n v="0"/>
    <n v="0"/>
    <n v="0"/>
    <n v="0"/>
    <n v="0"/>
    <n v="1"/>
    <n v="24"/>
    <n v="1"/>
    <n v="1"/>
    <n v="2"/>
    <n v="1"/>
    <n v="24"/>
    <n v="0"/>
    <n v="0"/>
    <n v="0"/>
    <n v="1"/>
    <n v="0"/>
    <n v="0"/>
    <n v="0"/>
    <n v="24"/>
    <n v="0"/>
    <n v="0"/>
    <n v="0"/>
    <n v="24"/>
    <n v="1"/>
    <n v="0"/>
    <n v="1"/>
    <n v="0"/>
    <n v="0"/>
    <n v="1"/>
    <n v="5"/>
    <n v="0"/>
    <n v="24"/>
    <s v="No"/>
    <s v=""/>
    <n v="0"/>
    <n v="0"/>
    <n v="0"/>
    <n v="0"/>
    <n v="0"/>
    <n v="0"/>
    <s v="Yes"/>
    <s v="Shalom"/>
    <x v="0"/>
    <x v="0"/>
    <x v="0"/>
    <n v="25.582065"/>
    <n v="96.283377000000002"/>
    <s v="MMR001CMP109"/>
    <x v="0"/>
    <x v="0"/>
    <n v="5"/>
    <n v="26"/>
  </r>
  <r>
    <x v="0"/>
    <x v="7"/>
    <x v="6"/>
    <s v="ECHO 2739"/>
    <x v="0"/>
    <x v="0"/>
    <x v="1"/>
    <x v="21"/>
    <n v="145"/>
    <n v="715"/>
    <d v="2022-04-01T00:00:00"/>
    <d v="2023-03-31T00:00:00"/>
    <m/>
    <m/>
    <n v="3"/>
    <m/>
    <s v="Yes"/>
    <n v="5"/>
    <n v="6"/>
    <n v="2"/>
    <m/>
    <m/>
    <n v="8"/>
    <m/>
    <m/>
    <m/>
    <m/>
    <m/>
    <m/>
    <m/>
    <m/>
    <m/>
    <n v="3"/>
    <m/>
    <n v="5"/>
    <n v="5"/>
    <n v="21"/>
    <n v="21"/>
    <m/>
    <m/>
    <m/>
    <m/>
    <n v="52"/>
    <m/>
    <m/>
    <m/>
    <n v="5"/>
    <n v="129"/>
    <n v="144"/>
    <m/>
    <x v="0"/>
    <x v="0"/>
    <m/>
    <n v="2"/>
    <m/>
    <m/>
    <n v="9"/>
    <m/>
    <n v="12"/>
    <m/>
    <n v="1"/>
    <n v="5"/>
    <m/>
    <m/>
    <n v="3"/>
    <n v="108"/>
    <n v="100"/>
    <s v="No"/>
    <n v="1"/>
    <n v="0.8"/>
    <m/>
    <n v="1"/>
    <n v="1"/>
    <n v="1"/>
    <n v="1"/>
    <m/>
    <m/>
    <m/>
    <m/>
    <m/>
    <m/>
    <m/>
    <n v="1"/>
    <n v="1"/>
    <s v="Tested"/>
    <n v="2"/>
    <n v="8"/>
    <n v="0"/>
    <n v="0"/>
    <n v="0"/>
    <n v="0"/>
    <n v="0"/>
    <n v="1"/>
    <n v="1"/>
    <n v="1"/>
    <n v="715"/>
    <n v="0"/>
    <n v="0"/>
    <n v="1"/>
    <n v="715"/>
    <n v="1.43"/>
    <n v="0"/>
    <n v="0"/>
    <n v="0"/>
    <n v="1"/>
    <n v="52"/>
    <n v="1"/>
    <n v="715"/>
    <n v="715"/>
    <n v="0"/>
    <n v="0"/>
    <n v="36"/>
    <n v="0"/>
    <n v="0"/>
    <n v="0"/>
    <n v="715"/>
    <n v="540"/>
    <n v="100"/>
    <n v="540"/>
    <n v="715"/>
    <n v="1"/>
    <n v="0"/>
    <n v="1"/>
    <n v="1"/>
    <n v="0.68965517241379315"/>
    <n v="12"/>
    <n v="145"/>
    <n v="0"/>
    <n v="715"/>
    <s v="No"/>
    <n v="1.3986013986013986E-3"/>
    <n v="715"/>
    <n v="715"/>
    <n v="715"/>
    <n v="715"/>
    <n v="0"/>
    <n v="0"/>
    <s v="Yes"/>
    <s v="KMSS-BMO"/>
    <x v="0"/>
    <x v="1"/>
    <x v="0"/>
    <n v="24.260719999999999"/>
    <n v="97.238829999999993"/>
    <s v="MMR001CMP050"/>
    <x v="0"/>
    <x v="0"/>
    <n v="145"/>
    <n v="671"/>
  </r>
  <r>
    <x v="0"/>
    <x v="2"/>
    <x v="0"/>
    <s v="UNICEF"/>
    <x v="0"/>
    <x v="5"/>
    <x v="1"/>
    <x v="22"/>
    <n v="15"/>
    <n v="76"/>
    <d v="2022-09-07T00:00:00"/>
    <d v="2023-09-06T00:00:00"/>
    <m/>
    <n v="1"/>
    <m/>
    <m/>
    <s v="Yes"/>
    <n v="2"/>
    <n v="3"/>
    <n v="1"/>
    <m/>
    <m/>
    <n v="1"/>
    <m/>
    <m/>
    <m/>
    <m/>
    <m/>
    <m/>
    <m/>
    <m/>
    <m/>
    <m/>
    <n v="2"/>
    <m/>
    <m/>
    <m/>
    <m/>
    <m/>
    <m/>
    <m/>
    <m/>
    <n v="3"/>
    <m/>
    <m/>
    <m/>
    <m/>
    <m/>
    <m/>
    <n v="2"/>
    <x v="0"/>
    <x v="0"/>
    <m/>
    <m/>
    <m/>
    <m/>
    <m/>
    <m/>
    <n v="2"/>
    <m/>
    <m/>
    <n v="2"/>
    <m/>
    <m/>
    <m/>
    <m/>
    <m/>
    <m/>
    <m/>
    <m/>
    <m/>
    <m/>
    <m/>
    <m/>
    <m/>
    <m/>
    <m/>
    <m/>
    <m/>
    <m/>
    <m/>
    <m/>
    <s v="no test"/>
    <s v="no test"/>
    <s v="No Test"/>
    <n v="1"/>
    <n v="1"/>
    <n v="0"/>
    <n v="0"/>
    <n v="0"/>
    <n v="0"/>
    <n v="0"/>
    <n v="1"/>
    <n v="1"/>
    <n v="1"/>
    <n v="76"/>
    <n v="0"/>
    <n v="0"/>
    <n v="1"/>
    <n v="76"/>
    <n v="0.152"/>
    <n v="0"/>
    <n v="0"/>
    <n v="0.84799999999999998"/>
    <n v="1"/>
    <n v="3"/>
    <n v="0.78947368421052633"/>
    <n v="60"/>
    <n v="0"/>
    <n v="0"/>
    <n v="0"/>
    <n v="4"/>
    <n v="1"/>
    <n v="0.21052631578947367"/>
    <n v="0"/>
    <n v="0"/>
    <n v="0"/>
    <n v="0"/>
    <n v="0"/>
    <n v="0"/>
    <n v="0"/>
    <n v="1"/>
    <n v="0"/>
    <n v="0"/>
    <n v="0"/>
    <n v="2"/>
    <n v="15"/>
    <n v="0"/>
    <n v="76"/>
    <s v="No"/>
    <s v=""/>
    <n v="0"/>
    <n v="0"/>
    <n v="0"/>
    <n v="0"/>
    <n v="0"/>
    <n v="0"/>
    <s v="Yes"/>
    <s v="KBC-MYT"/>
    <x v="0"/>
    <x v="1"/>
    <x v="0"/>
    <n v="25.296579999999999"/>
    <n v="96.942279999999997"/>
    <s v="MMR001CMP077"/>
    <x v="0"/>
    <x v="0"/>
    <n v="16"/>
    <n v="74"/>
  </r>
  <r>
    <x v="0"/>
    <x v="6"/>
    <x v="5"/>
    <s v="USAID/HOPE-94"/>
    <x v="0"/>
    <x v="0"/>
    <x v="1"/>
    <x v="23"/>
    <n v="36"/>
    <n v="222"/>
    <s v="13-8-2021, 6-1-2020"/>
    <s v="30-6-2022, 30.4.2021"/>
    <m/>
    <m/>
    <m/>
    <m/>
    <s v="Yes"/>
    <n v="1"/>
    <n v="1"/>
    <n v="1"/>
    <m/>
    <m/>
    <n v="1"/>
    <m/>
    <m/>
    <m/>
    <m/>
    <m/>
    <m/>
    <m/>
    <m/>
    <m/>
    <n v="1"/>
    <m/>
    <m/>
    <m/>
    <m/>
    <m/>
    <m/>
    <m/>
    <m/>
    <m/>
    <n v="2"/>
    <m/>
    <m/>
    <m/>
    <m/>
    <m/>
    <m/>
    <m/>
    <x v="0"/>
    <x v="0"/>
    <m/>
    <m/>
    <m/>
    <m/>
    <m/>
    <m/>
    <m/>
    <m/>
    <n v="3"/>
    <m/>
    <m/>
    <m/>
    <m/>
    <m/>
    <m/>
    <m/>
    <m/>
    <m/>
    <m/>
    <m/>
    <m/>
    <m/>
    <m/>
    <m/>
    <m/>
    <m/>
    <m/>
    <m/>
    <m/>
    <m/>
    <s v="no test"/>
    <s v="no test"/>
    <s v="No Test"/>
    <n v="1"/>
    <n v="1"/>
    <n v="0"/>
    <n v="0"/>
    <n v="0"/>
    <n v="0"/>
    <n v="0"/>
    <n v="1"/>
    <n v="1"/>
    <n v="1"/>
    <n v="222"/>
    <n v="0"/>
    <n v="0"/>
    <n v="1"/>
    <n v="222"/>
    <n v="0.44400000000000001"/>
    <n v="0"/>
    <n v="0"/>
    <n v="0.55600000000000005"/>
    <n v="1"/>
    <n v="2"/>
    <n v="0.18018018018018017"/>
    <n v="40"/>
    <n v="0"/>
    <n v="0"/>
    <n v="0"/>
    <n v="11"/>
    <n v="9"/>
    <n v="0.81981981981981988"/>
    <n v="0"/>
    <n v="0"/>
    <n v="0"/>
    <n v="0"/>
    <n v="0"/>
    <n v="0"/>
    <n v="0"/>
    <n v="1"/>
    <n v="0"/>
    <n v="0"/>
    <n v="0"/>
    <n v="0"/>
    <n v="0"/>
    <n v="0"/>
    <n v="0"/>
    <s v="No"/>
    <s v=""/>
    <n v="0"/>
    <n v="0"/>
    <n v="0"/>
    <n v="0"/>
    <n v="0"/>
    <n v="0"/>
    <s v="Yes"/>
    <s v="KBC-BMO"/>
    <x v="0"/>
    <x v="1"/>
    <x v="0"/>
    <n v="24.260466999999998"/>
    <n v="97.252650000000003"/>
    <s v="MMR001CMP194"/>
    <x v="0"/>
    <x v="0"/>
    <n v="7"/>
    <n v="29"/>
  </r>
  <r>
    <x v="0"/>
    <x v="4"/>
    <x v="3"/>
    <m/>
    <x v="0"/>
    <x v="6"/>
    <x v="1"/>
    <x v="24"/>
    <n v="15"/>
    <n v="101"/>
    <m/>
    <m/>
    <m/>
    <m/>
    <m/>
    <m/>
    <m/>
    <m/>
    <n v="1"/>
    <m/>
    <m/>
    <m/>
    <m/>
    <m/>
    <m/>
    <m/>
    <m/>
    <m/>
    <m/>
    <m/>
    <m/>
    <m/>
    <m/>
    <m/>
    <m/>
    <m/>
    <m/>
    <m/>
    <m/>
    <m/>
    <m/>
    <m/>
    <m/>
    <m/>
    <m/>
    <m/>
    <m/>
    <m/>
    <m/>
    <m/>
    <x v="1"/>
    <x v="2"/>
    <m/>
    <m/>
    <m/>
    <m/>
    <m/>
    <m/>
    <n v="1"/>
    <m/>
    <m/>
    <n v="3"/>
    <m/>
    <m/>
    <m/>
    <m/>
    <m/>
    <m/>
    <m/>
    <m/>
    <m/>
    <m/>
    <m/>
    <m/>
    <m/>
    <m/>
    <m/>
    <m/>
    <m/>
    <m/>
    <m/>
    <m/>
    <s v="no test"/>
    <s v="no test"/>
    <s v="No Test"/>
    <n v="0"/>
    <n v="0"/>
    <n v="0"/>
    <n v="0"/>
    <n v="0"/>
    <n v="0"/>
    <n v="0"/>
    <n v="0"/>
    <n v="0"/>
    <n v="0"/>
    <n v="0"/>
    <n v="0"/>
    <n v="0"/>
    <n v="0"/>
    <n v="0"/>
    <n v="0"/>
    <n v="1"/>
    <n v="101"/>
    <n v="1"/>
    <n v="1"/>
    <n v="0"/>
    <n v="0"/>
    <n v="0"/>
    <n v="0"/>
    <n v="0"/>
    <n v="0"/>
    <n v="5"/>
    <n v="5"/>
    <n v="1"/>
    <n v="0"/>
    <n v="0"/>
    <n v="0"/>
    <n v="0"/>
    <n v="0"/>
    <n v="0"/>
    <n v="0"/>
    <n v="1"/>
    <n v="0"/>
    <n v="0"/>
    <n v="0"/>
    <n v="1"/>
    <n v="15"/>
    <n v="0"/>
    <n v="100"/>
    <s v="No"/>
    <s v=""/>
    <n v="0"/>
    <n v="0"/>
    <n v="0"/>
    <n v="0"/>
    <n v="0"/>
    <n v="0"/>
    <n v="0"/>
    <s v="uncovered"/>
    <x v="0"/>
    <x v="3"/>
    <x v="0"/>
    <n v="24.404876999999999"/>
    <n v="97.407787999999996"/>
    <s v="MMR001CMP061"/>
    <x v="1"/>
    <x v="1"/>
    <n v="15"/>
    <n v="101"/>
  </r>
  <r>
    <x v="0"/>
    <x v="8"/>
    <x v="7"/>
    <s v="SI (ECHO)"/>
    <x v="0"/>
    <x v="7"/>
    <x v="1"/>
    <x v="25"/>
    <n v="388"/>
    <n v="1900"/>
    <d v="2022-04-01T00:00:00"/>
    <d v="2022-12-31T00:00:00"/>
    <m/>
    <m/>
    <m/>
    <m/>
    <s v="Yes"/>
    <n v="5"/>
    <n v="6"/>
    <n v="4"/>
    <m/>
    <m/>
    <n v="1"/>
    <m/>
    <m/>
    <m/>
    <n v="1"/>
    <m/>
    <m/>
    <m/>
    <n v="5"/>
    <m/>
    <m/>
    <n v="5"/>
    <m/>
    <m/>
    <m/>
    <m/>
    <m/>
    <n v="5"/>
    <m/>
    <m/>
    <n v="185"/>
    <m/>
    <m/>
    <m/>
    <m/>
    <m/>
    <m/>
    <n v="73"/>
    <x v="2"/>
    <x v="0"/>
    <n v="4"/>
    <n v="60"/>
    <n v="15"/>
    <n v="2"/>
    <n v="6"/>
    <m/>
    <n v="3"/>
    <m/>
    <n v="60"/>
    <n v="2"/>
    <m/>
    <m/>
    <n v="6"/>
    <m/>
    <m/>
    <m/>
    <m/>
    <m/>
    <m/>
    <m/>
    <m/>
    <m/>
    <m/>
    <m/>
    <m/>
    <m/>
    <m/>
    <m/>
    <m/>
    <m/>
    <s v="no test"/>
    <s v="no test"/>
    <s v="No Test"/>
    <n v="4"/>
    <n v="1"/>
    <n v="1"/>
    <n v="0"/>
    <n v="0"/>
    <n v="1900"/>
    <n v="0"/>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0"/>
    <n v="0"/>
    <n v="0"/>
    <n v="1900"/>
    <n v="100"/>
    <s v="Yes"/>
    <s v="KMSS-BMO"/>
    <x v="0"/>
    <x v="1"/>
    <x v="1"/>
    <n v="24.002433"/>
    <n v="97.609832999999995"/>
    <s v="MMR001CMP129"/>
    <x v="0"/>
    <x v="2"/>
    <n v="396"/>
    <n v="1933"/>
  </r>
  <r>
    <x v="0"/>
    <x v="6"/>
    <x v="5"/>
    <s v="ECHO 2739"/>
    <x v="0"/>
    <x v="0"/>
    <x v="1"/>
    <x v="26"/>
    <n v="38"/>
    <n v="226"/>
    <m/>
    <m/>
    <m/>
    <m/>
    <m/>
    <m/>
    <s v="Yes"/>
    <m/>
    <n v="5"/>
    <m/>
    <m/>
    <m/>
    <n v="2"/>
    <m/>
    <m/>
    <m/>
    <m/>
    <m/>
    <m/>
    <m/>
    <m/>
    <m/>
    <n v="1"/>
    <m/>
    <m/>
    <m/>
    <m/>
    <m/>
    <m/>
    <m/>
    <m/>
    <m/>
    <n v="11"/>
    <m/>
    <m/>
    <m/>
    <m/>
    <m/>
    <m/>
    <m/>
    <x v="0"/>
    <x v="0"/>
    <m/>
    <m/>
    <m/>
    <m/>
    <m/>
    <m/>
    <m/>
    <m/>
    <m/>
    <n v="2"/>
    <m/>
    <m/>
    <m/>
    <m/>
    <m/>
    <m/>
    <m/>
    <m/>
    <m/>
    <m/>
    <m/>
    <m/>
    <m/>
    <m/>
    <m/>
    <m/>
    <m/>
    <m/>
    <m/>
    <m/>
    <s v="no test"/>
    <s v="no test"/>
    <s v="No Test"/>
    <n v="0"/>
    <n v="2"/>
    <n v="0"/>
    <n v="0"/>
    <n v="0"/>
    <n v="0"/>
    <n v="0"/>
    <n v="1"/>
    <n v="1"/>
    <n v="1"/>
    <n v="226"/>
    <n v="0"/>
    <n v="0"/>
    <n v="1"/>
    <n v="226"/>
    <n v="0.45200000000000001"/>
    <n v="0"/>
    <n v="0"/>
    <n v="0.54800000000000004"/>
    <n v="1"/>
    <n v="11"/>
    <n v="0.97345132743362828"/>
    <n v="220"/>
    <n v="0"/>
    <n v="0"/>
    <n v="0"/>
    <n v="11"/>
    <n v="0"/>
    <n v="2.6548672566371723E-2"/>
    <n v="0"/>
    <n v="0"/>
    <n v="0"/>
    <n v="0"/>
    <n v="0"/>
    <n v="0"/>
    <n v="0"/>
    <n v="1"/>
    <n v="0"/>
    <n v="0"/>
    <n v="0"/>
    <n v="0"/>
    <n v="0"/>
    <n v="0"/>
    <n v="0"/>
    <s v="No"/>
    <s v=""/>
    <n v="0"/>
    <n v="0"/>
    <n v="0"/>
    <n v="0"/>
    <n v="0"/>
    <n v="0"/>
    <s v="Yes"/>
    <s v="KBC-BMO"/>
    <x v="0"/>
    <x v="1"/>
    <x v="0"/>
    <n v="24.24766"/>
    <n v="97.236919999999998"/>
    <s v="MMR001CMP052"/>
    <x v="0"/>
    <x v="0"/>
    <n v="39"/>
    <n v="229"/>
  </r>
  <r>
    <x v="0"/>
    <x v="1"/>
    <x v="1"/>
    <s v="UNICEF"/>
    <x v="0"/>
    <x v="3"/>
    <x v="2"/>
    <x v="27"/>
    <n v="92"/>
    <n v="460"/>
    <d v="2023-02-16T00:00:00"/>
    <d v="2024-02-15T00:00:00"/>
    <m/>
    <n v="5"/>
    <m/>
    <m/>
    <s v="Yes"/>
    <n v="2"/>
    <n v="5"/>
    <n v="1"/>
    <m/>
    <m/>
    <m/>
    <m/>
    <m/>
    <m/>
    <m/>
    <m/>
    <m/>
    <m/>
    <m/>
    <m/>
    <m/>
    <n v="7"/>
    <m/>
    <m/>
    <m/>
    <m/>
    <m/>
    <m/>
    <m/>
    <m/>
    <n v="12"/>
    <m/>
    <m/>
    <m/>
    <m/>
    <m/>
    <m/>
    <m/>
    <x v="0"/>
    <x v="0"/>
    <n v="3"/>
    <m/>
    <m/>
    <m/>
    <m/>
    <m/>
    <n v="1"/>
    <m/>
    <m/>
    <n v="2"/>
    <m/>
    <m/>
    <n v="1"/>
    <m/>
    <m/>
    <s v="Yes"/>
    <n v="1"/>
    <m/>
    <m/>
    <m/>
    <m/>
    <m/>
    <m/>
    <m/>
    <m/>
    <m/>
    <m/>
    <m/>
    <m/>
    <m/>
    <s v="no test"/>
    <s v="no test"/>
    <s v="No Test"/>
    <n v="1"/>
    <n v="0"/>
    <n v="0"/>
    <n v="0"/>
    <n v="0"/>
    <n v="0"/>
    <n v="0"/>
    <n v="0.86956521739130432"/>
    <n v="0.54347826086956519"/>
    <n v="0.86956521739130432"/>
    <n v="400"/>
    <n v="0"/>
    <n v="0"/>
    <n v="0.86956521739130432"/>
    <n v="400"/>
    <n v="0.8"/>
    <n v="0.13043478260869568"/>
    <n v="60.000000000000014"/>
    <n v="0.19999999999999996"/>
    <n v="1"/>
    <n v="12"/>
    <n v="0.65217391304347827"/>
    <n v="300"/>
    <n v="0"/>
    <n v="0"/>
    <n v="0"/>
    <n v="23"/>
    <n v="11"/>
    <n v="0.34782608695652173"/>
    <n v="0"/>
    <n v="460"/>
    <n v="0"/>
    <n v="0"/>
    <n v="0"/>
    <n v="460"/>
    <n v="1"/>
    <n v="0"/>
    <n v="1"/>
    <n v="0"/>
    <n v="0"/>
    <n v="1"/>
    <n v="20"/>
    <n v="0"/>
    <n v="100"/>
    <s v="No"/>
    <s v=""/>
    <n v="0"/>
    <n v="0"/>
    <n v="0"/>
    <n v="0"/>
    <n v="0"/>
    <n v="0"/>
    <n v="0"/>
    <n v="0"/>
    <x v="0"/>
    <x v="0"/>
    <x v="0"/>
    <n v="0"/>
    <n v="0"/>
    <n v="0"/>
    <x v="0"/>
    <x v="0"/>
    <n v="0"/>
    <n v="0"/>
  </r>
  <r>
    <x v="0"/>
    <x v="9"/>
    <x v="8"/>
    <s v="USAID/HOPE-94, ANCHOR"/>
    <x v="0"/>
    <x v="0"/>
    <x v="1"/>
    <x v="28"/>
    <n v="135"/>
    <n v="774"/>
    <s v="(13-8-2021, 6-1-2020),1-1-2023"/>
    <s v="(30-6-2022, 30.4.2021),12-31-2023"/>
    <m/>
    <m/>
    <n v="1"/>
    <m/>
    <s v="Yes"/>
    <n v="3"/>
    <n v="7"/>
    <n v="3"/>
    <m/>
    <m/>
    <n v="2"/>
    <m/>
    <m/>
    <m/>
    <m/>
    <m/>
    <m/>
    <m/>
    <m/>
    <m/>
    <n v="1"/>
    <n v="3"/>
    <m/>
    <m/>
    <m/>
    <m/>
    <n v="4"/>
    <n v="1"/>
    <m/>
    <m/>
    <n v="23"/>
    <n v="22"/>
    <s v="KMSS , SI"/>
    <n v="4"/>
    <m/>
    <n v="18"/>
    <m/>
    <n v="18"/>
    <x v="0"/>
    <x v="0"/>
    <m/>
    <m/>
    <m/>
    <m/>
    <m/>
    <m/>
    <n v="6"/>
    <m/>
    <m/>
    <n v="7"/>
    <n v="2"/>
    <n v="1"/>
    <m/>
    <m/>
    <m/>
    <m/>
    <m/>
    <n v="0.2"/>
    <m/>
    <n v="0.8"/>
    <n v="0.9"/>
    <n v="50"/>
    <n v="0.3"/>
    <m/>
    <m/>
    <m/>
    <m/>
    <m/>
    <m/>
    <m/>
    <s v="no test"/>
    <s v="no test"/>
    <s v="No Test"/>
    <n v="3"/>
    <n v="2"/>
    <n v="0"/>
    <n v="0"/>
    <n v="0"/>
    <n v="500"/>
    <n v="0"/>
    <n v="1"/>
    <n v="1"/>
    <n v="1"/>
    <n v="774"/>
    <n v="0"/>
    <n v="0"/>
    <n v="1"/>
    <n v="774"/>
    <n v="1.548"/>
    <n v="0"/>
    <n v="0"/>
    <n v="0.45199999999999996"/>
    <n v="2"/>
    <n v="41"/>
    <n v="1"/>
    <n v="774"/>
    <n v="360"/>
    <n v="0"/>
    <n v="0"/>
    <n v="39"/>
    <n v="0"/>
    <n v="0"/>
    <n v="8.8888888888888892E-2"/>
    <n v="500"/>
    <n v="0"/>
    <n v="0"/>
    <n v="0"/>
    <n v="500"/>
    <n v="0.64599483204134367"/>
    <n v="0.35400516795865633"/>
    <n v="0.64599483204134367"/>
    <n v="0"/>
    <n v="0"/>
    <n v="6"/>
    <n v="120"/>
    <n v="0"/>
    <n v="600"/>
    <s v="No"/>
    <n v="6.4599483204134361E-2"/>
    <n v="619.20000000000005"/>
    <n v="696.6"/>
    <n v="232.2"/>
    <n v="696.6"/>
    <n v="500"/>
    <n v="0"/>
    <s v="Yes"/>
    <s v="Shalom"/>
    <x v="0"/>
    <x v="1"/>
    <x v="0"/>
    <n v="24.2631743589744"/>
    <n v="97.240183461538507"/>
    <s v="MMR001CMP049"/>
    <x v="0"/>
    <x v="0"/>
    <n v="135"/>
    <n v="774"/>
  </r>
  <r>
    <x v="0"/>
    <x v="2"/>
    <x v="0"/>
    <s v="UNICEF"/>
    <x v="0"/>
    <x v="5"/>
    <x v="2"/>
    <x v="29"/>
    <n v="5"/>
    <n v="32"/>
    <d v="2022-09-07T00:00:00"/>
    <d v="2023-09-06T00:00:00"/>
    <m/>
    <n v="1"/>
    <m/>
    <m/>
    <s v="Yes"/>
    <n v="3"/>
    <m/>
    <n v="1"/>
    <m/>
    <m/>
    <n v="1"/>
    <m/>
    <m/>
    <m/>
    <m/>
    <m/>
    <m/>
    <m/>
    <m/>
    <m/>
    <m/>
    <n v="3"/>
    <m/>
    <m/>
    <m/>
    <m/>
    <m/>
    <m/>
    <m/>
    <m/>
    <n v="2"/>
    <m/>
    <m/>
    <m/>
    <m/>
    <m/>
    <m/>
    <n v="2"/>
    <x v="0"/>
    <x v="0"/>
    <m/>
    <m/>
    <m/>
    <m/>
    <m/>
    <m/>
    <n v="1"/>
    <m/>
    <m/>
    <n v="2"/>
    <m/>
    <m/>
    <m/>
    <m/>
    <m/>
    <m/>
    <m/>
    <m/>
    <m/>
    <m/>
    <m/>
    <m/>
    <m/>
    <m/>
    <m/>
    <m/>
    <m/>
    <m/>
    <m/>
    <m/>
    <s v="no test"/>
    <s v="no test"/>
    <s v="No Test"/>
    <n v="1"/>
    <n v="1"/>
    <n v="0"/>
    <n v="0"/>
    <n v="0"/>
    <n v="0"/>
    <n v="0"/>
    <n v="1"/>
    <n v="1"/>
    <n v="1"/>
    <n v="32"/>
    <n v="0"/>
    <n v="0"/>
    <n v="1"/>
    <n v="32"/>
    <n v="6.4000000000000001E-2"/>
    <n v="0"/>
    <n v="0"/>
    <n v="0.93599999999999994"/>
    <n v="1"/>
    <n v="2"/>
    <n v="1"/>
    <n v="32"/>
    <n v="0"/>
    <n v="0"/>
    <n v="0"/>
    <n v="2"/>
    <n v="0"/>
    <n v="0"/>
    <n v="0"/>
    <n v="0"/>
    <n v="0"/>
    <n v="0"/>
    <n v="0"/>
    <n v="0"/>
    <n v="0"/>
    <n v="1"/>
    <n v="0"/>
    <n v="0"/>
    <n v="0"/>
    <n v="1"/>
    <n v="5"/>
    <n v="0"/>
    <n v="32"/>
    <s v="No"/>
    <s v=""/>
    <n v="0"/>
    <n v="0"/>
    <n v="0"/>
    <n v="0"/>
    <n v="0"/>
    <n v="0"/>
    <n v="0"/>
    <n v="0"/>
    <x v="0"/>
    <x v="0"/>
    <x v="0"/>
    <n v="0"/>
    <n v="0"/>
    <n v="0"/>
    <x v="0"/>
    <x v="0"/>
    <n v="0"/>
    <n v="0"/>
  </r>
  <r>
    <x v="0"/>
    <x v="4"/>
    <x v="3"/>
    <m/>
    <x v="0"/>
    <x v="3"/>
    <x v="1"/>
    <x v="30"/>
    <n v="3"/>
    <n v="15"/>
    <m/>
    <m/>
    <m/>
    <m/>
    <m/>
    <m/>
    <s v="Yes"/>
    <m/>
    <n v="5"/>
    <n v="1"/>
    <m/>
    <m/>
    <n v="1"/>
    <m/>
    <m/>
    <m/>
    <m/>
    <m/>
    <m/>
    <m/>
    <m/>
    <m/>
    <m/>
    <n v="1"/>
    <m/>
    <m/>
    <m/>
    <m/>
    <m/>
    <m/>
    <m/>
    <m/>
    <m/>
    <m/>
    <m/>
    <m/>
    <m/>
    <m/>
    <m/>
    <m/>
    <x v="0"/>
    <x v="3"/>
    <m/>
    <m/>
    <m/>
    <m/>
    <m/>
    <m/>
    <n v="7"/>
    <m/>
    <m/>
    <n v="4"/>
    <m/>
    <m/>
    <m/>
    <m/>
    <m/>
    <m/>
    <m/>
    <m/>
    <m/>
    <m/>
    <m/>
    <m/>
    <m/>
    <m/>
    <m/>
    <m/>
    <m/>
    <m/>
    <m/>
    <m/>
    <s v="no test"/>
    <s v="no test"/>
    <s v="No Test"/>
    <n v="1"/>
    <n v="1"/>
    <n v="0"/>
    <n v="0"/>
    <n v="0"/>
    <n v="0"/>
    <n v="0"/>
    <n v="1"/>
    <n v="1"/>
    <n v="1"/>
    <n v="15"/>
    <n v="0"/>
    <n v="0"/>
    <n v="1"/>
    <n v="15"/>
    <n v="0.03"/>
    <n v="0"/>
    <n v="0"/>
    <n v="0.97"/>
    <n v="1"/>
    <n v="0"/>
    <n v="0"/>
    <n v="0"/>
    <n v="0"/>
    <n v="0"/>
    <n v="0"/>
    <n v="1"/>
    <n v="1"/>
    <n v="1"/>
    <n v="0"/>
    <n v="0"/>
    <n v="0"/>
    <n v="0"/>
    <n v="0"/>
    <n v="0"/>
    <n v="0"/>
    <n v="1"/>
    <n v="0"/>
    <n v="0"/>
    <n v="0"/>
    <n v="7"/>
    <n v="3"/>
    <n v="0"/>
    <n v="15"/>
    <s v="No"/>
    <s v=""/>
    <n v="0"/>
    <n v="0"/>
    <n v="0"/>
    <n v="0"/>
    <n v="0"/>
    <n v="0"/>
    <s v="Yes"/>
    <s v="Shalom"/>
    <x v="0"/>
    <x v="0"/>
    <x v="0"/>
    <n v="25.6145"/>
    <n v="96.319829999999996"/>
    <s v="MMR001CMP091"/>
    <x v="1"/>
    <x v="1"/>
    <n v="3"/>
    <n v="14"/>
  </r>
  <r>
    <x v="0"/>
    <x v="1"/>
    <x v="1"/>
    <s v="UNICEF"/>
    <x v="0"/>
    <x v="3"/>
    <x v="1"/>
    <x v="31"/>
    <n v="47"/>
    <n v="228"/>
    <d v="2023-02-16T00:00:00"/>
    <d v="2024-02-15T00:00:00"/>
    <m/>
    <n v="2"/>
    <m/>
    <m/>
    <s v="Yes"/>
    <n v="3"/>
    <n v="3"/>
    <n v="1"/>
    <m/>
    <m/>
    <m/>
    <m/>
    <m/>
    <m/>
    <m/>
    <m/>
    <m/>
    <m/>
    <m/>
    <m/>
    <m/>
    <n v="5"/>
    <m/>
    <m/>
    <m/>
    <m/>
    <n v="4"/>
    <m/>
    <m/>
    <m/>
    <n v="16"/>
    <m/>
    <m/>
    <m/>
    <m/>
    <m/>
    <m/>
    <m/>
    <x v="0"/>
    <x v="0"/>
    <m/>
    <m/>
    <m/>
    <m/>
    <m/>
    <m/>
    <n v="7"/>
    <m/>
    <m/>
    <n v="2"/>
    <m/>
    <m/>
    <n v="1"/>
    <m/>
    <m/>
    <s v="Yes"/>
    <n v="1"/>
    <m/>
    <m/>
    <m/>
    <m/>
    <m/>
    <m/>
    <m/>
    <m/>
    <m/>
    <m/>
    <m/>
    <m/>
    <m/>
    <s v="no test"/>
    <s v="no test"/>
    <s v="No Test"/>
    <n v="1"/>
    <n v="0"/>
    <n v="0"/>
    <n v="0"/>
    <n v="0"/>
    <n v="0"/>
    <n v="0"/>
    <n v="1"/>
    <n v="1"/>
    <n v="1"/>
    <n v="228"/>
    <n v="0"/>
    <n v="0"/>
    <n v="1"/>
    <n v="228"/>
    <n v="0.45600000000000002"/>
    <n v="0"/>
    <n v="0"/>
    <n v="0.54400000000000004"/>
    <n v="1"/>
    <n v="16"/>
    <n v="1"/>
    <n v="228"/>
    <n v="0"/>
    <n v="0"/>
    <n v="0"/>
    <n v="11"/>
    <n v="0"/>
    <n v="0"/>
    <n v="0"/>
    <n v="228"/>
    <n v="0"/>
    <n v="0"/>
    <n v="0"/>
    <n v="228"/>
    <n v="1"/>
    <n v="0"/>
    <n v="1"/>
    <n v="0"/>
    <n v="0"/>
    <n v="7"/>
    <n v="47"/>
    <n v="4"/>
    <n v="228"/>
    <s v="No"/>
    <s v=""/>
    <n v="0"/>
    <n v="0"/>
    <n v="0"/>
    <n v="0"/>
    <n v="0"/>
    <n v="0"/>
    <s v="Yes"/>
    <s v="KMSS-MYT"/>
    <x v="0"/>
    <x v="1"/>
    <x v="0"/>
    <n v="25.613894999999999"/>
    <n v="96.341352999999998"/>
    <s v="MMR001CMP103"/>
    <x v="0"/>
    <x v="0"/>
    <n v="47"/>
    <n v="228"/>
  </r>
  <r>
    <x v="0"/>
    <x v="3"/>
    <x v="2"/>
    <s v="ANCHOR"/>
    <x v="0"/>
    <x v="2"/>
    <x v="1"/>
    <x v="32"/>
    <n v="136"/>
    <n v="704"/>
    <d v="2023-01-01T00:00:00"/>
    <d v="2023-12-31T00:00:00"/>
    <m/>
    <m/>
    <n v="1"/>
    <m/>
    <s v="Yes"/>
    <n v="2"/>
    <n v="6"/>
    <m/>
    <m/>
    <m/>
    <m/>
    <m/>
    <m/>
    <m/>
    <n v="12"/>
    <m/>
    <n v="1"/>
    <m/>
    <n v="3"/>
    <m/>
    <n v="1"/>
    <m/>
    <m/>
    <m/>
    <m/>
    <m/>
    <m/>
    <m/>
    <m/>
    <m/>
    <n v="15"/>
    <m/>
    <s v="Nyein (Shalom)"/>
    <n v="1"/>
    <m/>
    <m/>
    <m/>
    <m/>
    <x v="0"/>
    <x v="0"/>
    <m/>
    <m/>
    <m/>
    <n v="0.5"/>
    <m/>
    <m/>
    <n v="2"/>
    <m/>
    <m/>
    <n v="2"/>
    <m/>
    <m/>
    <n v="1"/>
    <n v="4"/>
    <m/>
    <s v="No"/>
    <n v="1"/>
    <n v="0.7"/>
    <m/>
    <n v="0.8"/>
    <n v="0.8"/>
    <n v="30"/>
    <n v="0.9"/>
    <m/>
    <m/>
    <m/>
    <m/>
    <m/>
    <m/>
    <m/>
    <s v="no test"/>
    <s v="no test"/>
    <s v="No Test"/>
    <n v="0"/>
    <n v="0"/>
    <n v="12"/>
    <n v="0"/>
    <n v="0"/>
    <n v="0"/>
    <n v="0"/>
    <n v="1"/>
    <n v="1"/>
    <n v="1"/>
    <n v="704"/>
    <n v="1"/>
    <n v="704"/>
    <n v="1"/>
    <n v="704"/>
    <n v="1.4079999999999999"/>
    <n v="0"/>
    <n v="0"/>
    <n v="0"/>
    <n v="1"/>
    <n v="14"/>
    <n v="0.39772727272727271"/>
    <n v="280"/>
    <n v="0"/>
    <n v="0"/>
    <n v="25"/>
    <n v="35"/>
    <n v="20"/>
    <n v="0.60227272727272729"/>
    <n v="6.6666666666666666E-2"/>
    <n v="500"/>
    <n v="20"/>
    <n v="0"/>
    <n v="20"/>
    <n v="500"/>
    <n v="0.71022727272727271"/>
    <n v="0.28977272727272729"/>
    <n v="0.71022727272727271"/>
    <n v="0.11764705882352941"/>
    <n v="0"/>
    <n v="2"/>
    <n v="40"/>
    <n v="0"/>
    <n v="200"/>
    <s v="No"/>
    <n v="4.261363636363636E-2"/>
    <n v="563.20000000000005"/>
    <n v="563.20000000000005"/>
    <n v="633.6"/>
    <n v="633.6"/>
    <n v="0"/>
    <n v="25"/>
    <s v="Yes"/>
    <s v="Shalom"/>
    <x v="0"/>
    <x v="1"/>
    <x v="0"/>
    <n v="25.889410000000002"/>
    <n v="98.131550000000004"/>
    <s v="MMR001CMP042"/>
    <x v="0"/>
    <x v="0"/>
    <n v="135"/>
    <n v="704"/>
  </r>
  <r>
    <x v="0"/>
    <x v="1"/>
    <x v="1"/>
    <s v="UNICEF"/>
    <x v="0"/>
    <x v="4"/>
    <x v="1"/>
    <x v="33"/>
    <n v="57"/>
    <n v="344"/>
    <d v="2021-08-06T00:00:00"/>
    <d v="2022-08-05T00:00:00"/>
    <m/>
    <n v="3"/>
    <m/>
    <m/>
    <s v="Yes"/>
    <n v="3"/>
    <n v="4"/>
    <n v="2"/>
    <m/>
    <m/>
    <n v="1"/>
    <m/>
    <m/>
    <m/>
    <n v="1"/>
    <m/>
    <m/>
    <m/>
    <m/>
    <m/>
    <m/>
    <m/>
    <m/>
    <m/>
    <m/>
    <m/>
    <n v="4"/>
    <m/>
    <m/>
    <m/>
    <n v="98"/>
    <m/>
    <m/>
    <m/>
    <m/>
    <m/>
    <m/>
    <m/>
    <x v="0"/>
    <x v="0"/>
    <n v="3"/>
    <m/>
    <m/>
    <m/>
    <m/>
    <m/>
    <n v="1"/>
    <m/>
    <m/>
    <n v="4"/>
    <m/>
    <m/>
    <n v="1"/>
    <m/>
    <m/>
    <s v="Yes"/>
    <m/>
    <m/>
    <m/>
    <m/>
    <m/>
    <m/>
    <m/>
    <m/>
    <m/>
    <m/>
    <m/>
    <m/>
    <m/>
    <m/>
    <s v="no test"/>
    <s v="no test"/>
    <s v="No Test"/>
    <n v="2"/>
    <n v="1"/>
    <n v="1"/>
    <n v="0"/>
    <n v="0"/>
    <n v="0"/>
    <n v="0"/>
    <n v="1"/>
    <n v="1"/>
    <n v="1"/>
    <n v="344"/>
    <n v="0"/>
    <n v="0"/>
    <n v="1"/>
    <n v="344"/>
    <n v="0.68799999999999994"/>
    <n v="0"/>
    <n v="0"/>
    <n v="0.31200000000000006"/>
    <n v="1"/>
    <n v="98"/>
    <n v="1"/>
    <n v="344"/>
    <n v="0"/>
    <n v="0"/>
    <n v="0"/>
    <n v="17"/>
    <n v="0"/>
    <n v="0"/>
    <n v="0"/>
    <n v="344"/>
    <n v="0"/>
    <n v="0"/>
    <n v="0"/>
    <n v="344"/>
    <n v="1"/>
    <n v="0"/>
    <n v="1"/>
    <n v="0"/>
    <n v="0"/>
    <n v="1"/>
    <n v="20"/>
    <n v="4"/>
    <n v="100"/>
    <s v="No"/>
    <s v=""/>
    <n v="0"/>
    <n v="0"/>
    <n v="0"/>
    <n v="0"/>
    <n v="0"/>
    <n v="0"/>
    <n v="0"/>
    <n v="0"/>
    <x v="0"/>
    <x v="1"/>
    <x v="0"/>
    <n v="25.428995"/>
    <n v="97.957487999999998"/>
    <s v="MMR001CMP279"/>
    <x v="0"/>
    <x v="0"/>
    <n v="38"/>
    <n v="222"/>
  </r>
  <r>
    <x v="0"/>
    <x v="4"/>
    <x v="3"/>
    <m/>
    <x v="0"/>
    <x v="4"/>
    <x v="1"/>
    <x v="34"/>
    <n v="25"/>
    <n v="115"/>
    <m/>
    <m/>
    <m/>
    <m/>
    <m/>
    <m/>
    <m/>
    <m/>
    <m/>
    <m/>
    <m/>
    <m/>
    <m/>
    <m/>
    <m/>
    <m/>
    <m/>
    <m/>
    <m/>
    <m/>
    <m/>
    <m/>
    <m/>
    <m/>
    <m/>
    <m/>
    <m/>
    <m/>
    <m/>
    <m/>
    <m/>
    <m/>
    <m/>
    <m/>
    <m/>
    <m/>
    <m/>
    <m/>
    <m/>
    <m/>
    <x v="3"/>
    <x v="4"/>
    <m/>
    <m/>
    <m/>
    <m/>
    <m/>
    <m/>
    <m/>
    <m/>
    <m/>
    <m/>
    <m/>
    <m/>
    <m/>
    <m/>
    <m/>
    <m/>
    <m/>
    <m/>
    <m/>
    <m/>
    <m/>
    <m/>
    <m/>
    <m/>
    <m/>
    <m/>
    <m/>
    <m/>
    <m/>
    <m/>
    <s v="no test"/>
    <s v="no test"/>
    <s v="No Test"/>
    <n v="0"/>
    <n v="0"/>
    <n v="0"/>
    <n v="0"/>
    <n v="0"/>
    <n v="0"/>
    <n v="0"/>
    <n v="0"/>
    <n v="0"/>
    <n v="0"/>
    <n v="0"/>
    <n v="0"/>
    <n v="0"/>
    <n v="0"/>
    <n v="0"/>
    <n v="0"/>
    <n v="1"/>
    <n v="115"/>
    <n v="1"/>
    <n v="1"/>
    <n v="0"/>
    <n v="0"/>
    <n v="0"/>
    <n v="0"/>
    <n v="0"/>
    <n v="0"/>
    <n v="6"/>
    <n v="6"/>
    <n v="1"/>
    <n v="0"/>
    <n v="0"/>
    <n v="0"/>
    <n v="0"/>
    <n v="0"/>
    <n v="0"/>
    <n v="0"/>
    <n v="1"/>
    <n v="0"/>
    <n v="0"/>
    <n v="0"/>
    <n v="0"/>
    <n v="0"/>
    <n v="0"/>
    <n v="0"/>
    <s v="No"/>
    <s v=""/>
    <n v="0"/>
    <n v="0"/>
    <n v="0"/>
    <n v="0"/>
    <n v="0"/>
    <n v="0"/>
    <n v="0"/>
    <s v="DFSS"/>
    <x v="0"/>
    <x v="0"/>
    <x v="0"/>
    <n v="0"/>
    <n v="0"/>
    <s v="MMR001CMP300"/>
    <x v="1"/>
    <x v="1"/>
    <n v="25"/>
    <n v="115"/>
  </r>
  <r>
    <x v="0"/>
    <x v="3"/>
    <x v="2"/>
    <s v="ANCHOR"/>
    <x v="0"/>
    <x v="3"/>
    <x v="1"/>
    <x v="35"/>
    <n v="91"/>
    <n v="451"/>
    <d v="2023-01-01T00:00:00"/>
    <d v="2023-12-31T00:00:00"/>
    <n v="199"/>
    <m/>
    <n v="1"/>
    <m/>
    <s v="Yes"/>
    <n v="3"/>
    <n v="6"/>
    <n v="1"/>
    <m/>
    <m/>
    <n v="1"/>
    <m/>
    <m/>
    <m/>
    <m/>
    <m/>
    <m/>
    <m/>
    <n v="1"/>
    <m/>
    <m/>
    <n v="1"/>
    <m/>
    <m/>
    <m/>
    <m/>
    <n v="1"/>
    <n v="1"/>
    <n v="1"/>
    <s v="ရေထွက်ပင်ရင်းနောက်တိုးလိုအပ်"/>
    <n v="23"/>
    <m/>
    <m/>
    <n v="1"/>
    <n v="19"/>
    <m/>
    <m/>
    <m/>
    <x v="0"/>
    <x v="0"/>
    <n v="1"/>
    <m/>
    <m/>
    <m/>
    <n v="3"/>
    <s v="အိမ်သာပြုပြင်ရန်လိုအပ်"/>
    <n v="6"/>
    <n v="2"/>
    <m/>
    <n v="3"/>
    <m/>
    <m/>
    <n v="1"/>
    <n v="91"/>
    <n v="131"/>
    <s v="No"/>
    <n v="1"/>
    <n v="0.3"/>
    <s v="ဆက်လက်သင်တန်းပို့ချလှင်ကောင်း"/>
    <n v="0.4"/>
    <n v="0.4"/>
    <n v="20"/>
    <n v="0.5"/>
    <m/>
    <m/>
    <m/>
    <m/>
    <m/>
    <m/>
    <m/>
    <s v="no test"/>
    <s v="no test"/>
    <s v="No Test"/>
    <n v="1"/>
    <n v="1"/>
    <n v="0"/>
    <n v="0"/>
    <n v="0"/>
    <n v="451"/>
    <n v="451"/>
    <n v="1"/>
    <n v="1"/>
    <n v="1"/>
    <n v="451"/>
    <n v="0.55432372505543237"/>
    <n v="250"/>
    <n v="1"/>
    <n v="451"/>
    <n v="0.90200000000000002"/>
    <n v="0"/>
    <n v="0"/>
    <n v="9.7999999999999976E-2"/>
    <n v="1"/>
    <n v="22"/>
    <n v="1"/>
    <n v="451"/>
    <n v="0"/>
    <n v="0"/>
    <n v="0"/>
    <n v="23"/>
    <n v="0"/>
    <n v="0"/>
    <n v="4.3478260869565216E-2"/>
    <n v="451"/>
    <n v="451"/>
    <n v="131"/>
    <n v="451"/>
    <n v="451"/>
    <n v="1"/>
    <n v="0"/>
    <n v="1"/>
    <n v="1"/>
    <n v="1"/>
    <n v="4"/>
    <n v="80"/>
    <n v="0"/>
    <n v="400"/>
    <s v="Yes"/>
    <n v="4.4345898004434593E-2"/>
    <n v="180.4"/>
    <n v="180.4"/>
    <n v="225.5"/>
    <n v="225.5"/>
    <n v="451"/>
    <n v="451"/>
    <s v="Yes"/>
    <s v="Shalom"/>
    <x v="0"/>
    <x v="1"/>
    <x v="0"/>
    <n v="25.637309999999999"/>
    <n v="96.35257"/>
    <s v="MMR001CMP174"/>
    <x v="0"/>
    <x v="0"/>
    <n v="91"/>
    <n v="450"/>
  </r>
  <r>
    <x v="0"/>
    <x v="2"/>
    <x v="0"/>
    <s v="UNICEF"/>
    <x v="0"/>
    <x v="5"/>
    <x v="1"/>
    <x v="36"/>
    <n v="112"/>
    <n v="607"/>
    <d v="2022-09-07T00:00:00"/>
    <d v="2023-09-06T00:00:00"/>
    <m/>
    <n v="2"/>
    <m/>
    <m/>
    <s v="Yes"/>
    <n v="1"/>
    <n v="2"/>
    <n v="5"/>
    <m/>
    <m/>
    <n v="3"/>
    <m/>
    <m/>
    <m/>
    <m/>
    <m/>
    <m/>
    <m/>
    <m/>
    <m/>
    <m/>
    <n v="2"/>
    <m/>
    <m/>
    <m/>
    <m/>
    <m/>
    <m/>
    <m/>
    <m/>
    <n v="20"/>
    <m/>
    <m/>
    <m/>
    <m/>
    <m/>
    <m/>
    <n v="12"/>
    <x v="0"/>
    <x v="0"/>
    <m/>
    <m/>
    <m/>
    <m/>
    <m/>
    <m/>
    <n v="4"/>
    <m/>
    <m/>
    <n v="5"/>
    <m/>
    <n v="2"/>
    <n v="1"/>
    <m/>
    <m/>
    <m/>
    <m/>
    <m/>
    <m/>
    <m/>
    <m/>
    <m/>
    <m/>
    <m/>
    <m/>
    <m/>
    <m/>
    <m/>
    <m/>
    <m/>
    <s v="no test"/>
    <s v="no test"/>
    <s v="No Test"/>
    <n v="5"/>
    <n v="3"/>
    <n v="0"/>
    <n v="0"/>
    <n v="0"/>
    <n v="0"/>
    <n v="0"/>
    <n v="1"/>
    <n v="1"/>
    <n v="1"/>
    <n v="607"/>
    <n v="0"/>
    <n v="0"/>
    <n v="1"/>
    <n v="607"/>
    <n v="1.214"/>
    <n v="0"/>
    <n v="0"/>
    <n v="0"/>
    <n v="1"/>
    <n v="20"/>
    <n v="0.65897858319604607"/>
    <n v="400"/>
    <n v="0"/>
    <n v="0"/>
    <n v="0"/>
    <n v="30"/>
    <n v="10"/>
    <n v="0.34102141680395393"/>
    <n v="0"/>
    <n v="607"/>
    <n v="0"/>
    <n v="0"/>
    <n v="0"/>
    <n v="607"/>
    <n v="1"/>
    <n v="0"/>
    <n v="1"/>
    <n v="0"/>
    <n v="0"/>
    <n v="4"/>
    <n v="80"/>
    <n v="0"/>
    <n v="400"/>
    <s v="No"/>
    <s v=""/>
    <n v="0"/>
    <n v="0"/>
    <n v="0"/>
    <n v="0"/>
    <n v="0"/>
    <n v="0"/>
    <n v="0"/>
    <s v="KBC-MYT"/>
    <x v="0"/>
    <x v="1"/>
    <x v="0"/>
    <n v="25.2226"/>
    <n v="97.012299999999996"/>
    <s v="MMR001CMP261"/>
    <x v="0"/>
    <x v="0"/>
    <n v="110"/>
    <n v="590"/>
  </r>
  <r>
    <x v="0"/>
    <x v="6"/>
    <x v="5"/>
    <s v="USAID/HOPE-94"/>
    <x v="0"/>
    <x v="6"/>
    <x v="1"/>
    <x v="37"/>
    <n v="689"/>
    <n v="3545"/>
    <s v="13-8-2021, 6-1-2020"/>
    <s v="30-6-2022, 30.4.2021"/>
    <m/>
    <m/>
    <m/>
    <m/>
    <s v="Yes"/>
    <n v="1"/>
    <n v="3"/>
    <n v="3"/>
    <m/>
    <m/>
    <m/>
    <m/>
    <m/>
    <m/>
    <n v="11"/>
    <m/>
    <m/>
    <m/>
    <m/>
    <m/>
    <n v="1"/>
    <m/>
    <m/>
    <m/>
    <m/>
    <m/>
    <n v="5"/>
    <n v="3"/>
    <m/>
    <m/>
    <n v="313"/>
    <m/>
    <m/>
    <m/>
    <m/>
    <m/>
    <m/>
    <m/>
    <x v="0"/>
    <x v="0"/>
    <n v="13"/>
    <m/>
    <n v="46"/>
    <n v="4"/>
    <m/>
    <m/>
    <n v="1"/>
    <m/>
    <m/>
    <n v="22"/>
    <m/>
    <m/>
    <m/>
    <n v="681"/>
    <n v="1773"/>
    <m/>
    <m/>
    <m/>
    <m/>
    <m/>
    <m/>
    <m/>
    <m/>
    <m/>
    <m/>
    <m/>
    <m/>
    <m/>
    <m/>
    <m/>
    <s v="no test"/>
    <s v="no test"/>
    <s v="No Test"/>
    <n v="3"/>
    <n v="0"/>
    <n v="11"/>
    <n v="0"/>
    <n v="0"/>
    <n v="1500"/>
    <n v="0"/>
    <n v="0.54536906440996713"/>
    <n v="0.41842971321109546"/>
    <n v="0.54536906440996713"/>
    <n v="1933.3333333333335"/>
    <n v="0"/>
    <n v="0"/>
    <n v="0.54536906440996713"/>
    <n v="1933.3333333333335"/>
    <n v="3.8666666666666671"/>
    <n v="0.45463093559003287"/>
    <n v="1611.6666666666665"/>
    <n v="3.1333333333333329"/>
    <n v="7"/>
    <n v="313"/>
    <n v="1"/>
    <n v="3545"/>
    <n v="0"/>
    <n v="0"/>
    <n v="200"/>
    <n v="177"/>
    <n v="0"/>
    <n v="0"/>
    <n v="0"/>
    <n v="0"/>
    <n v="3405"/>
    <n v="1773"/>
    <n v="3405"/>
    <n v="3405"/>
    <n v="0.96050775740479544"/>
    <n v="3.9492242595204563E-2"/>
    <n v="0"/>
    <n v="0.98838896952104505"/>
    <n v="1"/>
    <n v="1"/>
    <n v="20"/>
    <n v="0"/>
    <n v="100"/>
    <s v="No"/>
    <s v=""/>
    <n v="0"/>
    <n v="0"/>
    <n v="0"/>
    <n v="0"/>
    <n v="1500"/>
    <n v="200"/>
    <s v="Yes"/>
    <s v="KMSS-MYT"/>
    <x v="0"/>
    <x v="1"/>
    <x v="1"/>
    <n v="24.661905999999998"/>
    <n v="97.573126000000002"/>
    <s v="MMR001CMP122"/>
    <x v="0"/>
    <x v="0"/>
    <n v="676"/>
    <n v="3507"/>
  </r>
  <r>
    <x v="0"/>
    <x v="1"/>
    <x v="1"/>
    <s v="UNICEF"/>
    <x v="0"/>
    <x v="6"/>
    <x v="1"/>
    <x v="38"/>
    <n v="72"/>
    <n v="404"/>
    <d v="2023-02-16T00:00:00"/>
    <d v="2024-02-15T00:00:00"/>
    <m/>
    <n v="2"/>
    <m/>
    <m/>
    <s v="Yes"/>
    <n v="3"/>
    <n v="3"/>
    <n v="3"/>
    <m/>
    <m/>
    <n v="1"/>
    <m/>
    <m/>
    <m/>
    <n v="1"/>
    <m/>
    <m/>
    <m/>
    <m/>
    <m/>
    <m/>
    <m/>
    <m/>
    <m/>
    <m/>
    <m/>
    <n v="4"/>
    <m/>
    <m/>
    <m/>
    <n v="20"/>
    <m/>
    <m/>
    <m/>
    <m/>
    <m/>
    <m/>
    <m/>
    <x v="0"/>
    <x v="0"/>
    <n v="1"/>
    <m/>
    <m/>
    <m/>
    <m/>
    <m/>
    <m/>
    <m/>
    <m/>
    <n v="3"/>
    <m/>
    <m/>
    <n v="2"/>
    <m/>
    <m/>
    <s v="Yes"/>
    <n v="1"/>
    <m/>
    <m/>
    <m/>
    <m/>
    <m/>
    <m/>
    <m/>
    <m/>
    <m/>
    <m/>
    <m/>
    <m/>
    <m/>
    <s v="no test"/>
    <s v="no test"/>
    <s v="No Test"/>
    <n v="3"/>
    <n v="1"/>
    <n v="1"/>
    <n v="0"/>
    <n v="0"/>
    <n v="0"/>
    <n v="0"/>
    <n v="1"/>
    <n v="1"/>
    <n v="1"/>
    <n v="404"/>
    <n v="0"/>
    <n v="0"/>
    <n v="1"/>
    <n v="404"/>
    <n v="0.80800000000000005"/>
    <n v="0"/>
    <n v="0"/>
    <n v="0.19199999999999995"/>
    <n v="1"/>
    <n v="20"/>
    <n v="1"/>
    <n v="404"/>
    <n v="0"/>
    <n v="0"/>
    <n v="0"/>
    <n v="20"/>
    <n v="0"/>
    <n v="0"/>
    <n v="0"/>
    <n v="404"/>
    <n v="0"/>
    <n v="0"/>
    <n v="0"/>
    <n v="404"/>
    <n v="1"/>
    <n v="0"/>
    <n v="1"/>
    <n v="0"/>
    <n v="0"/>
    <n v="0"/>
    <n v="0"/>
    <n v="4"/>
    <n v="0"/>
    <s v="No"/>
    <s v=""/>
    <n v="0"/>
    <n v="0"/>
    <n v="0"/>
    <n v="0"/>
    <n v="0"/>
    <n v="0"/>
    <s v="Yes"/>
    <s v="KMSS-MYT"/>
    <x v="0"/>
    <x v="1"/>
    <x v="1"/>
    <n v="24.461033"/>
    <n v="97.537099999999995"/>
    <s v="MMR001CMP123"/>
    <x v="0"/>
    <x v="0"/>
    <n v="72"/>
    <n v="404"/>
  </r>
  <r>
    <x v="0"/>
    <x v="8"/>
    <x v="7"/>
    <s v="SI (ECHO)"/>
    <x v="0"/>
    <x v="6"/>
    <x v="1"/>
    <x v="39"/>
    <n v="616"/>
    <n v="3682"/>
    <d v="2022-04-01T00:00:00"/>
    <d v="2022-12-31T00:00:00"/>
    <m/>
    <m/>
    <m/>
    <m/>
    <s v="Yes"/>
    <m/>
    <m/>
    <m/>
    <m/>
    <m/>
    <m/>
    <m/>
    <m/>
    <m/>
    <m/>
    <m/>
    <m/>
    <m/>
    <n v="1"/>
    <m/>
    <m/>
    <n v="1"/>
    <m/>
    <m/>
    <m/>
    <m/>
    <n v="21"/>
    <n v="6"/>
    <m/>
    <m/>
    <n v="152"/>
    <m/>
    <m/>
    <m/>
    <m/>
    <m/>
    <m/>
    <m/>
    <x v="2"/>
    <x v="0"/>
    <n v="4"/>
    <m/>
    <n v="16"/>
    <n v="2"/>
    <m/>
    <m/>
    <n v="7"/>
    <m/>
    <m/>
    <n v="7"/>
    <m/>
    <m/>
    <n v="6"/>
    <m/>
    <m/>
    <m/>
    <m/>
    <m/>
    <m/>
    <m/>
    <m/>
    <m/>
    <m/>
    <m/>
    <m/>
    <m/>
    <m/>
    <m/>
    <m/>
    <m/>
    <s v="no test"/>
    <s v="no test"/>
    <s v="No Test"/>
    <n v="0"/>
    <n v="0"/>
    <n v="0"/>
    <n v="0"/>
    <n v="0"/>
    <n v="3000"/>
    <n v="0"/>
    <n v="0"/>
    <n v="0"/>
    <n v="0"/>
    <n v="0"/>
    <n v="6.7897881586094513E-2"/>
    <n v="250"/>
    <n v="6.7897881586094513E-2"/>
    <n v="250"/>
    <n v="0.5"/>
    <n v="0.93210211841390544"/>
    <n v="3432"/>
    <n v="6.5"/>
    <n v="7"/>
    <n v="152"/>
    <n v="0.84736556219445958"/>
    <n v="3120"/>
    <n v="0"/>
    <n v="0"/>
    <n v="100"/>
    <n v="184"/>
    <n v="32"/>
    <n v="0.15263443780554042"/>
    <n v="0"/>
    <n v="3000"/>
    <n v="0"/>
    <n v="0"/>
    <n v="0"/>
    <n v="3000"/>
    <n v="0.81477457903313422"/>
    <n v="0.18522542096686578"/>
    <n v="0.81477457903313422"/>
    <n v="0"/>
    <n v="0"/>
    <n v="7"/>
    <n v="140"/>
    <n v="0"/>
    <n v="700"/>
    <s v="No"/>
    <s v=""/>
    <n v="0"/>
    <n v="0"/>
    <n v="0"/>
    <n v="0"/>
    <n v="3000"/>
    <n v="100"/>
    <s v="Yes"/>
    <s v="KMSS-BMO"/>
    <x v="0"/>
    <x v="1"/>
    <x v="1"/>
    <n v="24.2744"/>
    <n v="97.752667000000002"/>
    <s v="MMR001CMP126"/>
    <x v="0"/>
    <x v="2"/>
    <n v="613"/>
    <n v="3655"/>
  </r>
  <r>
    <x v="0"/>
    <x v="8"/>
    <x v="7"/>
    <s v="SI (ECHO)"/>
    <x v="0"/>
    <x v="7"/>
    <x v="1"/>
    <x v="40"/>
    <n v="542"/>
    <n v="2503"/>
    <d v="2022-04-01T00:00:00"/>
    <d v="2022-12-31T00:00:00"/>
    <m/>
    <m/>
    <m/>
    <m/>
    <s v="Yes"/>
    <m/>
    <m/>
    <n v="4"/>
    <m/>
    <m/>
    <m/>
    <m/>
    <m/>
    <m/>
    <m/>
    <m/>
    <m/>
    <m/>
    <n v="1"/>
    <m/>
    <m/>
    <n v="1"/>
    <m/>
    <m/>
    <m/>
    <m/>
    <n v="5"/>
    <n v="2"/>
    <m/>
    <m/>
    <n v="438"/>
    <m/>
    <m/>
    <m/>
    <m/>
    <m/>
    <m/>
    <n v="266"/>
    <x v="2"/>
    <x v="0"/>
    <n v="6"/>
    <n v="274"/>
    <n v="62"/>
    <n v="2"/>
    <m/>
    <m/>
    <n v="7"/>
    <m/>
    <n v="266"/>
    <n v="4"/>
    <m/>
    <m/>
    <n v="7"/>
    <m/>
    <m/>
    <m/>
    <m/>
    <m/>
    <m/>
    <m/>
    <m/>
    <m/>
    <m/>
    <m/>
    <m/>
    <m/>
    <m/>
    <m/>
    <m/>
    <m/>
    <s v="no test"/>
    <s v="no test"/>
    <s v="No Test"/>
    <n v="4"/>
    <n v="0"/>
    <n v="0"/>
    <n v="0"/>
    <n v="0"/>
    <n v="1000"/>
    <n v="0"/>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0"/>
    <n v="0"/>
    <n v="0"/>
    <n v="1000"/>
    <n v="100"/>
    <s v="Yes"/>
    <s v="KMSS-BMO"/>
    <x v="0"/>
    <x v="1"/>
    <x v="1"/>
    <n v="24.056132999999999"/>
    <n v="97.625617000000005"/>
    <s v="MMR001CMP128"/>
    <x v="0"/>
    <x v="2"/>
    <n v="541"/>
    <n v="2507"/>
  </r>
  <r>
    <x v="0"/>
    <x v="2"/>
    <x v="0"/>
    <s v="UNICEF"/>
    <x v="0"/>
    <x v="5"/>
    <x v="1"/>
    <x v="41"/>
    <n v="10"/>
    <n v="51"/>
    <d v="2022-09-07T00:00:00"/>
    <d v="2023-09-06T00:00:00"/>
    <m/>
    <n v="1"/>
    <m/>
    <m/>
    <s v="Yes"/>
    <n v="2"/>
    <n v="1"/>
    <n v="2"/>
    <n v="1"/>
    <m/>
    <n v="2"/>
    <m/>
    <m/>
    <m/>
    <m/>
    <m/>
    <m/>
    <m/>
    <m/>
    <m/>
    <m/>
    <n v="3"/>
    <m/>
    <m/>
    <m/>
    <m/>
    <m/>
    <m/>
    <m/>
    <m/>
    <n v="4"/>
    <m/>
    <m/>
    <m/>
    <m/>
    <m/>
    <m/>
    <n v="3"/>
    <x v="0"/>
    <x v="0"/>
    <m/>
    <m/>
    <m/>
    <m/>
    <m/>
    <m/>
    <n v="3"/>
    <m/>
    <m/>
    <n v="2"/>
    <m/>
    <m/>
    <m/>
    <m/>
    <m/>
    <m/>
    <m/>
    <m/>
    <m/>
    <m/>
    <m/>
    <m/>
    <m/>
    <m/>
    <m/>
    <m/>
    <m/>
    <m/>
    <m/>
    <m/>
    <s v="no test"/>
    <s v="no test"/>
    <s v="No Test"/>
    <n v="1"/>
    <n v="2"/>
    <n v="0"/>
    <n v="0"/>
    <n v="0"/>
    <n v="0"/>
    <n v="0"/>
    <n v="1"/>
    <n v="1"/>
    <n v="1"/>
    <n v="51"/>
    <n v="0"/>
    <n v="0"/>
    <n v="1"/>
    <n v="51"/>
    <n v="0.10199999999999999"/>
    <n v="0"/>
    <n v="0"/>
    <n v="0.89800000000000002"/>
    <n v="1"/>
    <n v="4"/>
    <n v="1"/>
    <n v="51"/>
    <n v="0"/>
    <n v="0"/>
    <n v="0"/>
    <n v="3"/>
    <n v="0"/>
    <n v="0"/>
    <n v="0"/>
    <n v="0"/>
    <n v="0"/>
    <n v="0"/>
    <n v="0"/>
    <n v="0"/>
    <n v="0"/>
    <n v="1"/>
    <n v="0"/>
    <n v="0"/>
    <n v="0"/>
    <n v="3"/>
    <n v="10"/>
    <n v="0"/>
    <n v="51"/>
    <s v="No"/>
    <s v=""/>
    <n v="0"/>
    <n v="0"/>
    <n v="0"/>
    <n v="0"/>
    <n v="0"/>
    <n v="0"/>
    <s v="Yes"/>
    <s v="KBC-MYT"/>
    <x v="0"/>
    <x v="1"/>
    <x v="0"/>
    <n v="25.30442"/>
    <n v="96.948740000000001"/>
    <s v="MMR001CMP079"/>
    <x v="0"/>
    <x v="0"/>
    <n v="10"/>
    <n v="48"/>
  </r>
  <r>
    <x v="0"/>
    <x v="8"/>
    <x v="7"/>
    <s v="SI (ECHO)"/>
    <x v="0"/>
    <x v="6"/>
    <x v="1"/>
    <x v="42"/>
    <n v="349"/>
    <n v="1570"/>
    <d v="2022-04-01T00:00:00"/>
    <d v="2022-12-31T00:00:00"/>
    <m/>
    <m/>
    <m/>
    <m/>
    <s v="Yes"/>
    <m/>
    <m/>
    <m/>
    <m/>
    <m/>
    <m/>
    <m/>
    <m/>
    <m/>
    <m/>
    <m/>
    <m/>
    <m/>
    <n v="6"/>
    <m/>
    <m/>
    <n v="6"/>
    <m/>
    <m/>
    <m/>
    <m/>
    <n v="4"/>
    <n v="2"/>
    <m/>
    <m/>
    <n v="181"/>
    <m/>
    <m/>
    <m/>
    <m/>
    <m/>
    <m/>
    <n v="71"/>
    <x v="2"/>
    <x v="0"/>
    <n v="2"/>
    <m/>
    <n v="16"/>
    <n v="2"/>
    <m/>
    <m/>
    <n v="8"/>
    <m/>
    <n v="30"/>
    <n v="3"/>
    <m/>
    <m/>
    <n v="6"/>
    <m/>
    <m/>
    <m/>
    <m/>
    <m/>
    <m/>
    <m/>
    <m/>
    <m/>
    <m/>
    <m/>
    <m/>
    <m/>
    <m/>
    <m/>
    <m/>
    <m/>
    <s v="no test"/>
    <s v="no test"/>
    <s v="No Test"/>
    <n v="0"/>
    <n v="0"/>
    <n v="0"/>
    <n v="0"/>
    <n v="0"/>
    <n v="1000"/>
    <n v="0"/>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0"/>
    <n v="0"/>
    <n v="0"/>
    <n v="1000"/>
    <n v="100"/>
    <s v="Yes"/>
    <s v="KMSS-BMO"/>
    <x v="0"/>
    <x v="1"/>
    <x v="1"/>
    <n v="24.378167000000001"/>
    <n v="97.669366999999994"/>
    <s v="MMR001CMP131"/>
    <x v="0"/>
    <x v="2"/>
    <n v="350"/>
    <n v="1590"/>
  </r>
  <r>
    <x v="0"/>
    <x v="1"/>
    <x v="1"/>
    <s v="UNICEF"/>
    <x v="0"/>
    <x v="7"/>
    <x v="1"/>
    <x v="43"/>
    <n v="154"/>
    <n v="694"/>
    <d v="2021-08-06T00:00:00"/>
    <d v="2022-08-05T00:00:00"/>
    <m/>
    <n v="5"/>
    <m/>
    <m/>
    <s v="Yes"/>
    <n v="3"/>
    <n v="4"/>
    <n v="1"/>
    <m/>
    <m/>
    <n v="3"/>
    <n v="2"/>
    <m/>
    <m/>
    <m/>
    <m/>
    <m/>
    <m/>
    <m/>
    <m/>
    <m/>
    <m/>
    <m/>
    <m/>
    <m/>
    <m/>
    <m/>
    <m/>
    <m/>
    <m/>
    <n v="61"/>
    <m/>
    <m/>
    <m/>
    <m/>
    <m/>
    <m/>
    <m/>
    <x v="0"/>
    <x v="0"/>
    <m/>
    <m/>
    <m/>
    <m/>
    <m/>
    <m/>
    <n v="10"/>
    <m/>
    <m/>
    <n v="7"/>
    <m/>
    <m/>
    <n v="2"/>
    <m/>
    <m/>
    <s v="Yes"/>
    <m/>
    <m/>
    <m/>
    <m/>
    <m/>
    <m/>
    <m/>
    <m/>
    <m/>
    <m/>
    <m/>
    <m/>
    <m/>
    <m/>
    <s v="no test"/>
    <s v="no test"/>
    <s v="No Test"/>
    <n v="1"/>
    <n v="5"/>
    <n v="0"/>
    <n v="0"/>
    <n v="0"/>
    <n v="0"/>
    <n v="0"/>
    <n v="1"/>
    <n v="1"/>
    <n v="1"/>
    <n v="694"/>
    <n v="0"/>
    <n v="0"/>
    <n v="1"/>
    <n v="694"/>
    <n v="1.3879999999999999"/>
    <n v="0"/>
    <n v="0"/>
    <n v="0"/>
    <n v="1"/>
    <n v="61"/>
    <n v="1"/>
    <n v="694"/>
    <n v="0"/>
    <n v="0"/>
    <n v="0"/>
    <n v="35"/>
    <n v="0"/>
    <n v="0"/>
    <n v="0"/>
    <n v="694"/>
    <n v="0"/>
    <n v="0"/>
    <n v="0"/>
    <n v="694"/>
    <n v="1"/>
    <n v="0"/>
    <n v="1"/>
    <n v="0"/>
    <n v="0"/>
    <n v="10"/>
    <n v="154"/>
    <n v="0"/>
    <n v="694"/>
    <s v="No"/>
    <s v=""/>
    <n v="0"/>
    <n v="0"/>
    <n v="0"/>
    <n v="0"/>
    <n v="0"/>
    <n v="0"/>
    <s v="Yes"/>
    <s v="KMSS-BMO"/>
    <x v="0"/>
    <x v="1"/>
    <x v="0"/>
    <n v="23.976571"/>
    <n v="97.227057000000002"/>
    <s v="MMR001CMP223"/>
    <x v="0"/>
    <x v="0"/>
    <n v="139"/>
    <n v="672"/>
  </r>
  <r>
    <x v="0"/>
    <x v="6"/>
    <x v="5"/>
    <s v="UNICEF, USAID"/>
    <x v="0"/>
    <x v="7"/>
    <x v="1"/>
    <x v="44"/>
    <n v="155"/>
    <n v="655"/>
    <s v="8/6/2021,11-11-2021"/>
    <s v="8/5/2022, 12-31-22"/>
    <m/>
    <n v="2"/>
    <m/>
    <m/>
    <s v="Yes"/>
    <n v="4"/>
    <n v="3"/>
    <n v="2"/>
    <m/>
    <m/>
    <m/>
    <n v="1"/>
    <m/>
    <m/>
    <n v="1"/>
    <m/>
    <m/>
    <m/>
    <m/>
    <m/>
    <m/>
    <m/>
    <m/>
    <m/>
    <m/>
    <m/>
    <m/>
    <m/>
    <m/>
    <m/>
    <n v="18"/>
    <m/>
    <m/>
    <m/>
    <m/>
    <m/>
    <m/>
    <m/>
    <x v="1"/>
    <x v="2"/>
    <m/>
    <m/>
    <m/>
    <m/>
    <m/>
    <m/>
    <n v="3"/>
    <m/>
    <m/>
    <n v="2"/>
    <m/>
    <m/>
    <n v="1"/>
    <m/>
    <m/>
    <s v="Yes"/>
    <m/>
    <m/>
    <m/>
    <m/>
    <m/>
    <m/>
    <m/>
    <m/>
    <m/>
    <m/>
    <m/>
    <m/>
    <m/>
    <m/>
    <s v="no test"/>
    <s v="no test"/>
    <s v="No Test"/>
    <n v="2"/>
    <n v="1"/>
    <n v="1"/>
    <n v="0"/>
    <n v="0"/>
    <n v="0"/>
    <n v="0"/>
    <n v="1"/>
    <n v="1"/>
    <n v="1"/>
    <n v="655"/>
    <n v="0"/>
    <n v="0"/>
    <n v="1"/>
    <n v="655"/>
    <n v="1.31"/>
    <n v="0"/>
    <n v="0"/>
    <n v="0"/>
    <n v="1"/>
    <n v="18"/>
    <n v="0.54961832061068705"/>
    <n v="360"/>
    <n v="0"/>
    <n v="0"/>
    <n v="0"/>
    <n v="33"/>
    <n v="15"/>
    <n v="0.45038167938931295"/>
    <n v="0"/>
    <n v="500"/>
    <n v="0"/>
    <n v="0"/>
    <n v="0"/>
    <n v="500"/>
    <n v="0.76335877862595425"/>
    <n v="0.23664122137404575"/>
    <n v="0.76335877862595425"/>
    <n v="0"/>
    <n v="0"/>
    <n v="3"/>
    <n v="60"/>
    <n v="0"/>
    <n v="300"/>
    <s v="No"/>
    <s v=""/>
    <n v="0"/>
    <n v="0"/>
    <n v="0"/>
    <n v="0"/>
    <n v="0"/>
    <n v="0"/>
    <s v="Yes"/>
    <s v="KBC-NSS"/>
    <x v="0"/>
    <x v="1"/>
    <x v="0"/>
    <n v="23.83013"/>
    <n v="97.589979999999997"/>
    <s v="MMR001CMP133"/>
    <x v="0"/>
    <x v="0"/>
    <n v="136"/>
    <n v="631"/>
  </r>
  <r>
    <x v="0"/>
    <x v="10"/>
    <x v="0"/>
    <s v="UNICEF,SIDA"/>
    <x v="0"/>
    <x v="5"/>
    <x v="1"/>
    <x v="45"/>
    <n v="27"/>
    <n v="141"/>
    <d v="2022-09-07T00:00:00"/>
    <d v="2023-09-06T00:00:00"/>
    <m/>
    <n v="1"/>
    <m/>
    <m/>
    <s v="Yes"/>
    <n v="2"/>
    <n v="2"/>
    <m/>
    <m/>
    <m/>
    <n v="1"/>
    <m/>
    <m/>
    <m/>
    <m/>
    <m/>
    <m/>
    <m/>
    <m/>
    <m/>
    <m/>
    <n v="3"/>
    <m/>
    <m/>
    <m/>
    <m/>
    <m/>
    <m/>
    <m/>
    <m/>
    <n v="12"/>
    <m/>
    <m/>
    <m/>
    <m/>
    <m/>
    <m/>
    <n v="12"/>
    <x v="0"/>
    <x v="3"/>
    <m/>
    <m/>
    <m/>
    <m/>
    <m/>
    <m/>
    <n v="8"/>
    <m/>
    <m/>
    <n v="3"/>
    <m/>
    <m/>
    <m/>
    <m/>
    <m/>
    <m/>
    <m/>
    <m/>
    <m/>
    <m/>
    <m/>
    <m/>
    <m/>
    <m/>
    <m/>
    <m/>
    <m/>
    <m/>
    <m/>
    <m/>
    <s v="no test"/>
    <s v="no test"/>
    <s v="No Test"/>
    <n v="0"/>
    <n v="1"/>
    <n v="0"/>
    <n v="0"/>
    <n v="0"/>
    <n v="0"/>
    <n v="0"/>
    <n v="1"/>
    <n v="1"/>
    <n v="1"/>
    <n v="141"/>
    <n v="0"/>
    <n v="0"/>
    <n v="1"/>
    <n v="141"/>
    <n v="0.28199999999999997"/>
    <n v="0"/>
    <n v="0"/>
    <n v="0.71799999999999997"/>
    <n v="1"/>
    <n v="12"/>
    <n v="1"/>
    <n v="141"/>
    <n v="0"/>
    <n v="0"/>
    <n v="0"/>
    <n v="7"/>
    <n v="0"/>
    <n v="0"/>
    <n v="0"/>
    <n v="0"/>
    <n v="0"/>
    <n v="0"/>
    <n v="0"/>
    <n v="0"/>
    <n v="0"/>
    <n v="1"/>
    <n v="0"/>
    <n v="0"/>
    <n v="0"/>
    <n v="8"/>
    <n v="27"/>
    <n v="0"/>
    <n v="141"/>
    <s v="No"/>
    <s v=""/>
    <n v="0"/>
    <n v="0"/>
    <n v="0"/>
    <n v="0"/>
    <n v="0"/>
    <n v="0"/>
    <s v="Yes"/>
    <s v="KBC-MYT"/>
    <x v="0"/>
    <x v="1"/>
    <x v="0"/>
    <n v="25.225000000000001"/>
    <n v="96.793999999999997"/>
    <s v="MMR001CMP236"/>
    <x v="0"/>
    <x v="0"/>
    <n v="26"/>
    <n v="137"/>
  </r>
  <r>
    <x v="0"/>
    <x v="2"/>
    <x v="0"/>
    <s v="UNICEF"/>
    <x v="0"/>
    <x v="8"/>
    <x v="1"/>
    <x v="46"/>
    <n v="27"/>
    <n v="127"/>
    <d v="2022-09-07T00:00:00"/>
    <d v="2023-09-06T00:00:00"/>
    <m/>
    <n v="1"/>
    <m/>
    <m/>
    <s v="Yes"/>
    <n v="2"/>
    <n v="2"/>
    <n v="2"/>
    <m/>
    <m/>
    <n v="1"/>
    <m/>
    <m/>
    <m/>
    <m/>
    <m/>
    <m/>
    <m/>
    <m/>
    <m/>
    <m/>
    <m/>
    <m/>
    <m/>
    <m/>
    <m/>
    <m/>
    <m/>
    <m/>
    <m/>
    <n v="5"/>
    <m/>
    <m/>
    <m/>
    <m/>
    <m/>
    <m/>
    <m/>
    <x v="0"/>
    <x v="3"/>
    <m/>
    <m/>
    <m/>
    <m/>
    <m/>
    <m/>
    <n v="4"/>
    <m/>
    <m/>
    <n v="2"/>
    <m/>
    <m/>
    <m/>
    <m/>
    <m/>
    <m/>
    <m/>
    <m/>
    <m/>
    <m/>
    <m/>
    <m/>
    <m/>
    <m/>
    <m/>
    <m/>
    <m/>
    <m/>
    <m/>
    <m/>
    <s v="no test"/>
    <s v="no test"/>
    <s v="No Test"/>
    <n v="2"/>
    <n v="1"/>
    <n v="0"/>
    <n v="0"/>
    <n v="0"/>
    <n v="0"/>
    <n v="0"/>
    <n v="1"/>
    <n v="1"/>
    <n v="1"/>
    <n v="127"/>
    <n v="0"/>
    <n v="0"/>
    <n v="1"/>
    <n v="127"/>
    <n v="0.254"/>
    <n v="0"/>
    <n v="0"/>
    <n v="0.746"/>
    <n v="1"/>
    <n v="5"/>
    <n v="0.78740157480314965"/>
    <n v="100"/>
    <n v="0"/>
    <n v="0"/>
    <n v="0"/>
    <n v="6"/>
    <n v="1"/>
    <n v="0.21259842519685035"/>
    <n v="0"/>
    <n v="0"/>
    <n v="0"/>
    <n v="0"/>
    <n v="0"/>
    <n v="0"/>
    <n v="0"/>
    <n v="1"/>
    <n v="0"/>
    <n v="0"/>
    <n v="0"/>
    <n v="4"/>
    <n v="27"/>
    <n v="0"/>
    <n v="127"/>
    <s v="No"/>
    <s v=""/>
    <n v="0"/>
    <n v="0"/>
    <n v="0"/>
    <n v="0"/>
    <n v="0"/>
    <n v="0"/>
    <s v="Yes"/>
    <s v="KBC-MYT"/>
    <x v="0"/>
    <x v="1"/>
    <x v="0"/>
    <n v="24.998349999999999"/>
    <n v="96.364949999999993"/>
    <s v="MMR001CMP152"/>
    <x v="0"/>
    <x v="0"/>
    <n v="28"/>
    <n v="131"/>
  </r>
  <r>
    <x v="0"/>
    <x v="4"/>
    <x v="3"/>
    <m/>
    <x v="0"/>
    <x v="0"/>
    <x v="1"/>
    <x v="47"/>
    <n v="181"/>
    <n v="906"/>
    <m/>
    <m/>
    <m/>
    <m/>
    <m/>
    <m/>
    <m/>
    <m/>
    <n v="4"/>
    <m/>
    <m/>
    <m/>
    <m/>
    <m/>
    <m/>
    <m/>
    <m/>
    <m/>
    <m/>
    <m/>
    <m/>
    <m/>
    <m/>
    <m/>
    <m/>
    <m/>
    <m/>
    <m/>
    <m/>
    <m/>
    <m/>
    <m/>
    <m/>
    <m/>
    <m/>
    <m/>
    <m/>
    <m/>
    <m/>
    <m/>
    <x v="1"/>
    <x v="2"/>
    <m/>
    <m/>
    <m/>
    <m/>
    <m/>
    <m/>
    <n v="7"/>
    <m/>
    <m/>
    <n v="7"/>
    <m/>
    <m/>
    <m/>
    <m/>
    <m/>
    <m/>
    <m/>
    <m/>
    <m/>
    <m/>
    <m/>
    <m/>
    <m/>
    <m/>
    <m/>
    <m/>
    <m/>
    <m/>
    <m/>
    <m/>
    <s v="no test"/>
    <s v="no test"/>
    <s v="No Test"/>
    <n v="0"/>
    <n v="0"/>
    <n v="0"/>
    <n v="0"/>
    <n v="0"/>
    <n v="0"/>
    <n v="0"/>
    <n v="0"/>
    <n v="0"/>
    <n v="0"/>
    <n v="0"/>
    <n v="0"/>
    <n v="0"/>
    <n v="0"/>
    <n v="0"/>
    <n v="0"/>
    <n v="1"/>
    <n v="906"/>
    <n v="2"/>
    <n v="2"/>
    <n v="0"/>
    <n v="0"/>
    <n v="0"/>
    <n v="0"/>
    <n v="0"/>
    <n v="0"/>
    <n v="45"/>
    <n v="45"/>
    <n v="1"/>
    <n v="0"/>
    <n v="0"/>
    <n v="0"/>
    <n v="0"/>
    <n v="0"/>
    <n v="0"/>
    <n v="0"/>
    <n v="1"/>
    <n v="0"/>
    <n v="0"/>
    <n v="0"/>
    <n v="7"/>
    <n v="140"/>
    <n v="0"/>
    <n v="700"/>
    <s v="No"/>
    <s v=""/>
    <n v="0"/>
    <n v="0"/>
    <n v="0"/>
    <n v="0"/>
    <n v="0"/>
    <n v="0"/>
    <n v="0"/>
    <s v="uncovered"/>
    <x v="0"/>
    <x v="3"/>
    <x v="0"/>
    <n v="24.263786"/>
    <n v="97.228835000000004"/>
    <s v="MMR001CMP163"/>
    <x v="1"/>
    <x v="1"/>
    <n v="17"/>
    <n v="87"/>
  </r>
  <r>
    <x v="0"/>
    <x v="4"/>
    <x v="3"/>
    <m/>
    <x v="0"/>
    <x v="3"/>
    <x v="1"/>
    <x v="48"/>
    <n v="95"/>
    <n v="472"/>
    <m/>
    <m/>
    <m/>
    <m/>
    <m/>
    <m/>
    <m/>
    <m/>
    <m/>
    <m/>
    <m/>
    <m/>
    <m/>
    <m/>
    <m/>
    <m/>
    <m/>
    <m/>
    <m/>
    <m/>
    <m/>
    <m/>
    <m/>
    <m/>
    <m/>
    <m/>
    <m/>
    <m/>
    <m/>
    <m/>
    <m/>
    <m/>
    <m/>
    <m/>
    <m/>
    <m/>
    <m/>
    <m/>
    <m/>
    <m/>
    <x v="1"/>
    <x v="2"/>
    <m/>
    <m/>
    <m/>
    <m/>
    <m/>
    <m/>
    <n v="8"/>
    <m/>
    <m/>
    <n v="3"/>
    <m/>
    <m/>
    <m/>
    <m/>
    <m/>
    <m/>
    <m/>
    <m/>
    <m/>
    <m/>
    <m/>
    <m/>
    <m/>
    <m/>
    <m/>
    <m/>
    <m/>
    <m/>
    <m/>
    <m/>
    <s v="no test"/>
    <s v="no test"/>
    <s v="No Test"/>
    <n v="0"/>
    <n v="0"/>
    <n v="0"/>
    <n v="0"/>
    <n v="0"/>
    <n v="0"/>
    <n v="0"/>
    <n v="0"/>
    <n v="0"/>
    <n v="0"/>
    <n v="0"/>
    <n v="0"/>
    <n v="0"/>
    <n v="0"/>
    <n v="0"/>
    <n v="0"/>
    <n v="1"/>
    <n v="472"/>
    <n v="1"/>
    <n v="1"/>
    <n v="0"/>
    <n v="0"/>
    <n v="0"/>
    <n v="0"/>
    <n v="0"/>
    <n v="0"/>
    <n v="24"/>
    <n v="24"/>
    <n v="1"/>
    <n v="0"/>
    <n v="0"/>
    <n v="0"/>
    <n v="0"/>
    <n v="0"/>
    <n v="0"/>
    <n v="0"/>
    <n v="1"/>
    <n v="0"/>
    <n v="0"/>
    <n v="0"/>
    <n v="8"/>
    <n v="95"/>
    <n v="0"/>
    <n v="472"/>
    <s v="No"/>
    <s v=""/>
    <n v="0"/>
    <n v="0"/>
    <n v="0"/>
    <n v="0"/>
    <n v="0"/>
    <n v="0"/>
    <s v="Yes"/>
    <s v="KMSS-MYT"/>
    <x v="0"/>
    <x v="1"/>
    <x v="0"/>
    <n v="25.656009999999998"/>
    <n v="96.361609999999999"/>
    <s v="MMR001CMP168"/>
    <x v="1"/>
    <x v="1"/>
    <n v="91"/>
    <n v="456"/>
  </r>
  <r>
    <x v="0"/>
    <x v="11"/>
    <x v="9"/>
    <s v="ECHO 2739,USAID/HOPE-94"/>
    <x v="0"/>
    <x v="6"/>
    <x v="0"/>
    <x v="49"/>
    <n v="110"/>
    <n v="502"/>
    <s v="6/1/2022,(13-8-2021, 6-1-2020)"/>
    <s v="11/30/2022,(30-6-2022, 30.4.2021)"/>
    <m/>
    <m/>
    <m/>
    <m/>
    <s v="Yes"/>
    <n v="2"/>
    <n v="3"/>
    <n v="3"/>
    <m/>
    <m/>
    <n v="2"/>
    <m/>
    <m/>
    <m/>
    <m/>
    <m/>
    <m/>
    <m/>
    <m/>
    <m/>
    <n v="1"/>
    <m/>
    <m/>
    <m/>
    <m/>
    <m/>
    <m/>
    <m/>
    <m/>
    <m/>
    <n v="31"/>
    <m/>
    <m/>
    <m/>
    <m/>
    <m/>
    <m/>
    <m/>
    <x v="0"/>
    <x v="0"/>
    <m/>
    <m/>
    <m/>
    <m/>
    <m/>
    <m/>
    <n v="11"/>
    <m/>
    <m/>
    <n v="3"/>
    <m/>
    <m/>
    <m/>
    <m/>
    <m/>
    <m/>
    <m/>
    <m/>
    <m/>
    <m/>
    <m/>
    <m/>
    <m/>
    <m/>
    <m/>
    <m/>
    <m/>
    <m/>
    <m/>
    <m/>
    <s v="no test"/>
    <s v="no test"/>
    <s v="No Test"/>
    <n v="3"/>
    <n v="2"/>
    <n v="0"/>
    <n v="0"/>
    <n v="0"/>
    <n v="0"/>
    <n v="0"/>
    <n v="1"/>
    <n v="1"/>
    <n v="1"/>
    <n v="502"/>
    <n v="0"/>
    <n v="0"/>
    <n v="1"/>
    <n v="502"/>
    <n v="1.004"/>
    <n v="0"/>
    <n v="0"/>
    <n v="0"/>
    <n v="1"/>
    <n v="31"/>
    <n v="1"/>
    <n v="502"/>
    <n v="0"/>
    <n v="0"/>
    <n v="0"/>
    <n v="25"/>
    <n v="0"/>
    <n v="0"/>
    <n v="0"/>
    <n v="0"/>
    <n v="0"/>
    <n v="0"/>
    <n v="0"/>
    <n v="0"/>
    <n v="0"/>
    <n v="1"/>
    <n v="0"/>
    <n v="0"/>
    <n v="0"/>
    <n v="11"/>
    <n v="110"/>
    <n v="0"/>
    <n v="502"/>
    <s v="No"/>
    <s v=""/>
    <n v="0"/>
    <n v="0"/>
    <n v="0"/>
    <n v="0"/>
    <n v="0"/>
    <n v="0"/>
    <n v="0"/>
    <n v="0"/>
    <x v="0"/>
    <x v="1"/>
    <x v="0"/>
    <n v="0"/>
    <n v="0"/>
    <n v="0"/>
    <x v="0"/>
    <x v="0"/>
    <n v="0"/>
    <n v="0"/>
  </r>
  <r>
    <x v="0"/>
    <x v="3"/>
    <x v="2"/>
    <s v="ANCHOR"/>
    <x v="0"/>
    <x v="3"/>
    <x v="1"/>
    <x v="50"/>
    <n v="95"/>
    <n v="471"/>
    <d v="2023-01-01T00:00:00"/>
    <d v="2023-12-31T00:00:00"/>
    <n v="90"/>
    <m/>
    <n v="1"/>
    <m/>
    <s v="No"/>
    <n v="7"/>
    <n v="3"/>
    <m/>
    <m/>
    <m/>
    <m/>
    <m/>
    <m/>
    <m/>
    <n v="2"/>
    <m/>
    <n v="1"/>
    <m/>
    <n v="2"/>
    <m/>
    <n v="7"/>
    <n v="1"/>
    <m/>
    <m/>
    <m/>
    <m/>
    <n v="1"/>
    <m/>
    <m/>
    <s v="ရေအရည်သွေးစစ်ဆေးမူပြုလုပ်စေချင်။ "/>
    <n v="14"/>
    <m/>
    <s v="Shalom"/>
    <m/>
    <m/>
    <n v="3"/>
    <m/>
    <m/>
    <x v="0"/>
    <x v="0"/>
    <m/>
    <m/>
    <n v="2"/>
    <m/>
    <m/>
    <m/>
    <n v="3"/>
    <m/>
    <m/>
    <n v="2"/>
    <m/>
    <n v="1"/>
    <m/>
    <n v="100"/>
    <n v="138"/>
    <s v="No"/>
    <n v="1"/>
    <n v="0.5"/>
    <s v="၃ လတစ်ကြိမ် Hygiene promotion ပြုလုပ်လျှင်အဆင်ပြေ"/>
    <n v="1"/>
    <n v="1"/>
    <n v="10"/>
    <n v="1"/>
    <m/>
    <m/>
    <m/>
    <m/>
    <m/>
    <m/>
    <m/>
    <s v="no test"/>
    <s v="no test"/>
    <s v="No Test"/>
    <n v="0"/>
    <n v="0"/>
    <n v="2"/>
    <n v="0"/>
    <n v="0"/>
    <n v="0"/>
    <n v="0"/>
    <n v="0.28308563340410475"/>
    <n v="0.28308563340410475"/>
    <n v="0.28308563340410475"/>
    <n v="133.33333333333334"/>
    <n v="1"/>
    <n v="471"/>
    <n v="1"/>
    <n v="471"/>
    <n v="0.94199999999999995"/>
    <n v="0"/>
    <n v="0"/>
    <n v="5.8000000000000052E-2"/>
    <n v="1"/>
    <n v="14"/>
    <n v="0.59447983014861994"/>
    <n v="280"/>
    <n v="60"/>
    <n v="90"/>
    <n v="0"/>
    <n v="24"/>
    <n v="10"/>
    <n v="0.40552016985138006"/>
    <n v="0"/>
    <n v="471"/>
    <n v="471"/>
    <n v="138"/>
    <n v="471"/>
    <n v="471"/>
    <n v="1"/>
    <n v="0"/>
    <n v="1"/>
    <n v="1"/>
    <n v="1"/>
    <n v="3"/>
    <n v="60"/>
    <n v="0"/>
    <n v="300"/>
    <s v="Yes"/>
    <n v="2.1231422505307854E-2"/>
    <n v="471"/>
    <n v="471"/>
    <n v="471"/>
    <n v="471"/>
    <n v="90"/>
    <n v="0"/>
    <s v="Yes"/>
    <s v="KBC-MYT"/>
    <x v="0"/>
    <x v="1"/>
    <x v="0"/>
    <n v="25.611160000000002"/>
    <n v="96.312790000000007"/>
    <s v="MMR001CMP229"/>
    <x v="0"/>
    <x v="0"/>
    <n v="95"/>
    <n v="470"/>
  </r>
  <r>
    <x v="0"/>
    <x v="3"/>
    <x v="2"/>
    <s v="ANCHOR"/>
    <x v="0"/>
    <x v="4"/>
    <x v="1"/>
    <x v="51"/>
    <n v="59"/>
    <n v="298"/>
    <d v="2023-01-01T00:00:00"/>
    <d v="2023-12-31T00:00:00"/>
    <m/>
    <m/>
    <n v="1"/>
    <m/>
    <s v="Yes"/>
    <n v="3"/>
    <n v="6"/>
    <n v="1"/>
    <n v="1"/>
    <m/>
    <n v="1"/>
    <m/>
    <n v="1"/>
    <n v="1"/>
    <m/>
    <m/>
    <m/>
    <m/>
    <m/>
    <m/>
    <n v="2"/>
    <m/>
    <m/>
    <m/>
    <m/>
    <m/>
    <n v="2"/>
    <m/>
    <m/>
    <m/>
    <n v="26"/>
    <n v="2"/>
    <s v="World vision"/>
    <n v="26"/>
    <m/>
    <m/>
    <m/>
    <m/>
    <x v="0"/>
    <x v="0"/>
    <m/>
    <m/>
    <m/>
    <m/>
    <m/>
    <m/>
    <n v="2"/>
    <m/>
    <m/>
    <m/>
    <m/>
    <m/>
    <n v="1"/>
    <m/>
    <m/>
    <m/>
    <n v="1"/>
    <n v="0.5"/>
    <m/>
    <n v="1"/>
    <n v="0.9"/>
    <m/>
    <n v="1"/>
    <m/>
    <m/>
    <m/>
    <m/>
    <m/>
    <m/>
    <m/>
    <s v="no test"/>
    <s v="no test"/>
    <s v="No Test"/>
    <n v="0"/>
    <n v="0"/>
    <n v="0"/>
    <n v="0"/>
    <n v="0"/>
    <n v="0"/>
    <n v="0"/>
    <n v="0"/>
    <n v="0"/>
    <n v="0"/>
    <n v="0"/>
    <n v="0"/>
    <n v="0"/>
    <n v="0"/>
    <n v="0"/>
    <n v="0"/>
    <n v="1"/>
    <n v="298"/>
    <n v="1"/>
    <n v="1"/>
    <n v="2"/>
    <n v="0.13422818791946309"/>
    <n v="40"/>
    <n v="0"/>
    <n v="0"/>
    <n v="0"/>
    <n v="15"/>
    <n v="0"/>
    <n v="0.86577181208053688"/>
    <n v="0.9285714285714286"/>
    <n v="298"/>
    <n v="0"/>
    <n v="0"/>
    <n v="0"/>
    <n v="298"/>
    <n v="1"/>
    <n v="0"/>
    <n v="1"/>
    <n v="0"/>
    <n v="0"/>
    <n v="2"/>
    <n v="40"/>
    <n v="0"/>
    <n v="200"/>
    <s v="No"/>
    <s v=""/>
    <n v="298"/>
    <n v="268.2"/>
    <n v="298"/>
    <n v="298"/>
    <n v="0"/>
    <n v="0"/>
    <s v="Yes"/>
    <s v="Shalom"/>
    <x v="0"/>
    <x v="1"/>
    <x v="0"/>
    <n v="25.321710740740698"/>
    <n v="97.404195925926004"/>
    <s v="MMR001CMP028"/>
    <x v="0"/>
    <x v="0"/>
    <n v="59"/>
    <n v="298"/>
  </r>
  <r>
    <x v="0"/>
    <x v="3"/>
    <x v="2"/>
    <s v="ANCHOR"/>
    <x v="0"/>
    <x v="3"/>
    <x v="1"/>
    <x v="52"/>
    <n v="124"/>
    <n v="634"/>
    <d v="2023-01-01T00:00:00"/>
    <d v="2023-12-31T00:00:00"/>
    <m/>
    <m/>
    <n v="1"/>
    <m/>
    <s v="Yes"/>
    <n v="4"/>
    <n v="6"/>
    <n v="1"/>
    <m/>
    <m/>
    <n v="1"/>
    <n v="1"/>
    <n v="1"/>
    <m/>
    <n v="1"/>
    <m/>
    <n v="1"/>
    <m/>
    <n v="1"/>
    <m/>
    <n v="5"/>
    <n v="5"/>
    <m/>
    <m/>
    <m/>
    <m/>
    <n v="2"/>
    <m/>
    <m/>
    <m/>
    <n v="29"/>
    <m/>
    <s v="Shalom"/>
    <m/>
    <m/>
    <n v="13"/>
    <m/>
    <m/>
    <x v="0"/>
    <x v="0"/>
    <n v="1"/>
    <m/>
    <m/>
    <m/>
    <n v="6"/>
    <m/>
    <n v="7"/>
    <n v="4"/>
    <m/>
    <n v="4"/>
    <m/>
    <m/>
    <n v="1"/>
    <n v="124"/>
    <n v="118"/>
    <s v="No"/>
    <n v="1"/>
    <n v="0.8"/>
    <s v="Hygiene Kits and capacity building training"/>
    <n v="1"/>
    <n v="1"/>
    <n v="80"/>
    <n v="1"/>
    <m/>
    <m/>
    <m/>
    <m/>
    <m/>
    <m/>
    <m/>
    <s v="no test"/>
    <s v="no test"/>
    <s v="No Test"/>
    <n v="1"/>
    <n v="1"/>
    <n v="1"/>
    <n v="0"/>
    <n v="0"/>
    <n v="0"/>
    <n v="0"/>
    <n v="1"/>
    <n v="0.89379600420609884"/>
    <n v="1"/>
    <n v="634"/>
    <n v="0.39432176656151419"/>
    <n v="250"/>
    <n v="1"/>
    <n v="634"/>
    <n v="1.268"/>
    <n v="0"/>
    <n v="0"/>
    <n v="0"/>
    <n v="1"/>
    <n v="29"/>
    <n v="0.95583596214511046"/>
    <n v="606"/>
    <n v="260"/>
    <n v="0"/>
    <n v="0"/>
    <n v="32"/>
    <n v="3"/>
    <n v="4.4164037854889537E-2"/>
    <n v="0"/>
    <n v="500"/>
    <n v="634"/>
    <n v="118"/>
    <n v="634"/>
    <n v="634"/>
    <n v="1"/>
    <n v="0"/>
    <n v="0.78864353312302837"/>
    <n v="1"/>
    <n v="0.95161290322580649"/>
    <n v="3"/>
    <n v="60"/>
    <n v="0"/>
    <n v="300"/>
    <s v="No"/>
    <n v="0.12618296529968454"/>
    <n v="634"/>
    <n v="634"/>
    <n v="634"/>
    <n v="634"/>
    <n v="0"/>
    <n v="0"/>
    <s v="Yes"/>
    <s v="KBC-MYT"/>
    <x v="0"/>
    <x v="1"/>
    <x v="0"/>
    <n v="25.664000000000001"/>
    <n v="96.34"/>
    <s v="MMR001CMP250"/>
    <x v="0"/>
    <x v="0"/>
    <n v="122"/>
    <n v="630"/>
  </r>
  <r>
    <x v="0"/>
    <x v="3"/>
    <x v="2"/>
    <s v="ANCHOR"/>
    <x v="0"/>
    <x v="2"/>
    <x v="1"/>
    <x v="53"/>
    <n v="201"/>
    <n v="885"/>
    <d v="2023-01-01T00:00:00"/>
    <d v="2023-12-31T00:00:00"/>
    <n v="400"/>
    <m/>
    <n v="1"/>
    <m/>
    <s v="Yes"/>
    <n v="4"/>
    <n v="2"/>
    <n v="1"/>
    <m/>
    <m/>
    <m/>
    <m/>
    <m/>
    <m/>
    <n v="3"/>
    <m/>
    <n v="3"/>
    <m/>
    <n v="14"/>
    <m/>
    <n v="10"/>
    <m/>
    <m/>
    <m/>
    <m/>
    <m/>
    <n v="2"/>
    <n v="2"/>
    <m/>
    <m/>
    <n v="32"/>
    <n v="8"/>
    <s v="MRC"/>
    <n v="10"/>
    <n v="3"/>
    <n v="2"/>
    <n v="11.35624"/>
    <n v="50"/>
    <x v="0"/>
    <x v="0"/>
    <m/>
    <m/>
    <m/>
    <m/>
    <m/>
    <m/>
    <n v="1"/>
    <m/>
    <m/>
    <n v="1"/>
    <m/>
    <n v="1"/>
    <n v="1"/>
    <n v="50"/>
    <n v="295"/>
    <s v="Yes"/>
    <n v="1"/>
    <n v="0.5"/>
    <m/>
    <n v="0.8"/>
    <n v="0.8"/>
    <m/>
    <n v="1"/>
    <m/>
    <m/>
    <m/>
    <m/>
    <m/>
    <m/>
    <m/>
    <s v="no test"/>
    <s v="no test"/>
    <s v="No Test"/>
    <n v="1"/>
    <n v="0"/>
    <n v="3"/>
    <n v="0"/>
    <n v="0"/>
    <n v="885"/>
    <n v="0"/>
    <n v="0.67796610169491522"/>
    <n v="0.50847457627118642"/>
    <n v="0.67796610169491522"/>
    <n v="600"/>
    <n v="1"/>
    <n v="885"/>
    <n v="1"/>
    <n v="885"/>
    <n v="1.77"/>
    <n v="0"/>
    <n v="0"/>
    <n v="0.22999999999999998"/>
    <n v="2"/>
    <n v="30"/>
    <n v="0.67796610169491522"/>
    <n v="600"/>
    <n v="40"/>
    <n v="0"/>
    <n v="0"/>
    <n v="44"/>
    <n v="4"/>
    <n v="0.32203389830508478"/>
    <n v="0.25"/>
    <n v="885"/>
    <n v="250"/>
    <n v="295"/>
    <n v="295"/>
    <n v="885"/>
    <n v="1"/>
    <n v="0"/>
    <n v="1"/>
    <n v="0.99502487562189057"/>
    <n v="1"/>
    <n v="1"/>
    <n v="20"/>
    <n v="2"/>
    <n v="100"/>
    <s v="Yes"/>
    <s v=""/>
    <n v="708"/>
    <n v="708"/>
    <n v="885"/>
    <n v="885"/>
    <n v="885"/>
    <n v="0"/>
    <s v="Yes"/>
    <s v="Shalom"/>
    <x v="0"/>
    <x v="1"/>
    <x v="0"/>
    <n v="25.887339999999998"/>
    <n v="98.129990000000006"/>
    <s v="MMR001CMP195"/>
    <x v="0"/>
    <x v="0"/>
    <n v="179"/>
    <n v="854"/>
  </r>
  <r>
    <x v="0"/>
    <x v="3"/>
    <x v="2"/>
    <s v="ANCHOR"/>
    <x v="0"/>
    <x v="3"/>
    <x v="1"/>
    <x v="54"/>
    <n v="19"/>
    <n v="107"/>
    <d v="2023-01-01T00:00:00"/>
    <d v="2023-12-31T00:00:00"/>
    <m/>
    <m/>
    <n v="1"/>
    <m/>
    <s v="No"/>
    <n v="3"/>
    <n v="2"/>
    <n v="1"/>
    <m/>
    <m/>
    <m/>
    <m/>
    <m/>
    <m/>
    <m/>
    <m/>
    <m/>
    <m/>
    <m/>
    <m/>
    <m/>
    <n v="1"/>
    <n v="1"/>
    <n v="1"/>
    <n v="1"/>
    <m/>
    <m/>
    <m/>
    <m/>
    <m/>
    <n v="8"/>
    <m/>
    <s v="Shalom"/>
    <m/>
    <m/>
    <m/>
    <m/>
    <m/>
    <x v="0"/>
    <x v="0"/>
    <m/>
    <m/>
    <m/>
    <m/>
    <m/>
    <m/>
    <n v="2"/>
    <n v="2"/>
    <m/>
    <n v="2"/>
    <m/>
    <n v="1"/>
    <m/>
    <n v="19"/>
    <n v="29"/>
    <s v="No"/>
    <m/>
    <n v="0.65"/>
    <m/>
    <n v="0.8"/>
    <n v="0.85"/>
    <m/>
    <n v="1"/>
    <m/>
    <m/>
    <m/>
    <m/>
    <m/>
    <m/>
    <m/>
    <n v="1"/>
    <n v="0"/>
    <s v="Tested"/>
    <n v="1"/>
    <n v="0"/>
    <n v="0"/>
    <n v="0"/>
    <n v="0"/>
    <n v="0"/>
    <n v="0"/>
    <n v="1"/>
    <n v="1"/>
    <n v="1"/>
    <n v="107"/>
    <n v="0"/>
    <n v="0"/>
    <n v="1"/>
    <n v="107"/>
    <n v="0.214"/>
    <n v="0"/>
    <n v="0"/>
    <n v="0.78600000000000003"/>
    <n v="1"/>
    <n v="8"/>
    <n v="1"/>
    <n v="107"/>
    <n v="0"/>
    <n v="0"/>
    <n v="0"/>
    <n v="5"/>
    <n v="0"/>
    <n v="0"/>
    <n v="0"/>
    <n v="107"/>
    <n v="107"/>
    <n v="29"/>
    <n v="107"/>
    <n v="107"/>
    <n v="1"/>
    <n v="0"/>
    <n v="1"/>
    <n v="1"/>
    <n v="1"/>
    <n v="0"/>
    <n v="0"/>
    <n v="0"/>
    <n v="0"/>
    <s v="No"/>
    <s v=""/>
    <n v="85.600000000000009"/>
    <n v="90.95"/>
    <n v="107"/>
    <n v="107"/>
    <n v="0"/>
    <n v="0"/>
    <s v="Yes"/>
    <s v="Shalom"/>
    <x v="0"/>
    <x v="1"/>
    <x v="0"/>
    <n v="25.566510000000001"/>
    <n v="96.269199999999998"/>
    <s v="MMR001CMP181"/>
    <x v="0"/>
    <x v="0"/>
    <n v="19"/>
    <n v="106"/>
  </r>
  <r>
    <x v="0"/>
    <x v="7"/>
    <x v="6"/>
    <s v="ECHO 2739"/>
    <x v="0"/>
    <x v="0"/>
    <x v="1"/>
    <x v="55"/>
    <n v="32"/>
    <n v="160"/>
    <d v="2022-04-01T00:00:00"/>
    <d v="2023-03-31T00:00:00"/>
    <m/>
    <m/>
    <m/>
    <m/>
    <s v="Yes"/>
    <n v="3"/>
    <n v="3"/>
    <n v="1"/>
    <m/>
    <m/>
    <n v="1"/>
    <m/>
    <m/>
    <m/>
    <m/>
    <m/>
    <m/>
    <m/>
    <m/>
    <m/>
    <n v="1"/>
    <m/>
    <n v="2"/>
    <n v="2"/>
    <n v="9"/>
    <n v="9"/>
    <m/>
    <m/>
    <m/>
    <m/>
    <n v="9"/>
    <m/>
    <m/>
    <m/>
    <m/>
    <m/>
    <m/>
    <m/>
    <x v="0"/>
    <x v="0"/>
    <m/>
    <n v="2"/>
    <m/>
    <m/>
    <n v="7"/>
    <m/>
    <n v="9"/>
    <m/>
    <m/>
    <n v="2"/>
    <m/>
    <m/>
    <m/>
    <n v="37"/>
    <m/>
    <s v="No"/>
    <n v="0"/>
    <n v="0.8"/>
    <m/>
    <n v="1"/>
    <n v="1"/>
    <n v="2"/>
    <n v="1"/>
    <m/>
    <m/>
    <m/>
    <m/>
    <m/>
    <m/>
    <m/>
    <n v="1"/>
    <n v="1"/>
    <s v="Tested"/>
    <n v="1"/>
    <n v="1"/>
    <n v="0"/>
    <n v="0"/>
    <n v="0"/>
    <n v="0"/>
    <n v="0"/>
    <n v="1"/>
    <n v="1"/>
    <n v="1"/>
    <n v="160"/>
    <n v="0"/>
    <n v="0"/>
    <n v="1"/>
    <n v="160"/>
    <n v="0.32"/>
    <n v="0"/>
    <n v="0"/>
    <n v="0.67999999999999994"/>
    <n v="1"/>
    <n v="9"/>
    <n v="1"/>
    <n v="160"/>
    <n v="0"/>
    <n v="0"/>
    <n v="0"/>
    <n v="8"/>
    <n v="0"/>
    <n v="0"/>
    <n v="0"/>
    <n v="0"/>
    <n v="160"/>
    <n v="0"/>
    <n v="160"/>
    <n v="160"/>
    <n v="1"/>
    <n v="0"/>
    <n v="0"/>
    <n v="1"/>
    <n v="0"/>
    <n v="9"/>
    <n v="32"/>
    <n v="0"/>
    <n v="160"/>
    <s v="No"/>
    <n v="1.2500000000000001E-2"/>
    <n v="160"/>
    <n v="160"/>
    <n v="160"/>
    <n v="160"/>
    <n v="0"/>
    <n v="0"/>
    <n v="0"/>
    <n v="0"/>
    <x v="0"/>
    <x v="1"/>
    <x v="0"/>
    <n v="24.314934000000001"/>
    <n v="97.305190999999994"/>
    <s v="MMR001CMP285"/>
    <x v="0"/>
    <x v="0"/>
    <n v="32"/>
    <n v="152"/>
  </r>
  <r>
    <x v="0"/>
    <x v="6"/>
    <x v="5"/>
    <s v="UNICEF, USAID"/>
    <x v="0"/>
    <x v="7"/>
    <x v="1"/>
    <x v="56"/>
    <n v="119"/>
    <n v="538"/>
    <s v="8/6/2021,11-11-2021"/>
    <s v="8/5/2022, 12-31-22"/>
    <m/>
    <n v="2"/>
    <m/>
    <m/>
    <s v="Yes"/>
    <n v="3"/>
    <n v="4"/>
    <n v="3"/>
    <m/>
    <m/>
    <m/>
    <n v="2"/>
    <m/>
    <m/>
    <n v="1"/>
    <m/>
    <m/>
    <m/>
    <m/>
    <m/>
    <m/>
    <m/>
    <m/>
    <m/>
    <m/>
    <m/>
    <m/>
    <m/>
    <m/>
    <m/>
    <n v="29"/>
    <m/>
    <m/>
    <m/>
    <m/>
    <m/>
    <m/>
    <m/>
    <x v="1"/>
    <x v="2"/>
    <m/>
    <m/>
    <m/>
    <m/>
    <m/>
    <m/>
    <n v="3"/>
    <m/>
    <m/>
    <n v="2"/>
    <m/>
    <m/>
    <n v="2"/>
    <m/>
    <m/>
    <s v="Yes"/>
    <m/>
    <m/>
    <m/>
    <m/>
    <m/>
    <m/>
    <m/>
    <m/>
    <m/>
    <m/>
    <m/>
    <m/>
    <m/>
    <m/>
    <s v="no test"/>
    <s v="no test"/>
    <s v="No Test"/>
    <n v="3"/>
    <n v="2"/>
    <n v="1"/>
    <n v="0"/>
    <n v="0"/>
    <n v="0"/>
    <n v="0"/>
    <n v="1"/>
    <n v="1"/>
    <n v="1"/>
    <n v="538"/>
    <n v="0"/>
    <n v="0"/>
    <n v="1"/>
    <n v="538"/>
    <n v="1.0760000000000001"/>
    <n v="0"/>
    <n v="0"/>
    <n v="0"/>
    <n v="1"/>
    <n v="29"/>
    <n v="1"/>
    <n v="538"/>
    <n v="0"/>
    <n v="0"/>
    <n v="0"/>
    <n v="27"/>
    <n v="0"/>
    <n v="0"/>
    <n v="0"/>
    <n v="538"/>
    <n v="0"/>
    <n v="0"/>
    <n v="0"/>
    <n v="538"/>
    <n v="1"/>
    <n v="0"/>
    <n v="1"/>
    <n v="0"/>
    <n v="0"/>
    <n v="3"/>
    <n v="60"/>
    <n v="0"/>
    <n v="300"/>
    <s v="No"/>
    <s v=""/>
    <n v="0"/>
    <n v="0"/>
    <n v="0"/>
    <n v="0"/>
    <n v="0"/>
    <n v="0"/>
    <s v="Yes"/>
    <s v="KBC-NSS"/>
    <x v="0"/>
    <x v="1"/>
    <x v="0"/>
    <n v="23.829599000000002"/>
    <n v="97.590767"/>
    <s v="MMR001CMP230"/>
    <x v="0"/>
    <x v="0"/>
    <n v="152"/>
    <n v="661"/>
  </r>
  <r>
    <x v="0"/>
    <x v="4"/>
    <x v="3"/>
    <m/>
    <x v="0"/>
    <x v="6"/>
    <x v="1"/>
    <x v="57"/>
    <n v="223"/>
    <n v="1067"/>
    <m/>
    <m/>
    <m/>
    <m/>
    <m/>
    <m/>
    <m/>
    <m/>
    <n v="4"/>
    <m/>
    <m/>
    <m/>
    <m/>
    <m/>
    <m/>
    <m/>
    <m/>
    <m/>
    <m/>
    <m/>
    <m/>
    <m/>
    <m/>
    <m/>
    <m/>
    <m/>
    <m/>
    <m/>
    <m/>
    <m/>
    <m/>
    <m/>
    <m/>
    <m/>
    <m/>
    <m/>
    <m/>
    <m/>
    <m/>
    <m/>
    <x v="1"/>
    <x v="2"/>
    <m/>
    <m/>
    <m/>
    <m/>
    <m/>
    <m/>
    <n v="3"/>
    <m/>
    <m/>
    <n v="2"/>
    <m/>
    <m/>
    <m/>
    <m/>
    <m/>
    <m/>
    <m/>
    <m/>
    <m/>
    <m/>
    <m/>
    <m/>
    <m/>
    <m/>
    <m/>
    <m/>
    <m/>
    <m/>
    <m/>
    <m/>
    <s v="no test"/>
    <s v="no test"/>
    <s v="No Test"/>
    <n v="0"/>
    <n v="0"/>
    <n v="0"/>
    <n v="0"/>
    <n v="0"/>
    <n v="0"/>
    <n v="0"/>
    <n v="0"/>
    <n v="0"/>
    <n v="0"/>
    <n v="0"/>
    <n v="0"/>
    <n v="0"/>
    <n v="0"/>
    <n v="0"/>
    <n v="0"/>
    <n v="1"/>
    <n v="1067"/>
    <n v="2"/>
    <n v="2"/>
    <n v="0"/>
    <n v="0"/>
    <n v="0"/>
    <n v="0"/>
    <n v="0"/>
    <n v="0"/>
    <n v="53"/>
    <n v="53"/>
    <n v="1"/>
    <n v="0"/>
    <n v="0"/>
    <n v="0"/>
    <n v="0"/>
    <n v="0"/>
    <n v="0"/>
    <n v="0"/>
    <n v="1"/>
    <n v="0"/>
    <n v="0"/>
    <n v="0"/>
    <n v="3"/>
    <n v="60"/>
    <n v="0"/>
    <n v="300"/>
    <s v="No"/>
    <s v=""/>
    <n v="0"/>
    <n v="0"/>
    <n v="0"/>
    <n v="0"/>
    <n v="0"/>
    <n v="0"/>
    <n v="0"/>
    <s v="uncovered"/>
    <x v="0"/>
    <x v="3"/>
    <x v="0"/>
    <n v="24.251232000000002"/>
    <n v="97.348405"/>
    <s v="MMR001CMP197"/>
    <x v="1"/>
    <x v="1"/>
    <n v="112"/>
    <n v="566"/>
  </r>
  <r>
    <x v="0"/>
    <x v="1"/>
    <x v="1"/>
    <s v="UNICEF"/>
    <x v="0"/>
    <x v="1"/>
    <x v="1"/>
    <x v="58"/>
    <n v="72"/>
    <n v="404"/>
    <d v="2023-02-16T00:00:00"/>
    <d v="2024-02-15T00:00:00"/>
    <m/>
    <n v="2"/>
    <m/>
    <m/>
    <s v="Yes"/>
    <n v="2"/>
    <n v="2"/>
    <m/>
    <m/>
    <m/>
    <n v="2"/>
    <m/>
    <m/>
    <m/>
    <m/>
    <m/>
    <m/>
    <m/>
    <m/>
    <m/>
    <m/>
    <m/>
    <m/>
    <m/>
    <m/>
    <m/>
    <n v="3"/>
    <m/>
    <m/>
    <m/>
    <n v="6"/>
    <m/>
    <m/>
    <m/>
    <m/>
    <m/>
    <m/>
    <m/>
    <x v="0"/>
    <x v="1"/>
    <m/>
    <m/>
    <m/>
    <m/>
    <m/>
    <m/>
    <n v="3"/>
    <m/>
    <m/>
    <n v="2"/>
    <m/>
    <m/>
    <n v="1"/>
    <m/>
    <m/>
    <s v="Yes"/>
    <m/>
    <m/>
    <m/>
    <m/>
    <m/>
    <m/>
    <m/>
    <m/>
    <m/>
    <m/>
    <m/>
    <m/>
    <m/>
    <m/>
    <s v="no test"/>
    <s v="no test"/>
    <s v="No Test"/>
    <n v="0"/>
    <n v="2"/>
    <n v="0"/>
    <n v="0"/>
    <n v="0"/>
    <n v="0"/>
    <n v="0"/>
    <n v="1"/>
    <n v="1"/>
    <n v="1"/>
    <n v="404"/>
    <n v="0"/>
    <n v="0"/>
    <n v="1"/>
    <n v="404"/>
    <n v="0.80800000000000005"/>
    <n v="0"/>
    <n v="0"/>
    <n v="0.19199999999999995"/>
    <n v="1"/>
    <n v="6"/>
    <n v="0.29702970297029702"/>
    <n v="120"/>
    <n v="0"/>
    <n v="0"/>
    <n v="0"/>
    <n v="20"/>
    <n v="14"/>
    <n v="0.70297029702970293"/>
    <n v="0"/>
    <n v="404"/>
    <n v="0"/>
    <n v="0"/>
    <n v="0"/>
    <n v="404"/>
    <n v="1"/>
    <n v="0"/>
    <n v="1"/>
    <n v="0"/>
    <n v="0"/>
    <n v="3"/>
    <n v="60"/>
    <n v="3"/>
    <n v="300"/>
    <s v="No"/>
    <s v=""/>
    <n v="0"/>
    <n v="0"/>
    <n v="0"/>
    <n v="0"/>
    <n v="0"/>
    <n v="0"/>
    <n v="0"/>
    <s v="uncovered"/>
    <x v="0"/>
    <x v="1"/>
    <x v="0"/>
    <n v="25.387892000000001"/>
    <n v="97.325181999999998"/>
    <s v="MMR001CMP276"/>
    <x v="0"/>
    <x v="0"/>
    <n v="25"/>
    <n v="127"/>
  </r>
  <r>
    <x v="0"/>
    <x v="6"/>
    <x v="5"/>
    <s v="UNICEF, USAID"/>
    <x v="0"/>
    <x v="7"/>
    <x v="1"/>
    <x v="59"/>
    <n v="454"/>
    <n v="2354"/>
    <s v="8/1/2021, 11-11-2021"/>
    <s v="31-12-22"/>
    <m/>
    <n v="3"/>
    <m/>
    <m/>
    <s v="Yes"/>
    <n v="4"/>
    <n v="3"/>
    <n v="2"/>
    <m/>
    <m/>
    <m/>
    <n v="1"/>
    <m/>
    <m/>
    <n v="1"/>
    <m/>
    <m/>
    <m/>
    <m/>
    <m/>
    <m/>
    <m/>
    <m/>
    <m/>
    <m/>
    <m/>
    <m/>
    <m/>
    <m/>
    <m/>
    <n v="147"/>
    <m/>
    <m/>
    <m/>
    <m/>
    <m/>
    <m/>
    <m/>
    <x v="1"/>
    <x v="2"/>
    <m/>
    <m/>
    <m/>
    <m/>
    <m/>
    <m/>
    <n v="1"/>
    <m/>
    <m/>
    <n v="3"/>
    <m/>
    <m/>
    <n v="1"/>
    <m/>
    <m/>
    <s v="Yes"/>
    <m/>
    <m/>
    <m/>
    <m/>
    <m/>
    <m/>
    <m/>
    <m/>
    <m/>
    <m/>
    <m/>
    <m/>
    <m/>
    <m/>
    <s v="no test"/>
    <s v="no test"/>
    <s v="No Test"/>
    <n v="2"/>
    <n v="1"/>
    <n v="1"/>
    <n v="0"/>
    <n v="0"/>
    <n v="0"/>
    <n v="0"/>
    <n v="0.5805720758991787"/>
    <n v="0.34692721608609456"/>
    <n v="0.5805720758991787"/>
    <n v="1366.6666666666667"/>
    <n v="0"/>
    <n v="0"/>
    <n v="0.5805720758991787"/>
    <n v="1366.6666666666667"/>
    <n v="2.7333333333333334"/>
    <n v="0.4194279241008213"/>
    <n v="987.33333333333337"/>
    <n v="2.2666666666666666"/>
    <n v="5"/>
    <n v="147"/>
    <n v="1"/>
    <n v="2354"/>
    <n v="0"/>
    <n v="0"/>
    <n v="0"/>
    <n v="118"/>
    <n v="0"/>
    <n v="0"/>
    <n v="0"/>
    <n v="500"/>
    <n v="0"/>
    <n v="0"/>
    <n v="0"/>
    <n v="500"/>
    <n v="0.21240441801189464"/>
    <n v="0.78759558198810531"/>
    <n v="0.21240441801189464"/>
    <n v="0"/>
    <n v="0"/>
    <n v="1"/>
    <n v="20"/>
    <n v="0"/>
    <n v="100"/>
    <s v="No"/>
    <s v=""/>
    <n v="0"/>
    <n v="0"/>
    <n v="0"/>
    <n v="0"/>
    <n v="0"/>
    <n v="0"/>
    <s v="Yes"/>
    <s v="KMSS-BMO"/>
    <x v="0"/>
    <x v="1"/>
    <x v="0"/>
    <n v="23.835319999999999"/>
    <n v="97.578490000000002"/>
    <s v="MMR001CMP132"/>
    <x v="0"/>
    <x v="0"/>
    <n v="625"/>
    <n v="3399"/>
  </r>
  <r>
    <x v="0"/>
    <x v="3"/>
    <x v="2"/>
    <s v="ANCHOR"/>
    <x v="0"/>
    <x v="3"/>
    <x v="1"/>
    <x v="60"/>
    <n v="10"/>
    <n v="56"/>
    <d v="2023-01-01T00:00:00"/>
    <d v="2023-12-31T00:00:00"/>
    <n v="18"/>
    <m/>
    <n v="1"/>
    <m/>
    <s v="Yes"/>
    <n v="3"/>
    <n v="4"/>
    <n v="1"/>
    <m/>
    <m/>
    <n v="1"/>
    <m/>
    <m/>
    <m/>
    <m/>
    <m/>
    <m/>
    <m/>
    <m/>
    <m/>
    <n v="1"/>
    <n v="1"/>
    <n v="1"/>
    <n v="1"/>
    <m/>
    <m/>
    <m/>
    <m/>
    <m/>
    <s v="ရေအရည်သွေးစစ်ဆေးမူပြုလုပ်စေချင်။ "/>
    <n v="2"/>
    <m/>
    <s v="Shalom"/>
    <m/>
    <m/>
    <m/>
    <m/>
    <m/>
    <x v="0"/>
    <x v="0"/>
    <m/>
    <m/>
    <m/>
    <m/>
    <m/>
    <m/>
    <n v="3"/>
    <m/>
    <m/>
    <n v="2"/>
    <n v="2"/>
    <m/>
    <n v="1"/>
    <n v="10"/>
    <n v="11"/>
    <m/>
    <n v="3"/>
    <n v="0.15"/>
    <s v="Needed hygiene kits"/>
    <n v="0.75"/>
    <n v="0.89"/>
    <m/>
    <n v="0.75"/>
    <m/>
    <m/>
    <m/>
    <m/>
    <m/>
    <m/>
    <m/>
    <n v="1"/>
    <s v="no test"/>
    <s v="Tested"/>
    <n v="1"/>
    <n v="1"/>
    <n v="0"/>
    <n v="0"/>
    <n v="0"/>
    <n v="0"/>
    <n v="0"/>
    <n v="1"/>
    <n v="1"/>
    <n v="1"/>
    <n v="56"/>
    <n v="0"/>
    <n v="0"/>
    <n v="1"/>
    <n v="56"/>
    <n v="0.112"/>
    <n v="0"/>
    <n v="0"/>
    <n v="0.88800000000000001"/>
    <n v="1"/>
    <n v="2"/>
    <n v="0.7142857142857143"/>
    <n v="40"/>
    <n v="0"/>
    <n v="0"/>
    <n v="0"/>
    <n v="3"/>
    <n v="1"/>
    <n v="0.2857142857142857"/>
    <n v="0"/>
    <n v="56"/>
    <n v="56"/>
    <n v="11"/>
    <n v="56"/>
    <n v="56"/>
    <n v="1"/>
    <n v="0"/>
    <n v="1"/>
    <n v="1"/>
    <n v="1"/>
    <n v="3"/>
    <n v="10"/>
    <n v="0"/>
    <n v="56"/>
    <s v="Yes"/>
    <s v=""/>
    <n v="42"/>
    <n v="49.84"/>
    <n v="42"/>
    <n v="49.84"/>
    <n v="0"/>
    <n v="0"/>
    <s v="Yes"/>
    <s v="Shalom"/>
    <x v="0"/>
    <x v="1"/>
    <x v="0"/>
    <n v="25.61842"/>
    <n v="96.316400000000002"/>
    <s v="MMR001CMP167"/>
    <x v="0"/>
    <x v="0"/>
    <n v="10"/>
    <n v="56"/>
  </r>
  <r>
    <x v="0"/>
    <x v="6"/>
    <x v="5"/>
    <s v="UNICEF, USAID"/>
    <x v="0"/>
    <x v="7"/>
    <x v="1"/>
    <x v="61"/>
    <n v="142"/>
    <n v="737"/>
    <d v="2021-11-11T00:00:00"/>
    <s v="31-12-22"/>
    <m/>
    <n v="3"/>
    <m/>
    <m/>
    <s v="Yes"/>
    <n v="3"/>
    <n v="4"/>
    <n v="1"/>
    <m/>
    <m/>
    <m/>
    <n v="1"/>
    <m/>
    <m/>
    <n v="1"/>
    <m/>
    <m/>
    <m/>
    <m/>
    <m/>
    <m/>
    <m/>
    <m/>
    <m/>
    <m/>
    <m/>
    <m/>
    <m/>
    <m/>
    <m/>
    <n v="48"/>
    <m/>
    <m/>
    <m/>
    <m/>
    <m/>
    <m/>
    <m/>
    <x v="1"/>
    <x v="2"/>
    <m/>
    <m/>
    <m/>
    <m/>
    <m/>
    <m/>
    <n v="1"/>
    <m/>
    <m/>
    <n v="1"/>
    <m/>
    <m/>
    <n v="2"/>
    <m/>
    <m/>
    <s v="Yes"/>
    <m/>
    <m/>
    <m/>
    <m/>
    <m/>
    <m/>
    <m/>
    <m/>
    <m/>
    <m/>
    <m/>
    <m/>
    <m/>
    <m/>
    <s v="no test"/>
    <s v="no test"/>
    <s v="No Test"/>
    <n v="1"/>
    <n v="1"/>
    <n v="1"/>
    <n v="0"/>
    <n v="0"/>
    <n v="0"/>
    <n v="0"/>
    <n v="1"/>
    <n v="0.76888285843509718"/>
    <n v="1"/>
    <n v="737"/>
    <n v="0"/>
    <n v="0"/>
    <n v="1"/>
    <n v="737"/>
    <n v="1.474"/>
    <n v="0"/>
    <n v="0"/>
    <n v="0"/>
    <n v="1"/>
    <n v="48"/>
    <n v="1"/>
    <n v="737"/>
    <n v="0"/>
    <n v="0"/>
    <n v="0"/>
    <n v="37"/>
    <n v="0"/>
    <n v="0"/>
    <n v="0"/>
    <n v="737"/>
    <n v="0"/>
    <n v="0"/>
    <n v="0"/>
    <n v="737"/>
    <n v="1"/>
    <n v="0"/>
    <n v="1"/>
    <n v="0"/>
    <n v="0"/>
    <n v="1"/>
    <n v="20"/>
    <n v="0"/>
    <n v="100"/>
    <s v="No"/>
    <s v=""/>
    <n v="0"/>
    <n v="0"/>
    <n v="0"/>
    <n v="0"/>
    <n v="0"/>
    <n v="0"/>
    <s v="Yes"/>
    <s v="KMSS-BMO"/>
    <x v="0"/>
    <x v="1"/>
    <x v="0"/>
    <n v="23.833477999999999"/>
    <n v="97.578367"/>
    <s v="MMR001CMP228"/>
    <x v="0"/>
    <x v="0"/>
    <n v="141"/>
    <n v="832"/>
  </r>
  <r>
    <x v="0"/>
    <x v="4"/>
    <x v="3"/>
    <m/>
    <x v="0"/>
    <x v="8"/>
    <x v="1"/>
    <x v="62"/>
    <n v="27"/>
    <n v="126"/>
    <m/>
    <m/>
    <m/>
    <m/>
    <m/>
    <m/>
    <m/>
    <m/>
    <m/>
    <m/>
    <m/>
    <m/>
    <m/>
    <m/>
    <m/>
    <m/>
    <m/>
    <m/>
    <m/>
    <m/>
    <m/>
    <m/>
    <m/>
    <m/>
    <m/>
    <m/>
    <m/>
    <m/>
    <m/>
    <m/>
    <m/>
    <m/>
    <m/>
    <m/>
    <m/>
    <m/>
    <m/>
    <m/>
    <m/>
    <m/>
    <x v="1"/>
    <x v="2"/>
    <m/>
    <m/>
    <m/>
    <m/>
    <m/>
    <m/>
    <n v="8"/>
    <m/>
    <m/>
    <n v="3"/>
    <m/>
    <m/>
    <m/>
    <m/>
    <m/>
    <m/>
    <m/>
    <m/>
    <m/>
    <m/>
    <m/>
    <m/>
    <m/>
    <m/>
    <m/>
    <m/>
    <m/>
    <m/>
    <m/>
    <m/>
    <s v="no test"/>
    <s v="no test"/>
    <s v="No Test"/>
    <n v="0"/>
    <n v="0"/>
    <n v="0"/>
    <n v="0"/>
    <n v="0"/>
    <n v="0"/>
    <n v="0"/>
    <n v="0"/>
    <n v="0"/>
    <n v="0"/>
    <n v="0"/>
    <n v="0"/>
    <n v="0"/>
    <n v="0"/>
    <n v="0"/>
    <n v="0"/>
    <n v="1"/>
    <n v="126"/>
    <n v="1"/>
    <n v="1"/>
    <n v="0"/>
    <n v="0"/>
    <n v="0"/>
    <n v="0"/>
    <n v="0"/>
    <n v="0"/>
    <n v="6"/>
    <n v="6"/>
    <n v="1"/>
    <n v="0"/>
    <n v="0"/>
    <n v="0"/>
    <n v="0"/>
    <n v="0"/>
    <n v="0"/>
    <n v="0"/>
    <n v="1"/>
    <n v="0"/>
    <n v="0"/>
    <n v="0"/>
    <n v="8"/>
    <n v="27"/>
    <n v="0"/>
    <n v="126"/>
    <s v="No"/>
    <s v=""/>
    <n v="0"/>
    <n v="0"/>
    <n v="0"/>
    <n v="0"/>
    <n v="0"/>
    <n v="0"/>
    <n v="0"/>
    <s v="uncovered"/>
    <x v="0"/>
    <x v="3"/>
    <x v="0"/>
    <n v="24.996279999999999"/>
    <n v="96.52534"/>
    <s v="MMR001CMP232"/>
    <x v="1"/>
    <x v="1"/>
    <n v="14"/>
    <n v="68"/>
  </r>
  <r>
    <x v="0"/>
    <x v="4"/>
    <x v="3"/>
    <m/>
    <x v="0"/>
    <x v="8"/>
    <x v="1"/>
    <x v="63"/>
    <n v="15"/>
    <n v="71"/>
    <m/>
    <m/>
    <m/>
    <m/>
    <m/>
    <m/>
    <m/>
    <m/>
    <n v="4"/>
    <m/>
    <m/>
    <m/>
    <m/>
    <m/>
    <m/>
    <m/>
    <m/>
    <m/>
    <m/>
    <m/>
    <m/>
    <m/>
    <m/>
    <m/>
    <m/>
    <m/>
    <m/>
    <m/>
    <m/>
    <m/>
    <m/>
    <m/>
    <m/>
    <m/>
    <m/>
    <m/>
    <m/>
    <m/>
    <m/>
    <m/>
    <x v="1"/>
    <x v="2"/>
    <m/>
    <m/>
    <m/>
    <m/>
    <m/>
    <m/>
    <n v="3"/>
    <m/>
    <m/>
    <n v="2"/>
    <m/>
    <m/>
    <m/>
    <m/>
    <m/>
    <m/>
    <m/>
    <m/>
    <m/>
    <m/>
    <m/>
    <m/>
    <m/>
    <m/>
    <m/>
    <m/>
    <m/>
    <m/>
    <m/>
    <m/>
    <s v="no test"/>
    <s v="no test"/>
    <s v="No Test"/>
    <n v="0"/>
    <n v="0"/>
    <n v="0"/>
    <n v="0"/>
    <n v="0"/>
    <n v="0"/>
    <n v="0"/>
    <n v="0"/>
    <n v="0"/>
    <n v="0"/>
    <n v="0"/>
    <n v="0"/>
    <n v="0"/>
    <n v="0"/>
    <n v="0"/>
    <n v="0"/>
    <n v="1"/>
    <n v="71"/>
    <n v="1"/>
    <n v="1"/>
    <n v="0"/>
    <n v="0"/>
    <n v="0"/>
    <n v="0"/>
    <n v="0"/>
    <n v="0"/>
    <n v="4"/>
    <n v="4"/>
    <n v="1"/>
    <n v="0"/>
    <n v="0"/>
    <n v="0"/>
    <n v="0"/>
    <n v="0"/>
    <n v="0"/>
    <n v="0"/>
    <n v="1"/>
    <n v="0"/>
    <n v="0"/>
    <n v="0"/>
    <n v="3"/>
    <n v="15"/>
    <n v="0"/>
    <n v="71"/>
    <s v="No"/>
    <s v=""/>
    <n v="0"/>
    <n v="0"/>
    <n v="0"/>
    <n v="0"/>
    <n v="0"/>
    <n v="0"/>
    <n v="0"/>
    <s v="uncovered"/>
    <x v="0"/>
    <x v="3"/>
    <x v="0"/>
    <n v="24.764959999999999"/>
    <n v="96.366919999999993"/>
    <s v="MMR001CMP233"/>
    <x v="1"/>
    <x v="1"/>
    <n v="17"/>
    <n v="67"/>
  </r>
  <r>
    <x v="0"/>
    <x v="11"/>
    <x v="9"/>
    <s v="ECHO 2739,USAID/HOPE-94"/>
    <x v="0"/>
    <x v="6"/>
    <x v="0"/>
    <x v="64"/>
    <n v="10"/>
    <n v="57"/>
    <s v="6/1/2022,(13-8-2021, 6-1-2020)"/>
    <s v="11/30/2022,(30-6-2022, 30.4.2021)"/>
    <m/>
    <m/>
    <m/>
    <m/>
    <s v="Yes"/>
    <n v="1"/>
    <n v="5"/>
    <n v="1"/>
    <m/>
    <m/>
    <m/>
    <m/>
    <m/>
    <m/>
    <m/>
    <m/>
    <m/>
    <m/>
    <m/>
    <m/>
    <n v="1"/>
    <m/>
    <m/>
    <m/>
    <m/>
    <m/>
    <m/>
    <m/>
    <m/>
    <m/>
    <n v="8"/>
    <m/>
    <m/>
    <m/>
    <m/>
    <m/>
    <m/>
    <m/>
    <x v="0"/>
    <x v="0"/>
    <m/>
    <m/>
    <m/>
    <m/>
    <m/>
    <m/>
    <m/>
    <m/>
    <m/>
    <n v="2"/>
    <m/>
    <m/>
    <m/>
    <m/>
    <m/>
    <m/>
    <m/>
    <m/>
    <m/>
    <m/>
    <m/>
    <m/>
    <m/>
    <m/>
    <m/>
    <m/>
    <m/>
    <m/>
    <m/>
    <m/>
    <s v="no test"/>
    <s v="no test"/>
    <s v="No Test"/>
    <n v="1"/>
    <n v="0"/>
    <n v="0"/>
    <n v="0"/>
    <n v="0"/>
    <n v="0"/>
    <n v="0"/>
    <n v="1"/>
    <n v="1"/>
    <n v="1"/>
    <n v="57"/>
    <n v="0"/>
    <n v="0"/>
    <n v="1"/>
    <n v="57"/>
    <n v="0.114"/>
    <n v="0"/>
    <n v="0"/>
    <n v="0.88600000000000001"/>
    <n v="1"/>
    <n v="8"/>
    <n v="1"/>
    <n v="57"/>
    <n v="0"/>
    <n v="0"/>
    <n v="0"/>
    <n v="3"/>
    <n v="0"/>
    <n v="0"/>
    <n v="0"/>
    <n v="0"/>
    <n v="0"/>
    <n v="0"/>
    <n v="0"/>
    <n v="0"/>
    <n v="0"/>
    <n v="1"/>
    <n v="0"/>
    <n v="0"/>
    <n v="0"/>
    <n v="0"/>
    <n v="0"/>
    <n v="0"/>
    <n v="0"/>
    <s v="No"/>
    <s v=""/>
    <n v="0"/>
    <n v="0"/>
    <n v="0"/>
    <n v="0"/>
    <n v="0"/>
    <n v="0"/>
    <n v="0"/>
    <n v="0"/>
    <x v="0"/>
    <x v="1"/>
    <x v="0"/>
    <n v="0"/>
    <n v="0"/>
    <n v="0"/>
    <x v="0"/>
    <x v="0"/>
    <n v="0"/>
    <n v="0"/>
  </r>
  <r>
    <x v="0"/>
    <x v="2"/>
    <x v="0"/>
    <s v="UNICEF"/>
    <x v="0"/>
    <x v="6"/>
    <x v="0"/>
    <x v="65"/>
    <n v="440"/>
    <n v="2199"/>
    <d v="2020-10-01T00:00:00"/>
    <d v="2022-04-30T00:00:00"/>
    <m/>
    <m/>
    <m/>
    <m/>
    <s v="Yes"/>
    <m/>
    <m/>
    <m/>
    <m/>
    <m/>
    <n v="1"/>
    <m/>
    <m/>
    <m/>
    <m/>
    <m/>
    <m/>
    <m/>
    <m/>
    <m/>
    <m/>
    <m/>
    <m/>
    <m/>
    <m/>
    <m/>
    <n v="20"/>
    <m/>
    <m/>
    <m/>
    <m/>
    <m/>
    <m/>
    <m/>
    <m/>
    <m/>
    <m/>
    <m/>
    <x v="1"/>
    <x v="2"/>
    <m/>
    <m/>
    <n v="51"/>
    <m/>
    <m/>
    <m/>
    <n v="3"/>
    <m/>
    <m/>
    <n v="2"/>
    <m/>
    <m/>
    <m/>
    <m/>
    <m/>
    <m/>
    <m/>
    <m/>
    <m/>
    <m/>
    <m/>
    <m/>
    <m/>
    <m/>
    <m/>
    <m/>
    <m/>
    <m/>
    <m/>
    <m/>
    <s v="no test"/>
    <s v="no test"/>
    <s v="No Test"/>
    <n v="0"/>
    <n v="1"/>
    <n v="0"/>
    <n v="0"/>
    <n v="0"/>
    <n v="0"/>
    <n v="0"/>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n v="0"/>
    <n v="0"/>
    <n v="0"/>
    <x v="0"/>
    <x v="4"/>
    <x v="1"/>
    <n v="0"/>
    <n v="0"/>
    <n v="0"/>
    <x v="0"/>
    <x v="0"/>
    <n v="0"/>
    <n v="0"/>
  </r>
  <r>
    <x v="0"/>
    <x v="4"/>
    <x v="3"/>
    <m/>
    <x v="0"/>
    <x v="4"/>
    <x v="1"/>
    <x v="66"/>
    <n v="24"/>
    <n v="130"/>
    <m/>
    <m/>
    <m/>
    <m/>
    <m/>
    <m/>
    <m/>
    <m/>
    <m/>
    <m/>
    <m/>
    <m/>
    <m/>
    <m/>
    <m/>
    <m/>
    <m/>
    <m/>
    <m/>
    <m/>
    <m/>
    <m/>
    <m/>
    <m/>
    <m/>
    <m/>
    <m/>
    <m/>
    <m/>
    <m/>
    <m/>
    <m/>
    <m/>
    <m/>
    <m/>
    <m/>
    <m/>
    <m/>
    <m/>
    <m/>
    <x v="3"/>
    <x v="4"/>
    <m/>
    <m/>
    <m/>
    <m/>
    <m/>
    <m/>
    <m/>
    <m/>
    <m/>
    <m/>
    <m/>
    <m/>
    <m/>
    <m/>
    <m/>
    <m/>
    <m/>
    <m/>
    <m/>
    <m/>
    <m/>
    <m/>
    <m/>
    <m/>
    <m/>
    <m/>
    <m/>
    <m/>
    <m/>
    <m/>
    <s v="no test"/>
    <s v="no test"/>
    <s v="No Test"/>
    <n v="0"/>
    <n v="0"/>
    <n v="0"/>
    <n v="0"/>
    <n v="0"/>
    <n v="0"/>
    <n v="0"/>
    <n v="0"/>
    <n v="0"/>
    <n v="0"/>
    <n v="0"/>
    <n v="0"/>
    <n v="0"/>
    <n v="0"/>
    <n v="0"/>
    <n v="0"/>
    <n v="1"/>
    <n v="130"/>
    <n v="1"/>
    <n v="1"/>
    <n v="0"/>
    <n v="0"/>
    <n v="0"/>
    <n v="0"/>
    <n v="0"/>
    <n v="0"/>
    <n v="7"/>
    <n v="7"/>
    <n v="1"/>
    <n v="0"/>
    <n v="0"/>
    <n v="0"/>
    <n v="0"/>
    <n v="0"/>
    <n v="0"/>
    <n v="0"/>
    <n v="1"/>
    <n v="0"/>
    <n v="0"/>
    <n v="0"/>
    <n v="0"/>
    <n v="0"/>
    <n v="0"/>
    <n v="0"/>
    <s v="No"/>
    <s v=""/>
    <n v="0"/>
    <n v="0"/>
    <n v="0"/>
    <n v="0"/>
    <n v="0"/>
    <n v="0"/>
    <n v="0"/>
    <s v="DFSS"/>
    <x v="0"/>
    <x v="0"/>
    <x v="0"/>
    <n v="0"/>
    <n v="0"/>
    <s v="MMR001CMP303"/>
    <x v="1"/>
    <x v="1"/>
    <n v="24"/>
    <n v="130"/>
  </r>
  <r>
    <x v="0"/>
    <x v="1"/>
    <x v="1"/>
    <s v="UNICEF"/>
    <x v="0"/>
    <x v="9"/>
    <x v="1"/>
    <x v="67"/>
    <n v="133"/>
    <n v="628"/>
    <d v="2023-02-16T00:00:00"/>
    <d v="2024-02-15T00:00:00"/>
    <m/>
    <n v="3"/>
    <m/>
    <m/>
    <s v="Yes"/>
    <n v="4"/>
    <n v="2"/>
    <n v="1"/>
    <m/>
    <m/>
    <n v="1"/>
    <m/>
    <m/>
    <m/>
    <m/>
    <m/>
    <m/>
    <m/>
    <m/>
    <m/>
    <m/>
    <m/>
    <m/>
    <m/>
    <m/>
    <m/>
    <n v="5"/>
    <m/>
    <m/>
    <m/>
    <n v="1"/>
    <m/>
    <m/>
    <m/>
    <m/>
    <m/>
    <m/>
    <m/>
    <x v="0"/>
    <x v="0"/>
    <m/>
    <m/>
    <m/>
    <m/>
    <m/>
    <m/>
    <n v="5"/>
    <m/>
    <m/>
    <n v="7"/>
    <m/>
    <m/>
    <n v="1"/>
    <m/>
    <m/>
    <s v="Yes"/>
    <n v="1"/>
    <m/>
    <s v="Hygiene kits"/>
    <m/>
    <m/>
    <m/>
    <m/>
    <m/>
    <m/>
    <m/>
    <m/>
    <m/>
    <m/>
    <m/>
    <s v="no test"/>
    <s v="no test"/>
    <s v="No Test"/>
    <n v="1"/>
    <n v="1"/>
    <n v="0"/>
    <n v="0"/>
    <n v="0"/>
    <n v="0"/>
    <n v="0"/>
    <n v="1"/>
    <n v="0.79617834394904463"/>
    <n v="1"/>
    <n v="628"/>
    <n v="0"/>
    <n v="0"/>
    <n v="1"/>
    <n v="628"/>
    <n v="1.256"/>
    <n v="0"/>
    <n v="0"/>
    <n v="0"/>
    <n v="1"/>
    <n v="1"/>
    <n v="3.1847133757961783E-2"/>
    <n v="20"/>
    <n v="0"/>
    <n v="0"/>
    <n v="0"/>
    <n v="31"/>
    <n v="30"/>
    <n v="0.96815286624203822"/>
    <n v="0"/>
    <n v="500"/>
    <n v="0"/>
    <n v="0"/>
    <n v="0"/>
    <n v="500"/>
    <n v="0.79617834394904463"/>
    <n v="0.20382165605095537"/>
    <n v="0.79617834394904463"/>
    <n v="0"/>
    <n v="0"/>
    <n v="5"/>
    <n v="100"/>
    <n v="5"/>
    <n v="500"/>
    <s v="No"/>
    <s v=""/>
    <n v="0"/>
    <n v="0"/>
    <n v="0"/>
    <n v="0"/>
    <n v="0"/>
    <n v="0"/>
    <s v="Yes"/>
    <s v="KMSS-MYT"/>
    <x v="0"/>
    <x v="1"/>
    <x v="0"/>
    <n v="26.350176000000001"/>
    <n v="96.711387999999999"/>
    <s v="MMR001CMP251"/>
    <x v="0"/>
    <x v="0"/>
    <n v="133"/>
    <n v="629"/>
  </r>
  <r>
    <x v="0"/>
    <x v="1"/>
    <x v="1"/>
    <s v="UNICEF"/>
    <x v="0"/>
    <x v="9"/>
    <x v="1"/>
    <x v="68"/>
    <n v="36"/>
    <n v="174"/>
    <d v="2023-02-16T00:00:00"/>
    <d v="2024-02-15T00:00:00"/>
    <m/>
    <n v="1"/>
    <m/>
    <m/>
    <s v="Yes"/>
    <n v="4"/>
    <n v="1"/>
    <m/>
    <m/>
    <m/>
    <n v="2"/>
    <m/>
    <m/>
    <m/>
    <m/>
    <m/>
    <m/>
    <m/>
    <m/>
    <m/>
    <m/>
    <m/>
    <m/>
    <m/>
    <m/>
    <m/>
    <n v="5"/>
    <m/>
    <m/>
    <m/>
    <n v="2"/>
    <m/>
    <m/>
    <m/>
    <m/>
    <m/>
    <m/>
    <m/>
    <x v="0"/>
    <x v="1"/>
    <m/>
    <m/>
    <m/>
    <m/>
    <m/>
    <m/>
    <n v="7"/>
    <m/>
    <n v="2"/>
    <n v="2"/>
    <m/>
    <m/>
    <n v="1"/>
    <m/>
    <m/>
    <s v="Yes"/>
    <n v="1"/>
    <m/>
    <s v="Hygiene kits"/>
    <m/>
    <m/>
    <m/>
    <m/>
    <m/>
    <m/>
    <m/>
    <m/>
    <m/>
    <m/>
    <m/>
    <s v="no test"/>
    <s v="no test"/>
    <s v="No Test"/>
    <n v="0"/>
    <n v="2"/>
    <n v="0"/>
    <n v="0"/>
    <n v="0"/>
    <n v="0"/>
    <n v="0"/>
    <n v="1"/>
    <n v="1"/>
    <n v="1"/>
    <n v="174"/>
    <n v="0"/>
    <n v="0"/>
    <n v="1"/>
    <n v="174"/>
    <n v="0.34799999999999998"/>
    <n v="0"/>
    <n v="0"/>
    <n v="0.65200000000000002"/>
    <n v="1"/>
    <n v="2"/>
    <n v="0.22988505747126436"/>
    <n v="40"/>
    <n v="0"/>
    <n v="0"/>
    <n v="0"/>
    <n v="9"/>
    <n v="7"/>
    <n v="0.77011494252873569"/>
    <n v="0"/>
    <n v="174"/>
    <n v="0"/>
    <n v="0"/>
    <n v="0"/>
    <n v="174"/>
    <n v="1"/>
    <n v="0"/>
    <n v="1"/>
    <n v="0"/>
    <n v="0"/>
    <n v="7"/>
    <n v="36"/>
    <n v="5"/>
    <n v="174"/>
    <s v="No"/>
    <s v=""/>
    <n v="0"/>
    <n v="0"/>
    <n v="0"/>
    <n v="0"/>
    <n v="0"/>
    <n v="0"/>
    <s v="Yes"/>
    <s v="KMSS-MYT"/>
    <x v="0"/>
    <x v="1"/>
    <x v="0"/>
    <n v="26.351690999999999"/>
    <n v="96.690871999999999"/>
    <s v="MMR001CMP254"/>
    <x v="0"/>
    <x v="0"/>
    <n v="37"/>
    <n v="171"/>
  </r>
  <r>
    <x v="0"/>
    <x v="2"/>
    <x v="0"/>
    <s v="UNICEF"/>
    <x v="0"/>
    <x v="1"/>
    <x v="1"/>
    <x v="69"/>
    <n v="43"/>
    <n v="198"/>
    <d v="2022-09-07T00:00:00"/>
    <d v="2023-09-06T00:00:00"/>
    <m/>
    <n v="1"/>
    <m/>
    <m/>
    <s v="Yes"/>
    <n v="2"/>
    <n v="2"/>
    <n v="3"/>
    <m/>
    <m/>
    <n v="3"/>
    <m/>
    <m/>
    <m/>
    <m/>
    <m/>
    <m/>
    <m/>
    <n v="3"/>
    <m/>
    <m/>
    <n v="3"/>
    <m/>
    <m/>
    <m/>
    <m/>
    <m/>
    <m/>
    <m/>
    <m/>
    <n v="6"/>
    <m/>
    <m/>
    <m/>
    <m/>
    <m/>
    <m/>
    <n v="6"/>
    <x v="0"/>
    <x v="0"/>
    <m/>
    <m/>
    <m/>
    <m/>
    <m/>
    <m/>
    <n v="5"/>
    <m/>
    <m/>
    <n v="3"/>
    <m/>
    <n v="1"/>
    <m/>
    <m/>
    <m/>
    <m/>
    <m/>
    <m/>
    <m/>
    <m/>
    <m/>
    <m/>
    <m/>
    <m/>
    <m/>
    <m/>
    <m/>
    <m/>
    <m/>
    <m/>
    <s v="no test"/>
    <s v="no test"/>
    <s v="No Test"/>
    <n v="3"/>
    <n v="3"/>
    <n v="0"/>
    <n v="0"/>
    <n v="0"/>
    <n v="0"/>
    <n v="0"/>
    <n v="1"/>
    <n v="1"/>
    <n v="1"/>
    <n v="198"/>
    <n v="1"/>
    <n v="198"/>
    <n v="1"/>
    <n v="198"/>
    <n v="0.39600000000000002"/>
    <n v="0"/>
    <n v="0"/>
    <n v="0.60399999999999998"/>
    <n v="1"/>
    <n v="6"/>
    <n v="0.60606060606060608"/>
    <n v="120"/>
    <n v="0"/>
    <n v="0"/>
    <n v="0"/>
    <n v="10"/>
    <n v="4"/>
    <n v="0.39393939393939392"/>
    <n v="0"/>
    <n v="198"/>
    <n v="0"/>
    <n v="0"/>
    <n v="0"/>
    <n v="198"/>
    <n v="1"/>
    <n v="0"/>
    <n v="1"/>
    <n v="0"/>
    <n v="0"/>
    <n v="5"/>
    <n v="43"/>
    <n v="0"/>
    <n v="198"/>
    <s v="No"/>
    <s v=""/>
    <n v="0"/>
    <n v="0"/>
    <n v="0"/>
    <n v="0"/>
    <n v="0"/>
    <n v="0"/>
    <s v="Yes"/>
    <s v="KBC-MYT"/>
    <x v="0"/>
    <x v="1"/>
    <x v="0"/>
    <n v="25.3959740909091"/>
    <n v="97.382997575757599"/>
    <s v="MMR001CMP010"/>
    <x v="0"/>
    <x v="0"/>
    <n v="45"/>
    <n v="197"/>
  </r>
  <r>
    <x v="0"/>
    <x v="1"/>
    <x v="1"/>
    <s v="UNICEF"/>
    <x v="0"/>
    <x v="5"/>
    <x v="1"/>
    <x v="70"/>
    <n v="48"/>
    <n v="275"/>
    <d v="2023-02-16T00:00:00"/>
    <d v="2024-02-15T00:00:00"/>
    <m/>
    <n v="3"/>
    <m/>
    <m/>
    <s v="Yes"/>
    <n v="3"/>
    <n v="1"/>
    <n v="2"/>
    <m/>
    <m/>
    <m/>
    <m/>
    <m/>
    <m/>
    <m/>
    <m/>
    <m/>
    <m/>
    <m/>
    <m/>
    <m/>
    <m/>
    <m/>
    <m/>
    <m/>
    <m/>
    <n v="5"/>
    <m/>
    <m/>
    <m/>
    <n v="18"/>
    <m/>
    <m/>
    <m/>
    <m/>
    <m/>
    <m/>
    <m/>
    <x v="0"/>
    <x v="3"/>
    <m/>
    <m/>
    <m/>
    <m/>
    <m/>
    <m/>
    <n v="5"/>
    <m/>
    <n v="2"/>
    <n v="2"/>
    <m/>
    <m/>
    <n v="1"/>
    <m/>
    <m/>
    <s v="Yes"/>
    <n v="1"/>
    <m/>
    <s v="Hygiene kits"/>
    <m/>
    <m/>
    <m/>
    <m/>
    <m/>
    <m/>
    <m/>
    <m/>
    <m/>
    <m/>
    <m/>
    <s v="no test"/>
    <s v="no test"/>
    <s v="No Test"/>
    <n v="2"/>
    <n v="0"/>
    <n v="0"/>
    <n v="0"/>
    <n v="0"/>
    <n v="0"/>
    <n v="0"/>
    <n v="1"/>
    <n v="1"/>
    <n v="1"/>
    <n v="275"/>
    <n v="0"/>
    <n v="0"/>
    <n v="1"/>
    <n v="275"/>
    <n v="0.55000000000000004"/>
    <n v="0"/>
    <n v="0"/>
    <n v="0.44999999999999996"/>
    <n v="1"/>
    <n v="18"/>
    <n v="1"/>
    <n v="275"/>
    <n v="0"/>
    <n v="0"/>
    <n v="0"/>
    <n v="14"/>
    <n v="0"/>
    <n v="0"/>
    <n v="0"/>
    <n v="275"/>
    <n v="0"/>
    <n v="0"/>
    <n v="0"/>
    <n v="275"/>
    <n v="1"/>
    <n v="0"/>
    <n v="1"/>
    <n v="0"/>
    <n v="0"/>
    <n v="5"/>
    <n v="48"/>
    <n v="5"/>
    <n v="275"/>
    <s v="No"/>
    <s v=""/>
    <n v="0"/>
    <n v="0"/>
    <n v="0"/>
    <n v="0"/>
    <n v="0"/>
    <n v="0"/>
    <n v="0"/>
    <s v="KMSS-MYT"/>
    <x v="0"/>
    <x v="1"/>
    <x v="0"/>
    <n v="25.383058999999999"/>
    <n v="97.014313000000001"/>
    <s v="MMR001CMP259"/>
    <x v="0"/>
    <x v="0"/>
    <n v="48"/>
    <n v="275"/>
  </r>
  <r>
    <x v="0"/>
    <x v="1"/>
    <x v="1"/>
    <s v="UNICEF"/>
    <x v="0"/>
    <x v="5"/>
    <x v="1"/>
    <x v="71"/>
    <n v="83"/>
    <n v="430"/>
    <d v="2023-02-16T00:00:00"/>
    <d v="2024-02-15T00:00:00"/>
    <m/>
    <n v="2"/>
    <m/>
    <m/>
    <s v="Yes"/>
    <n v="2"/>
    <n v="3"/>
    <n v="3"/>
    <m/>
    <m/>
    <m/>
    <m/>
    <m/>
    <m/>
    <m/>
    <m/>
    <m/>
    <m/>
    <m/>
    <m/>
    <m/>
    <m/>
    <m/>
    <m/>
    <m/>
    <m/>
    <n v="10"/>
    <m/>
    <m/>
    <m/>
    <n v="14"/>
    <m/>
    <m/>
    <m/>
    <m/>
    <m/>
    <m/>
    <m/>
    <x v="0"/>
    <x v="1"/>
    <n v="1"/>
    <m/>
    <m/>
    <m/>
    <m/>
    <m/>
    <n v="10"/>
    <m/>
    <n v="2"/>
    <n v="2"/>
    <m/>
    <m/>
    <n v="1"/>
    <m/>
    <m/>
    <s v="Yes"/>
    <n v="1"/>
    <m/>
    <s v="Hygiene kits"/>
    <m/>
    <m/>
    <m/>
    <m/>
    <m/>
    <m/>
    <m/>
    <m/>
    <m/>
    <m/>
    <m/>
    <s v="no test"/>
    <s v="no test"/>
    <s v="No Test"/>
    <n v="3"/>
    <n v="0"/>
    <n v="0"/>
    <n v="0"/>
    <n v="0"/>
    <n v="0"/>
    <n v="0"/>
    <n v="1"/>
    <n v="1"/>
    <n v="1"/>
    <n v="430"/>
    <n v="0"/>
    <n v="0"/>
    <n v="1"/>
    <n v="430"/>
    <n v="0.86"/>
    <n v="0"/>
    <n v="0"/>
    <n v="0.14000000000000001"/>
    <n v="1"/>
    <n v="14"/>
    <n v="0.69767441860465118"/>
    <n v="300"/>
    <n v="0"/>
    <n v="0"/>
    <n v="0"/>
    <n v="22"/>
    <n v="8"/>
    <n v="0.30232558139534882"/>
    <n v="0"/>
    <n v="430"/>
    <n v="0"/>
    <n v="0"/>
    <n v="0"/>
    <n v="430"/>
    <n v="1"/>
    <n v="0"/>
    <n v="1"/>
    <n v="0"/>
    <n v="0"/>
    <n v="10"/>
    <n v="83"/>
    <n v="10"/>
    <n v="430"/>
    <s v="No"/>
    <s v=""/>
    <n v="0"/>
    <n v="0"/>
    <n v="0"/>
    <n v="0"/>
    <n v="0"/>
    <n v="0"/>
    <n v="0"/>
    <s v="KMSS-MYT"/>
    <x v="0"/>
    <x v="1"/>
    <x v="0"/>
    <n v="25.383058999999999"/>
    <n v="97.014313000000001"/>
    <s v="MMR001CMP260"/>
    <x v="0"/>
    <x v="0"/>
    <n v="83"/>
    <n v="430"/>
  </r>
  <r>
    <x v="0"/>
    <x v="4"/>
    <x v="3"/>
    <m/>
    <x v="0"/>
    <x v="5"/>
    <x v="1"/>
    <x v="72"/>
    <n v="6"/>
    <n v="32"/>
    <m/>
    <m/>
    <m/>
    <m/>
    <m/>
    <m/>
    <m/>
    <m/>
    <m/>
    <m/>
    <m/>
    <m/>
    <m/>
    <m/>
    <m/>
    <m/>
    <m/>
    <m/>
    <m/>
    <m/>
    <m/>
    <m/>
    <m/>
    <m/>
    <m/>
    <m/>
    <m/>
    <m/>
    <m/>
    <m/>
    <m/>
    <m/>
    <m/>
    <m/>
    <m/>
    <m/>
    <m/>
    <m/>
    <m/>
    <m/>
    <x v="1"/>
    <x v="2"/>
    <m/>
    <m/>
    <m/>
    <m/>
    <m/>
    <m/>
    <n v="3"/>
    <m/>
    <m/>
    <n v="2"/>
    <m/>
    <m/>
    <m/>
    <m/>
    <m/>
    <m/>
    <m/>
    <m/>
    <m/>
    <m/>
    <m/>
    <m/>
    <m/>
    <m/>
    <m/>
    <m/>
    <m/>
    <m/>
    <m/>
    <m/>
    <s v="no test"/>
    <s v="no test"/>
    <s v="No Test"/>
    <n v="0"/>
    <n v="0"/>
    <n v="0"/>
    <n v="0"/>
    <n v="0"/>
    <n v="0"/>
    <n v="0"/>
    <n v="0"/>
    <n v="0"/>
    <n v="0"/>
    <n v="0"/>
    <n v="0"/>
    <n v="0"/>
    <n v="0"/>
    <n v="0"/>
    <n v="0"/>
    <n v="1"/>
    <n v="32"/>
    <n v="1"/>
    <n v="1"/>
    <n v="0"/>
    <n v="0"/>
    <n v="0"/>
    <n v="0"/>
    <n v="0"/>
    <n v="0"/>
    <n v="2"/>
    <n v="2"/>
    <n v="1"/>
    <n v="0"/>
    <n v="0"/>
    <n v="0"/>
    <n v="0"/>
    <n v="0"/>
    <n v="0"/>
    <n v="0"/>
    <n v="1"/>
    <n v="0"/>
    <n v="0"/>
    <n v="0"/>
    <n v="3"/>
    <n v="6"/>
    <n v="0"/>
    <n v="32"/>
    <s v="No"/>
    <s v=""/>
    <n v="0"/>
    <n v="0"/>
    <n v="0"/>
    <n v="0"/>
    <n v="0"/>
    <n v="0"/>
    <n v="0"/>
    <s v="uncovered"/>
    <x v="0"/>
    <x v="0"/>
    <x v="0"/>
    <n v="25.30274"/>
    <n v="96.940380000000005"/>
    <s v="MMR001CMP262"/>
    <x v="1"/>
    <x v="1"/>
    <n v="5"/>
    <n v="32"/>
  </r>
  <r>
    <x v="0"/>
    <x v="2"/>
    <x v="0"/>
    <s v="UNICEF"/>
    <x v="0"/>
    <x v="1"/>
    <x v="1"/>
    <x v="73"/>
    <n v="136"/>
    <n v="742"/>
    <d v="2022-09-07T00:00:00"/>
    <d v="2023-09-06T00:00:00"/>
    <m/>
    <n v="3"/>
    <m/>
    <m/>
    <s v="Yes"/>
    <n v="1"/>
    <n v="4"/>
    <n v="7"/>
    <m/>
    <m/>
    <n v="4"/>
    <m/>
    <m/>
    <m/>
    <m/>
    <m/>
    <m/>
    <m/>
    <m/>
    <m/>
    <m/>
    <n v="5"/>
    <m/>
    <m/>
    <m/>
    <m/>
    <m/>
    <m/>
    <m/>
    <m/>
    <n v="45"/>
    <m/>
    <m/>
    <m/>
    <m/>
    <m/>
    <m/>
    <n v="45"/>
    <x v="0"/>
    <x v="0"/>
    <m/>
    <m/>
    <m/>
    <m/>
    <m/>
    <m/>
    <n v="7"/>
    <m/>
    <m/>
    <n v="7"/>
    <m/>
    <n v="1"/>
    <m/>
    <m/>
    <m/>
    <m/>
    <m/>
    <m/>
    <m/>
    <m/>
    <m/>
    <m/>
    <m/>
    <m/>
    <m/>
    <m/>
    <m/>
    <m/>
    <m/>
    <m/>
    <s v="no test"/>
    <s v="no test"/>
    <s v="No Test"/>
    <n v="7"/>
    <n v="4"/>
    <n v="0"/>
    <n v="0"/>
    <n v="0"/>
    <n v="0"/>
    <n v="0"/>
    <n v="1"/>
    <n v="1"/>
    <n v="1"/>
    <n v="742"/>
    <n v="0"/>
    <n v="0"/>
    <n v="1"/>
    <n v="742"/>
    <n v="1.484"/>
    <n v="0"/>
    <n v="0"/>
    <n v="0"/>
    <n v="1"/>
    <n v="45"/>
    <n v="1"/>
    <n v="742"/>
    <n v="0"/>
    <n v="0"/>
    <n v="0"/>
    <n v="37"/>
    <n v="0"/>
    <n v="0"/>
    <n v="0"/>
    <n v="500"/>
    <n v="0"/>
    <n v="0"/>
    <n v="0"/>
    <n v="500"/>
    <n v="0.67385444743935308"/>
    <n v="0.32614555256064692"/>
    <n v="0.67385444743935308"/>
    <n v="0"/>
    <n v="0"/>
    <n v="7"/>
    <n v="136"/>
    <n v="0"/>
    <n v="700"/>
    <s v="No"/>
    <s v=""/>
    <n v="0"/>
    <n v="0"/>
    <n v="0"/>
    <n v="0"/>
    <n v="0"/>
    <n v="0"/>
    <s v="Yes"/>
    <s v="KBC-MYT"/>
    <x v="0"/>
    <x v="1"/>
    <x v="0"/>
    <n v="25.397850999999999"/>
    <n v="97.370900000000006"/>
    <s v="MMR001CMP018"/>
    <x v="0"/>
    <x v="0"/>
    <n v="134"/>
    <n v="732"/>
  </r>
  <r>
    <x v="0"/>
    <x v="3"/>
    <x v="2"/>
    <s v="ANCHOR"/>
    <x v="0"/>
    <x v="4"/>
    <x v="1"/>
    <x v="74"/>
    <n v="353"/>
    <n v="2139"/>
    <d v="2023-01-01T00:00:00"/>
    <d v="2023-12-31T00:00:00"/>
    <m/>
    <m/>
    <n v="1"/>
    <m/>
    <s v="Yes"/>
    <n v="1"/>
    <n v="8"/>
    <n v="2"/>
    <n v="1"/>
    <m/>
    <n v="3"/>
    <m/>
    <m/>
    <m/>
    <m/>
    <m/>
    <m/>
    <m/>
    <m/>
    <m/>
    <m/>
    <m/>
    <m/>
    <m/>
    <m/>
    <m/>
    <m/>
    <n v="23"/>
    <m/>
    <m/>
    <n v="28"/>
    <m/>
    <s v="Shalom"/>
    <m/>
    <m/>
    <n v="6"/>
    <m/>
    <m/>
    <x v="0"/>
    <x v="0"/>
    <m/>
    <n v="16"/>
    <n v="16"/>
    <m/>
    <m/>
    <s v="အိမ်သာကျင်းမကြာခန ပိတ်"/>
    <n v="13"/>
    <n v="3"/>
    <m/>
    <n v="7"/>
    <m/>
    <m/>
    <n v="1"/>
    <m/>
    <m/>
    <m/>
    <n v="1"/>
    <n v="0.7"/>
    <m/>
    <n v="1"/>
    <n v="1"/>
    <n v="5"/>
    <n v="0.9"/>
    <m/>
    <m/>
    <m/>
    <m/>
    <m/>
    <m/>
    <m/>
    <s v="no test"/>
    <s v="no test"/>
    <s v="No Test"/>
    <n v="1"/>
    <n v="3"/>
    <n v="0"/>
    <n v="0"/>
    <n v="0"/>
    <n v="2139"/>
    <n v="0"/>
    <n v="0.88826554464703134"/>
    <n v="0.4675081813931744"/>
    <n v="0.88826554464703134"/>
    <n v="1900"/>
    <n v="0"/>
    <n v="0"/>
    <n v="0.88826554464703134"/>
    <n v="1900"/>
    <n v="3.8"/>
    <n v="0.11173445535296866"/>
    <n v="238.99999999999997"/>
    <n v="0.20000000000000018"/>
    <n v="4"/>
    <n v="28"/>
    <n v="0.26180458158017766"/>
    <n v="560"/>
    <n v="120"/>
    <n v="0"/>
    <n v="0"/>
    <n v="107"/>
    <n v="79"/>
    <n v="0.73819541841982228"/>
    <n v="0"/>
    <n v="500"/>
    <n v="0"/>
    <n v="0"/>
    <n v="0"/>
    <n v="500"/>
    <n v="0.2337540906965872"/>
    <n v="0.76624590930341285"/>
    <n v="0.2337540906965872"/>
    <n v="0"/>
    <n v="0"/>
    <n v="10"/>
    <n v="200"/>
    <n v="0"/>
    <n v="1000"/>
    <s v="No"/>
    <n v="2.3375409069658717E-3"/>
    <n v="2139"/>
    <n v="2139"/>
    <n v="1925.1000000000001"/>
    <n v="2139"/>
    <n v="2139"/>
    <n v="0"/>
    <s v="Yes"/>
    <s v="Shalom"/>
    <x v="0"/>
    <x v="1"/>
    <x v="0"/>
    <n v="25.424529444444399"/>
    <n v="97.433419259259296"/>
    <s v="MMR001CMP031"/>
    <x v="0"/>
    <x v="0"/>
    <n v="353"/>
    <n v="2136"/>
  </r>
  <r>
    <x v="0"/>
    <x v="1"/>
    <x v="1"/>
    <s v="UNICEF"/>
    <x v="0"/>
    <x v="3"/>
    <x v="1"/>
    <x v="75"/>
    <n v="14"/>
    <n v="52"/>
    <d v="2023-02-16T00:00:00"/>
    <d v="2024-02-15T00:00:00"/>
    <n v="155"/>
    <n v="3"/>
    <m/>
    <m/>
    <s v="Yes"/>
    <n v="3"/>
    <n v="2"/>
    <n v="1"/>
    <m/>
    <m/>
    <n v="1"/>
    <m/>
    <m/>
    <m/>
    <n v="1"/>
    <m/>
    <m/>
    <m/>
    <m/>
    <m/>
    <m/>
    <n v="7"/>
    <m/>
    <m/>
    <m/>
    <m/>
    <n v="2"/>
    <n v="1"/>
    <m/>
    <m/>
    <n v="4"/>
    <m/>
    <m/>
    <m/>
    <m/>
    <m/>
    <m/>
    <m/>
    <x v="0"/>
    <x v="1"/>
    <n v="2"/>
    <m/>
    <m/>
    <m/>
    <m/>
    <m/>
    <n v="2"/>
    <m/>
    <m/>
    <n v="2"/>
    <m/>
    <m/>
    <n v="1"/>
    <m/>
    <m/>
    <s v="Yes"/>
    <n v="1"/>
    <m/>
    <m/>
    <m/>
    <m/>
    <m/>
    <m/>
    <m/>
    <m/>
    <m/>
    <m/>
    <m/>
    <m/>
    <m/>
    <s v="no test"/>
    <s v="no test"/>
    <s v="No Test"/>
    <n v="1"/>
    <n v="1"/>
    <n v="1"/>
    <n v="0"/>
    <n v="0"/>
    <n v="52"/>
    <n v="0"/>
    <n v="1"/>
    <n v="1"/>
    <n v="1"/>
    <n v="52"/>
    <n v="0"/>
    <n v="0"/>
    <n v="1"/>
    <n v="52"/>
    <n v="0.104"/>
    <n v="0"/>
    <n v="0"/>
    <n v="0.89600000000000002"/>
    <n v="1"/>
    <n v="4"/>
    <n v="1"/>
    <n v="52"/>
    <n v="0"/>
    <n v="0"/>
    <n v="0"/>
    <n v="3"/>
    <n v="0"/>
    <n v="0"/>
    <n v="0"/>
    <n v="52"/>
    <n v="0"/>
    <n v="0"/>
    <n v="0"/>
    <n v="52"/>
    <n v="1"/>
    <n v="0"/>
    <n v="1"/>
    <n v="0"/>
    <n v="0"/>
    <n v="2"/>
    <n v="14"/>
    <n v="2"/>
    <n v="52"/>
    <s v="Yes"/>
    <s v=""/>
    <n v="0"/>
    <n v="0"/>
    <n v="0"/>
    <n v="0"/>
    <n v="52"/>
    <n v="0"/>
    <n v="0"/>
    <s v="KMSS-MYT"/>
    <x v="0"/>
    <x v="1"/>
    <x v="0"/>
    <n v="25.522594999999999"/>
    <n v="96.711534"/>
    <s v="MMR001CMP270"/>
    <x v="0"/>
    <x v="0"/>
    <n v="14"/>
    <n v="52"/>
  </r>
  <r>
    <x v="0"/>
    <x v="4"/>
    <x v="3"/>
    <m/>
    <x v="0"/>
    <x v="10"/>
    <x v="1"/>
    <x v="76"/>
    <n v="31"/>
    <n v="171"/>
    <m/>
    <m/>
    <m/>
    <m/>
    <m/>
    <m/>
    <m/>
    <m/>
    <n v="4"/>
    <m/>
    <m/>
    <m/>
    <m/>
    <m/>
    <m/>
    <m/>
    <m/>
    <m/>
    <m/>
    <m/>
    <m/>
    <m/>
    <m/>
    <m/>
    <m/>
    <m/>
    <m/>
    <m/>
    <m/>
    <m/>
    <m/>
    <m/>
    <m/>
    <m/>
    <m/>
    <m/>
    <m/>
    <m/>
    <m/>
    <m/>
    <x v="1"/>
    <x v="2"/>
    <m/>
    <m/>
    <m/>
    <m/>
    <m/>
    <m/>
    <n v="1"/>
    <m/>
    <m/>
    <n v="1"/>
    <m/>
    <m/>
    <m/>
    <m/>
    <m/>
    <m/>
    <m/>
    <m/>
    <m/>
    <m/>
    <m/>
    <m/>
    <m/>
    <m/>
    <m/>
    <m/>
    <m/>
    <m/>
    <m/>
    <m/>
    <s v="no test"/>
    <s v="no test"/>
    <s v="No Test"/>
    <n v="0"/>
    <n v="0"/>
    <n v="0"/>
    <n v="0"/>
    <n v="0"/>
    <n v="0"/>
    <n v="0"/>
    <n v="0"/>
    <n v="0"/>
    <n v="0"/>
    <n v="0"/>
    <n v="0"/>
    <n v="0"/>
    <n v="0"/>
    <n v="0"/>
    <n v="0"/>
    <n v="1"/>
    <n v="171"/>
    <n v="1"/>
    <n v="1"/>
    <n v="0"/>
    <n v="0"/>
    <n v="0"/>
    <n v="0"/>
    <n v="0"/>
    <n v="0"/>
    <n v="9"/>
    <n v="9"/>
    <n v="1"/>
    <n v="0"/>
    <n v="0"/>
    <n v="0"/>
    <n v="0"/>
    <n v="0"/>
    <n v="0"/>
    <n v="0"/>
    <n v="1"/>
    <n v="0"/>
    <n v="0"/>
    <n v="0"/>
    <n v="1"/>
    <n v="20"/>
    <n v="0"/>
    <n v="100"/>
    <s v="No"/>
    <s v=""/>
    <n v="0"/>
    <n v="0"/>
    <n v="0"/>
    <n v="0"/>
    <n v="0"/>
    <n v="0"/>
    <n v="0"/>
    <s v="uncovered"/>
    <x v="0"/>
    <x v="0"/>
    <x v="0"/>
    <n v="26.299828999999999"/>
    <n v="97.487258999999995"/>
    <s v="MMR001CMP272"/>
    <x v="1"/>
    <x v="1"/>
    <n v="31"/>
    <n v="171"/>
  </r>
  <r>
    <x v="0"/>
    <x v="12"/>
    <x v="0"/>
    <s v="UNICEF, SIDA"/>
    <x v="0"/>
    <x v="1"/>
    <x v="1"/>
    <x v="77"/>
    <n v="126"/>
    <n v="661"/>
    <s v="9/7/2022,"/>
    <d v="2023-09-06T00:00:00"/>
    <m/>
    <n v="2"/>
    <m/>
    <m/>
    <s v="Yes"/>
    <n v="2"/>
    <n v="4"/>
    <n v="9"/>
    <n v="3"/>
    <m/>
    <n v="4"/>
    <m/>
    <m/>
    <m/>
    <m/>
    <m/>
    <m/>
    <m/>
    <m/>
    <m/>
    <m/>
    <n v="6"/>
    <m/>
    <m/>
    <m/>
    <m/>
    <m/>
    <m/>
    <m/>
    <m/>
    <n v="16"/>
    <m/>
    <m/>
    <m/>
    <m/>
    <m/>
    <m/>
    <n v="8"/>
    <x v="0"/>
    <x v="0"/>
    <m/>
    <m/>
    <m/>
    <m/>
    <m/>
    <m/>
    <n v="12"/>
    <m/>
    <m/>
    <n v="8"/>
    <m/>
    <n v="1"/>
    <m/>
    <m/>
    <m/>
    <m/>
    <m/>
    <m/>
    <m/>
    <m/>
    <m/>
    <m/>
    <m/>
    <m/>
    <m/>
    <m/>
    <m/>
    <m/>
    <m/>
    <m/>
    <s v="no test"/>
    <s v="no test"/>
    <s v="No Test"/>
    <n v="6"/>
    <n v="4"/>
    <n v="0"/>
    <n v="0"/>
    <n v="0"/>
    <n v="0"/>
    <n v="0"/>
    <n v="1"/>
    <n v="1"/>
    <n v="1"/>
    <n v="661"/>
    <n v="0"/>
    <n v="0"/>
    <n v="1"/>
    <n v="661"/>
    <n v="1.3220000000000001"/>
    <n v="0"/>
    <n v="0"/>
    <n v="0"/>
    <n v="1"/>
    <n v="16"/>
    <n v="0.48411497730711045"/>
    <n v="320"/>
    <n v="0"/>
    <n v="0"/>
    <n v="0"/>
    <n v="33"/>
    <n v="17"/>
    <n v="0.51588502269288949"/>
    <n v="0"/>
    <n v="500"/>
    <n v="0"/>
    <n v="0"/>
    <n v="0"/>
    <n v="500"/>
    <n v="0.75642965204236001"/>
    <n v="0.24357034795763999"/>
    <n v="0.75642965204236001"/>
    <n v="0"/>
    <n v="0"/>
    <n v="12"/>
    <n v="126"/>
    <n v="0"/>
    <n v="661"/>
    <s v="No"/>
    <s v=""/>
    <n v="0"/>
    <n v="0"/>
    <n v="0"/>
    <n v="0"/>
    <n v="0"/>
    <n v="0"/>
    <n v="0"/>
    <s v="KBC-MYT"/>
    <x v="0"/>
    <x v="1"/>
    <x v="0"/>
    <n v="25.489669799804702"/>
    <n v="97.458778381347699"/>
    <s v="MMR001CMP265"/>
    <x v="0"/>
    <x v="0"/>
    <n v="138"/>
    <n v="667"/>
  </r>
  <r>
    <x v="0"/>
    <x v="2"/>
    <x v="0"/>
    <s v="UNICEF"/>
    <x v="0"/>
    <x v="1"/>
    <x v="1"/>
    <x v="78"/>
    <n v="133"/>
    <n v="678"/>
    <d v="2022-09-07T00:00:00"/>
    <d v="2023-09-06T00:00:00"/>
    <m/>
    <n v="2"/>
    <m/>
    <m/>
    <s v="Yes"/>
    <n v="2"/>
    <n v="3"/>
    <n v="1"/>
    <m/>
    <m/>
    <n v="3"/>
    <m/>
    <m/>
    <m/>
    <m/>
    <m/>
    <m/>
    <m/>
    <m/>
    <m/>
    <m/>
    <n v="2"/>
    <m/>
    <m/>
    <m/>
    <m/>
    <m/>
    <m/>
    <m/>
    <m/>
    <n v="8"/>
    <m/>
    <m/>
    <m/>
    <m/>
    <m/>
    <m/>
    <n v="8"/>
    <x v="0"/>
    <x v="3"/>
    <m/>
    <m/>
    <m/>
    <m/>
    <m/>
    <m/>
    <n v="3"/>
    <m/>
    <m/>
    <n v="2"/>
    <m/>
    <m/>
    <m/>
    <m/>
    <m/>
    <m/>
    <m/>
    <m/>
    <m/>
    <m/>
    <m/>
    <m/>
    <m/>
    <m/>
    <m/>
    <m/>
    <m/>
    <m/>
    <m/>
    <m/>
    <s v="no test"/>
    <s v="no test"/>
    <s v="No Test"/>
    <n v="1"/>
    <n v="3"/>
    <n v="0"/>
    <n v="0"/>
    <n v="0"/>
    <n v="0"/>
    <n v="0"/>
    <n v="1"/>
    <n v="1"/>
    <n v="1"/>
    <n v="678"/>
    <n v="0"/>
    <n v="0"/>
    <n v="1"/>
    <n v="678"/>
    <n v="1.3560000000000001"/>
    <n v="0"/>
    <n v="0"/>
    <n v="0"/>
    <n v="1"/>
    <n v="8"/>
    <n v="0.2359882005899705"/>
    <n v="160"/>
    <n v="0"/>
    <n v="0"/>
    <n v="0"/>
    <n v="34"/>
    <n v="26"/>
    <n v="0.7640117994100295"/>
    <n v="0"/>
    <n v="0"/>
    <n v="0"/>
    <n v="0"/>
    <n v="0"/>
    <n v="0"/>
    <n v="0"/>
    <n v="1"/>
    <n v="0"/>
    <n v="0"/>
    <n v="0"/>
    <n v="3"/>
    <n v="60"/>
    <n v="0"/>
    <n v="300"/>
    <s v="No"/>
    <s v=""/>
    <n v="0"/>
    <n v="0"/>
    <n v="0"/>
    <n v="0"/>
    <n v="0"/>
    <n v="0"/>
    <s v="Yes"/>
    <s v="KBC-MYT"/>
    <x v="0"/>
    <x v="1"/>
    <x v="0"/>
    <n v="25.362420757575801"/>
    <n v="97.409035000000003"/>
    <s v="MMR001CMP015"/>
    <x v="0"/>
    <x v="0"/>
    <n v="134"/>
    <n v="686"/>
  </r>
  <r>
    <x v="0"/>
    <x v="5"/>
    <x v="4"/>
    <s v="Trocaire/Irish"/>
    <x v="0"/>
    <x v="11"/>
    <x v="1"/>
    <x v="79"/>
    <n v="126"/>
    <n v="591"/>
    <d v="2022-01-01T00:00:00"/>
    <d v="2022-12-31T00:00:00"/>
    <m/>
    <m/>
    <m/>
    <m/>
    <s v="Yes"/>
    <n v="4"/>
    <n v="3"/>
    <n v="1"/>
    <m/>
    <m/>
    <n v="2"/>
    <m/>
    <m/>
    <m/>
    <n v="1"/>
    <m/>
    <m/>
    <m/>
    <m/>
    <m/>
    <n v="1"/>
    <m/>
    <m/>
    <m/>
    <m/>
    <m/>
    <m/>
    <m/>
    <m/>
    <m/>
    <n v="48"/>
    <n v="12"/>
    <m/>
    <m/>
    <m/>
    <m/>
    <m/>
    <m/>
    <x v="0"/>
    <x v="0"/>
    <m/>
    <m/>
    <m/>
    <m/>
    <n v="19"/>
    <m/>
    <n v="108"/>
    <m/>
    <m/>
    <n v="108"/>
    <m/>
    <n v="1"/>
    <n v="1"/>
    <m/>
    <m/>
    <s v="No"/>
    <m/>
    <m/>
    <m/>
    <m/>
    <m/>
    <m/>
    <m/>
    <m/>
    <m/>
    <m/>
    <m/>
    <m/>
    <m/>
    <m/>
    <s v="no test"/>
    <s v="no test"/>
    <s v="No Test"/>
    <n v="1"/>
    <n v="2"/>
    <n v="1"/>
    <n v="0"/>
    <n v="0"/>
    <n v="0"/>
    <n v="0"/>
    <n v="1"/>
    <n v="1"/>
    <n v="1"/>
    <n v="591"/>
    <n v="0"/>
    <n v="0"/>
    <n v="1"/>
    <n v="591"/>
    <n v="1.1819999999999999"/>
    <n v="0"/>
    <n v="0"/>
    <n v="0"/>
    <n v="1"/>
    <n v="60"/>
    <n v="1"/>
    <n v="591"/>
    <n v="0"/>
    <n v="0"/>
    <n v="0"/>
    <n v="30"/>
    <n v="0"/>
    <n v="0"/>
    <n v="0"/>
    <n v="591"/>
    <n v="0"/>
    <n v="0"/>
    <n v="0"/>
    <n v="591"/>
    <n v="1"/>
    <n v="0"/>
    <n v="1"/>
    <n v="0"/>
    <n v="0"/>
    <n v="108"/>
    <n v="126"/>
    <n v="0"/>
    <n v="591"/>
    <s v="No"/>
    <s v=""/>
    <n v="0"/>
    <n v="0"/>
    <n v="0"/>
    <n v="0"/>
    <n v="0"/>
    <n v="0"/>
    <s v="Yes"/>
    <s v="STW/KMSS-MYT"/>
    <x v="0"/>
    <x v="1"/>
    <x v="1"/>
    <n v="26.007408000000002"/>
    <n v="97.823777000000007"/>
    <s v="MMR001CMP280"/>
    <x v="0"/>
    <x v="2"/>
    <n v="120"/>
    <n v="566"/>
  </r>
  <r>
    <x v="0"/>
    <x v="4"/>
    <x v="3"/>
    <m/>
    <x v="0"/>
    <x v="0"/>
    <x v="1"/>
    <x v="80"/>
    <n v="12"/>
    <n v="60"/>
    <m/>
    <m/>
    <m/>
    <m/>
    <m/>
    <m/>
    <m/>
    <m/>
    <m/>
    <m/>
    <m/>
    <m/>
    <m/>
    <m/>
    <m/>
    <m/>
    <m/>
    <m/>
    <m/>
    <m/>
    <m/>
    <m/>
    <m/>
    <m/>
    <m/>
    <m/>
    <m/>
    <m/>
    <m/>
    <m/>
    <m/>
    <m/>
    <m/>
    <m/>
    <m/>
    <m/>
    <m/>
    <m/>
    <m/>
    <m/>
    <x v="1"/>
    <x v="2"/>
    <m/>
    <m/>
    <m/>
    <m/>
    <m/>
    <m/>
    <n v="1"/>
    <m/>
    <m/>
    <n v="1"/>
    <m/>
    <m/>
    <m/>
    <m/>
    <m/>
    <m/>
    <m/>
    <m/>
    <m/>
    <m/>
    <m/>
    <m/>
    <m/>
    <m/>
    <m/>
    <m/>
    <m/>
    <m/>
    <m/>
    <m/>
    <s v="no test"/>
    <s v="no test"/>
    <s v="No Test"/>
    <n v="0"/>
    <n v="0"/>
    <n v="0"/>
    <n v="0"/>
    <n v="0"/>
    <n v="0"/>
    <n v="0"/>
    <n v="0"/>
    <n v="0"/>
    <n v="0"/>
    <n v="0"/>
    <n v="0"/>
    <n v="0"/>
    <n v="0"/>
    <n v="0"/>
    <n v="0"/>
    <n v="1"/>
    <n v="60"/>
    <n v="1"/>
    <n v="1"/>
    <n v="0"/>
    <n v="0"/>
    <n v="0"/>
    <n v="0"/>
    <n v="0"/>
    <n v="0"/>
    <n v="3"/>
    <n v="3"/>
    <n v="1"/>
    <n v="0"/>
    <n v="0"/>
    <n v="0"/>
    <n v="0"/>
    <n v="0"/>
    <n v="0"/>
    <n v="0"/>
    <n v="1"/>
    <n v="0"/>
    <n v="0"/>
    <n v="0"/>
    <n v="1"/>
    <n v="12"/>
    <n v="0"/>
    <n v="60"/>
    <s v="No"/>
    <s v=""/>
    <n v="0"/>
    <n v="0"/>
    <n v="0"/>
    <n v="0"/>
    <n v="0"/>
    <n v="0"/>
    <s v="Yes"/>
    <s v="Shalom"/>
    <x v="0"/>
    <x v="1"/>
    <x v="0"/>
    <n v="24.154199999999999"/>
    <n v="97.160600000000002"/>
    <s v="MMR001CMP281"/>
    <x v="1"/>
    <x v="1"/>
    <n v="82"/>
    <n v="392"/>
  </r>
  <r>
    <x v="0"/>
    <x v="4"/>
    <x v="3"/>
    <m/>
    <x v="0"/>
    <x v="4"/>
    <x v="1"/>
    <x v="81"/>
    <n v="12"/>
    <n v="80"/>
    <m/>
    <m/>
    <m/>
    <m/>
    <m/>
    <m/>
    <m/>
    <m/>
    <m/>
    <m/>
    <m/>
    <m/>
    <m/>
    <m/>
    <m/>
    <m/>
    <m/>
    <m/>
    <m/>
    <m/>
    <m/>
    <m/>
    <m/>
    <m/>
    <m/>
    <m/>
    <m/>
    <m/>
    <m/>
    <m/>
    <m/>
    <m/>
    <m/>
    <m/>
    <m/>
    <m/>
    <m/>
    <m/>
    <m/>
    <m/>
    <x v="1"/>
    <x v="2"/>
    <m/>
    <m/>
    <m/>
    <m/>
    <m/>
    <m/>
    <n v="7"/>
    <m/>
    <m/>
    <n v="4"/>
    <m/>
    <m/>
    <m/>
    <m/>
    <m/>
    <m/>
    <m/>
    <m/>
    <m/>
    <m/>
    <m/>
    <m/>
    <m/>
    <m/>
    <m/>
    <m/>
    <m/>
    <m/>
    <m/>
    <m/>
    <s v="no test"/>
    <s v="no test"/>
    <s v="No Test"/>
    <n v="0"/>
    <n v="0"/>
    <n v="0"/>
    <n v="0"/>
    <n v="0"/>
    <n v="0"/>
    <n v="0"/>
    <n v="0"/>
    <n v="0"/>
    <n v="0"/>
    <n v="0"/>
    <n v="0"/>
    <n v="0"/>
    <n v="0"/>
    <n v="0"/>
    <n v="0"/>
    <n v="1"/>
    <n v="80"/>
    <n v="1"/>
    <n v="1"/>
    <n v="0"/>
    <n v="0"/>
    <n v="0"/>
    <n v="0"/>
    <n v="0"/>
    <n v="0"/>
    <n v="4"/>
    <n v="4"/>
    <n v="1"/>
    <n v="0"/>
    <n v="0"/>
    <n v="0"/>
    <n v="0"/>
    <n v="0"/>
    <n v="0"/>
    <n v="0"/>
    <n v="1"/>
    <n v="0"/>
    <n v="0"/>
    <n v="0"/>
    <n v="7"/>
    <n v="12"/>
    <n v="0"/>
    <n v="80"/>
    <s v="No"/>
    <s v=""/>
    <n v="0"/>
    <n v="0"/>
    <n v="0"/>
    <n v="0"/>
    <n v="0"/>
    <n v="0"/>
    <s v="Yes"/>
    <s v="Shalom"/>
    <x v="0"/>
    <x v="0"/>
    <x v="0"/>
    <n v="25.221299999999999"/>
    <n v="97.255300000000005"/>
    <s v="MMR001CMP286"/>
    <x v="1"/>
    <x v="1"/>
    <n v="10"/>
    <n v="62"/>
  </r>
  <r>
    <x v="0"/>
    <x v="11"/>
    <x v="9"/>
    <s v="SIDA, USAID/HOPE-94"/>
    <x v="0"/>
    <x v="12"/>
    <x v="1"/>
    <x v="82"/>
    <n v="60"/>
    <n v="300"/>
    <s v="13-8-2021, 6-1-2020"/>
    <s v="30-6-2022, 30.4.2021"/>
    <n v="95"/>
    <n v="4"/>
    <m/>
    <m/>
    <s v="Yes"/>
    <n v="2"/>
    <n v="4"/>
    <n v="1"/>
    <m/>
    <m/>
    <n v="2"/>
    <n v="2"/>
    <m/>
    <m/>
    <m/>
    <m/>
    <m/>
    <m/>
    <m/>
    <m/>
    <n v="1"/>
    <m/>
    <m/>
    <m/>
    <m/>
    <m/>
    <n v="2"/>
    <m/>
    <m/>
    <s v="NA"/>
    <n v="13"/>
    <m/>
    <m/>
    <n v="1"/>
    <m/>
    <m/>
    <m/>
    <m/>
    <x v="0"/>
    <x v="0"/>
    <n v="2"/>
    <m/>
    <m/>
    <m/>
    <n v="4"/>
    <s v="NA"/>
    <n v="15"/>
    <n v="10"/>
    <n v="2"/>
    <n v="9"/>
    <m/>
    <n v="3"/>
    <n v="2"/>
    <m/>
    <m/>
    <s v="Yes"/>
    <m/>
    <n v="0.3"/>
    <s v="NA"/>
    <n v="0.8"/>
    <n v="0.8"/>
    <n v="5"/>
    <n v="0.8"/>
    <m/>
    <m/>
    <m/>
    <m/>
    <m/>
    <m/>
    <m/>
    <s v="no test"/>
    <s v="no test"/>
    <s v="No Test"/>
    <n v="1"/>
    <n v="4"/>
    <n v="0"/>
    <n v="0"/>
    <n v="0"/>
    <n v="0"/>
    <n v="0"/>
    <n v="1"/>
    <n v="1"/>
    <n v="1"/>
    <n v="300"/>
    <n v="0"/>
    <n v="0"/>
    <n v="1"/>
    <n v="300"/>
    <n v="0.6"/>
    <n v="0"/>
    <n v="0"/>
    <n v="0.4"/>
    <n v="1"/>
    <n v="12"/>
    <n v="0.94666666666666666"/>
    <n v="284"/>
    <n v="0"/>
    <n v="0"/>
    <n v="0"/>
    <n v="15"/>
    <n v="2"/>
    <n v="5.3333333333333344E-2"/>
    <n v="7.6923076923076927E-2"/>
    <n v="300"/>
    <n v="0"/>
    <n v="0"/>
    <n v="0"/>
    <n v="300"/>
    <n v="1"/>
    <n v="0"/>
    <n v="1"/>
    <n v="0"/>
    <n v="0"/>
    <n v="5"/>
    <n v="60"/>
    <n v="2"/>
    <n v="300"/>
    <s v="Yes"/>
    <n v="1.6666666666666666E-2"/>
    <n v="240"/>
    <n v="240"/>
    <n v="240"/>
    <n v="240"/>
    <n v="0"/>
    <n v="0"/>
    <s v="Yes"/>
    <s v="KBC-BMO"/>
    <x v="0"/>
    <x v="1"/>
    <x v="0"/>
    <n v="24.200361000000001"/>
    <n v="96.807353000000006"/>
    <s v="MMR001CMP067"/>
    <x v="0"/>
    <x v="0"/>
    <n v="46"/>
    <n v="249"/>
  </r>
  <r>
    <x v="0"/>
    <x v="6"/>
    <x v="5"/>
    <s v="USAID/HOPE-94"/>
    <x v="0"/>
    <x v="12"/>
    <x v="1"/>
    <x v="83"/>
    <n v="43"/>
    <n v="182"/>
    <s v="13-8-2021, 6-1-2020"/>
    <s v="30-6-2022, 30.4.2021"/>
    <m/>
    <m/>
    <m/>
    <m/>
    <s v="Yes"/>
    <n v="1"/>
    <n v="3"/>
    <m/>
    <m/>
    <m/>
    <n v="2"/>
    <m/>
    <m/>
    <m/>
    <m/>
    <m/>
    <m/>
    <m/>
    <m/>
    <m/>
    <n v="1"/>
    <m/>
    <m/>
    <m/>
    <m/>
    <m/>
    <m/>
    <m/>
    <m/>
    <m/>
    <n v="10"/>
    <m/>
    <m/>
    <m/>
    <m/>
    <m/>
    <m/>
    <m/>
    <x v="0"/>
    <x v="0"/>
    <m/>
    <m/>
    <m/>
    <m/>
    <m/>
    <m/>
    <n v="3"/>
    <m/>
    <m/>
    <n v="2"/>
    <m/>
    <m/>
    <m/>
    <m/>
    <m/>
    <m/>
    <m/>
    <m/>
    <m/>
    <m/>
    <m/>
    <m/>
    <m/>
    <m/>
    <m/>
    <m/>
    <m/>
    <m/>
    <m/>
    <m/>
    <s v="no test"/>
    <s v="no test"/>
    <s v="No Test"/>
    <n v="0"/>
    <n v="2"/>
    <n v="0"/>
    <n v="0"/>
    <n v="0"/>
    <n v="0"/>
    <n v="0"/>
    <n v="1"/>
    <n v="1"/>
    <n v="1"/>
    <n v="182"/>
    <n v="0"/>
    <n v="0"/>
    <n v="1"/>
    <n v="182"/>
    <n v="0.36399999999999999"/>
    <n v="0"/>
    <n v="0"/>
    <n v="0.63600000000000001"/>
    <n v="1"/>
    <n v="10"/>
    <n v="1"/>
    <n v="182"/>
    <n v="0"/>
    <n v="0"/>
    <n v="0"/>
    <n v="9"/>
    <n v="0"/>
    <n v="0"/>
    <n v="0"/>
    <n v="0"/>
    <n v="0"/>
    <n v="0"/>
    <n v="0"/>
    <n v="0"/>
    <n v="0"/>
    <n v="1"/>
    <n v="0"/>
    <n v="0"/>
    <n v="0"/>
    <n v="3"/>
    <n v="43"/>
    <n v="0"/>
    <n v="182"/>
    <s v="No"/>
    <s v=""/>
    <n v="0"/>
    <n v="0"/>
    <n v="0"/>
    <n v="0"/>
    <n v="0"/>
    <n v="0"/>
    <s v="Yes"/>
    <s v="KMSS-BMO"/>
    <x v="0"/>
    <x v="1"/>
    <x v="0"/>
    <n v="24.200367"/>
    <n v="96.807353000000006"/>
    <s v="MMR001CMP068"/>
    <x v="0"/>
    <x v="0"/>
    <n v="33"/>
    <n v="152"/>
  </r>
  <r>
    <x v="0"/>
    <x v="6"/>
    <x v="5"/>
    <s v="USAID/HOPE-94"/>
    <x v="0"/>
    <x v="4"/>
    <x v="1"/>
    <x v="84"/>
    <n v="1350"/>
    <n v="7394"/>
    <s v="13-8-2021, 6-1-2020"/>
    <s v="30-6-2022, 30.4.2021"/>
    <m/>
    <m/>
    <m/>
    <m/>
    <s v="Yes"/>
    <n v="2"/>
    <n v="2"/>
    <m/>
    <m/>
    <m/>
    <m/>
    <m/>
    <m/>
    <m/>
    <n v="11"/>
    <m/>
    <m/>
    <m/>
    <m/>
    <m/>
    <m/>
    <m/>
    <m/>
    <m/>
    <m/>
    <m/>
    <n v="6"/>
    <n v="3"/>
    <m/>
    <m/>
    <n v="247"/>
    <m/>
    <m/>
    <m/>
    <m/>
    <m/>
    <m/>
    <m/>
    <x v="0"/>
    <x v="0"/>
    <n v="4"/>
    <n v="2"/>
    <m/>
    <m/>
    <m/>
    <m/>
    <n v="1"/>
    <m/>
    <m/>
    <n v="1"/>
    <m/>
    <m/>
    <n v="3"/>
    <m/>
    <m/>
    <m/>
    <m/>
    <m/>
    <m/>
    <m/>
    <m/>
    <m/>
    <m/>
    <n v="20"/>
    <m/>
    <m/>
    <m/>
    <m/>
    <m/>
    <m/>
    <s v="no test"/>
    <s v="no test"/>
    <s v="No Test"/>
    <n v="0"/>
    <n v="0"/>
    <n v="11"/>
    <n v="0"/>
    <n v="0"/>
    <n v="1500"/>
    <n v="0"/>
    <n v="9.9179514922008841E-2"/>
    <n v="9.9179514922008841E-2"/>
    <n v="9.9179514922008841E-2"/>
    <n v="733.33333333333337"/>
    <n v="0"/>
    <n v="0"/>
    <n v="9.9179514922008841E-2"/>
    <n v="733.33333333333337"/>
    <n v="1.4666666666666668"/>
    <n v="0.90082048507799117"/>
    <n v="6660.666666666667"/>
    <n v="13.533333333333333"/>
    <n v="15"/>
    <n v="247"/>
    <n v="0.67892886123884233"/>
    <n v="5020"/>
    <n v="0"/>
    <n v="0"/>
    <n v="0"/>
    <n v="370"/>
    <n v="123"/>
    <n v="0.32107113876115767"/>
    <n v="0"/>
    <n v="1500"/>
    <n v="0"/>
    <n v="0"/>
    <n v="0"/>
    <n v="1500"/>
    <n v="0.20286718961319988"/>
    <n v="0.79713281038680006"/>
    <n v="0.20286718961319988"/>
    <n v="0"/>
    <n v="0"/>
    <n v="1"/>
    <n v="20"/>
    <n v="0"/>
    <n v="100"/>
    <s v="No"/>
    <s v=""/>
    <n v="0"/>
    <n v="0"/>
    <n v="0"/>
    <n v="0"/>
    <n v="1500"/>
    <n v="0"/>
    <s v="Yes"/>
    <s v="KMSS-MYT"/>
    <x v="0"/>
    <x v="1"/>
    <x v="1"/>
    <n v="24.755253"/>
    <n v="97.546893999999995"/>
    <s v="MMR001CMP116"/>
    <x v="0"/>
    <x v="0"/>
    <n v="1352"/>
    <n v="7253"/>
  </r>
  <r>
    <x v="0"/>
    <x v="6"/>
    <x v="5"/>
    <s v="UNICEF"/>
    <x v="1"/>
    <x v="13"/>
    <x v="1"/>
    <x v="85"/>
    <n v="27"/>
    <n v="162"/>
    <d v="2021-11-11T00:00:00"/>
    <d v="2022-12-31T00:00:00"/>
    <m/>
    <m/>
    <m/>
    <m/>
    <m/>
    <m/>
    <m/>
    <m/>
    <m/>
    <m/>
    <m/>
    <m/>
    <m/>
    <m/>
    <m/>
    <m/>
    <m/>
    <m/>
    <m/>
    <m/>
    <m/>
    <m/>
    <m/>
    <m/>
    <m/>
    <m/>
    <m/>
    <m/>
    <m/>
    <m/>
    <n v="26"/>
    <m/>
    <m/>
    <m/>
    <m/>
    <m/>
    <m/>
    <m/>
    <x v="1"/>
    <x v="2"/>
    <m/>
    <m/>
    <m/>
    <m/>
    <m/>
    <m/>
    <n v="7"/>
    <m/>
    <m/>
    <n v="4"/>
    <m/>
    <m/>
    <m/>
    <m/>
    <m/>
    <s v="Yes"/>
    <m/>
    <m/>
    <m/>
    <m/>
    <m/>
    <m/>
    <m/>
    <m/>
    <m/>
    <m/>
    <m/>
    <m/>
    <m/>
    <m/>
    <s v="no test"/>
    <s v="no test"/>
    <s v="No Test"/>
    <n v="0"/>
    <n v="0"/>
    <n v="0"/>
    <n v="0"/>
    <n v="0"/>
    <n v="0"/>
    <n v="0"/>
    <n v="0"/>
    <n v="0"/>
    <n v="0"/>
    <n v="0"/>
    <n v="0"/>
    <n v="0"/>
    <n v="0"/>
    <n v="0"/>
    <n v="0"/>
    <n v="1"/>
    <n v="162"/>
    <n v="1"/>
    <n v="1"/>
    <n v="26"/>
    <n v="1"/>
    <n v="162"/>
    <n v="0"/>
    <n v="0"/>
    <n v="0"/>
    <n v="8"/>
    <n v="0"/>
    <n v="0"/>
    <n v="0"/>
    <n v="0"/>
    <n v="0"/>
    <n v="0"/>
    <n v="0"/>
    <n v="0"/>
    <n v="0"/>
    <n v="1"/>
    <n v="0"/>
    <n v="0"/>
    <n v="0"/>
    <n v="7"/>
    <n v="27"/>
    <n v="0"/>
    <n v="162"/>
    <s v="No"/>
    <s v=""/>
    <n v="0"/>
    <n v="0"/>
    <n v="0"/>
    <n v="0"/>
    <n v="0"/>
    <n v="0"/>
    <n v="0"/>
    <n v="0"/>
    <x v="0"/>
    <x v="3"/>
    <x v="0"/>
    <n v="23.400155999999999"/>
    <n v="98.220614999999995"/>
    <s v="MMR015CMP071"/>
    <x v="0"/>
    <x v="0"/>
    <n v="27"/>
    <n v="162"/>
  </r>
  <r>
    <x v="0"/>
    <x v="6"/>
    <x v="5"/>
    <s v="UNICEF, MHF"/>
    <x v="1"/>
    <x v="14"/>
    <x v="2"/>
    <x v="86"/>
    <n v="23"/>
    <n v="103"/>
    <d v="2021-11-11T00:00:00"/>
    <d v="2022-12-31T00:00:00"/>
    <m/>
    <m/>
    <m/>
    <m/>
    <s v="Yes"/>
    <n v="5"/>
    <n v="1"/>
    <n v="1"/>
    <m/>
    <m/>
    <m/>
    <n v="1"/>
    <m/>
    <m/>
    <m/>
    <m/>
    <m/>
    <m/>
    <m/>
    <m/>
    <m/>
    <m/>
    <m/>
    <m/>
    <m/>
    <m/>
    <m/>
    <m/>
    <m/>
    <m/>
    <n v="23"/>
    <m/>
    <m/>
    <m/>
    <m/>
    <m/>
    <m/>
    <m/>
    <x v="1"/>
    <x v="2"/>
    <m/>
    <m/>
    <m/>
    <m/>
    <m/>
    <m/>
    <n v="3"/>
    <m/>
    <m/>
    <n v="2"/>
    <m/>
    <m/>
    <m/>
    <m/>
    <m/>
    <s v="Yes"/>
    <m/>
    <m/>
    <m/>
    <m/>
    <m/>
    <m/>
    <m/>
    <m/>
    <m/>
    <m/>
    <m/>
    <m/>
    <m/>
    <m/>
    <s v="no test"/>
    <s v="no test"/>
    <s v="No Test"/>
    <n v="1"/>
    <n v="1"/>
    <n v="0"/>
    <n v="0"/>
    <n v="0"/>
    <n v="0"/>
    <n v="0"/>
    <n v="1"/>
    <n v="1"/>
    <n v="1"/>
    <n v="103"/>
    <n v="0"/>
    <n v="0"/>
    <n v="1"/>
    <n v="103"/>
    <n v="0.20599999999999999"/>
    <n v="0"/>
    <n v="0"/>
    <n v="0.79400000000000004"/>
    <n v="1"/>
    <n v="23"/>
    <n v="1"/>
    <n v="103"/>
    <n v="0"/>
    <n v="0"/>
    <n v="0"/>
    <n v="5"/>
    <n v="0"/>
    <n v="0"/>
    <n v="0"/>
    <n v="0"/>
    <n v="0"/>
    <n v="0"/>
    <n v="0"/>
    <n v="0"/>
    <n v="0"/>
    <n v="1"/>
    <n v="0"/>
    <n v="0"/>
    <n v="0"/>
    <n v="3"/>
    <n v="23"/>
    <n v="0"/>
    <n v="103"/>
    <s v="No"/>
    <s v=""/>
    <n v="0"/>
    <n v="0"/>
    <n v="0"/>
    <n v="0"/>
    <n v="0"/>
    <n v="0"/>
    <n v="0"/>
    <n v="0"/>
    <x v="0"/>
    <x v="0"/>
    <x v="0"/>
    <n v="0"/>
    <n v="0"/>
    <n v="0"/>
    <x v="0"/>
    <x v="0"/>
    <n v="0"/>
    <n v="0"/>
  </r>
  <r>
    <x v="0"/>
    <x v="6"/>
    <x v="5"/>
    <s v="UNICEF, USAID"/>
    <x v="1"/>
    <x v="13"/>
    <x v="1"/>
    <x v="87"/>
    <n v="74"/>
    <n v="439"/>
    <d v="2021-11-11T00:00:00"/>
    <d v="2022-12-31T00:00:00"/>
    <m/>
    <n v="1"/>
    <m/>
    <m/>
    <s v="Yes"/>
    <n v="5"/>
    <n v="1"/>
    <m/>
    <m/>
    <m/>
    <m/>
    <m/>
    <m/>
    <m/>
    <n v="14"/>
    <m/>
    <m/>
    <m/>
    <m/>
    <m/>
    <m/>
    <m/>
    <m/>
    <m/>
    <m/>
    <m/>
    <m/>
    <m/>
    <m/>
    <m/>
    <n v="40"/>
    <m/>
    <m/>
    <m/>
    <m/>
    <m/>
    <m/>
    <m/>
    <x v="1"/>
    <x v="2"/>
    <m/>
    <m/>
    <m/>
    <m/>
    <m/>
    <m/>
    <n v="3"/>
    <m/>
    <m/>
    <n v="2"/>
    <m/>
    <m/>
    <n v="1"/>
    <m/>
    <m/>
    <s v="Yes"/>
    <m/>
    <m/>
    <m/>
    <m/>
    <m/>
    <m/>
    <m/>
    <m/>
    <m/>
    <m/>
    <m/>
    <m/>
    <m/>
    <m/>
    <s v="no test"/>
    <s v="no test"/>
    <s v="No Test"/>
    <n v="0"/>
    <n v="0"/>
    <n v="14"/>
    <n v="0"/>
    <n v="0"/>
    <n v="0"/>
    <n v="0"/>
    <n v="1"/>
    <n v="1"/>
    <n v="1"/>
    <n v="439"/>
    <n v="0"/>
    <n v="0"/>
    <n v="1"/>
    <n v="439"/>
    <n v="0.878"/>
    <n v="0"/>
    <n v="0"/>
    <n v="0.122"/>
    <n v="1"/>
    <n v="40"/>
    <n v="1"/>
    <n v="439"/>
    <n v="0"/>
    <n v="0"/>
    <n v="0"/>
    <n v="22"/>
    <n v="0"/>
    <n v="0"/>
    <n v="0"/>
    <n v="439"/>
    <n v="0"/>
    <n v="0"/>
    <n v="0"/>
    <n v="439"/>
    <n v="1"/>
    <n v="0"/>
    <n v="1"/>
    <n v="0"/>
    <n v="0"/>
    <n v="3"/>
    <n v="60"/>
    <n v="0"/>
    <n v="300"/>
    <s v="No"/>
    <s v=""/>
    <n v="0"/>
    <n v="0"/>
    <n v="0"/>
    <n v="0"/>
    <n v="0"/>
    <n v="0"/>
    <n v="0"/>
    <s v="uncovered"/>
    <x v="0"/>
    <x v="0"/>
    <x v="0"/>
    <n v="23.234137"/>
    <n v="97.505339000000006"/>
    <s v="MMR015CMP030"/>
    <x v="0"/>
    <x v="0"/>
    <n v="86"/>
    <n v="525"/>
  </r>
  <r>
    <x v="0"/>
    <x v="13"/>
    <x v="10"/>
    <s v="UNICEF"/>
    <x v="1"/>
    <x v="15"/>
    <x v="1"/>
    <x v="88"/>
    <n v="340"/>
    <n v="1674"/>
    <d v="2021-10-19T00:00:00"/>
    <d v="2022-10-18T00:00:00"/>
    <m/>
    <m/>
    <m/>
    <m/>
    <s v="Yes"/>
    <n v="2"/>
    <n v="2"/>
    <m/>
    <m/>
    <m/>
    <m/>
    <m/>
    <m/>
    <m/>
    <n v="24"/>
    <m/>
    <m/>
    <m/>
    <m/>
    <m/>
    <m/>
    <n v="1"/>
    <m/>
    <m/>
    <m/>
    <m/>
    <m/>
    <n v="1"/>
    <m/>
    <m/>
    <n v="30"/>
    <m/>
    <m/>
    <m/>
    <m/>
    <m/>
    <m/>
    <m/>
    <x v="2"/>
    <x v="1"/>
    <m/>
    <m/>
    <m/>
    <m/>
    <m/>
    <m/>
    <n v="3"/>
    <m/>
    <m/>
    <m/>
    <m/>
    <m/>
    <m/>
    <m/>
    <m/>
    <m/>
    <m/>
    <m/>
    <m/>
    <m/>
    <m/>
    <m/>
    <m/>
    <m/>
    <m/>
    <m/>
    <m/>
    <m/>
    <m/>
    <m/>
    <s v="no test"/>
    <s v="no test"/>
    <s v="No Test"/>
    <n v="0"/>
    <n v="0"/>
    <n v="24"/>
    <n v="0"/>
    <n v="0"/>
    <n v="500"/>
    <n v="0"/>
    <n v="0.95579450418160095"/>
    <n v="0.95579450418160095"/>
    <n v="0.95579450418160095"/>
    <n v="1600"/>
    <n v="0"/>
    <n v="0"/>
    <n v="0.95579450418160095"/>
    <n v="1600"/>
    <n v="3.2"/>
    <n v="4.4205495818399054E-2"/>
    <n v="74.000000000000014"/>
    <n v="0"/>
    <n v="3"/>
    <n v="30"/>
    <n v="0.35842293906810035"/>
    <n v="600"/>
    <n v="0"/>
    <n v="0"/>
    <n v="0"/>
    <n v="84"/>
    <n v="54"/>
    <n v="0.64157706093189959"/>
    <n v="0"/>
    <n v="0"/>
    <n v="0"/>
    <n v="0"/>
    <n v="0"/>
    <n v="0"/>
    <n v="0"/>
    <n v="1"/>
    <n v="0"/>
    <n v="0"/>
    <n v="0"/>
    <n v="3"/>
    <n v="60"/>
    <n v="0"/>
    <n v="300"/>
    <s v="No"/>
    <s v=""/>
    <n v="0"/>
    <n v="0"/>
    <n v="0"/>
    <n v="0"/>
    <n v="500"/>
    <n v="0"/>
    <n v="0"/>
    <n v="0"/>
    <x v="0"/>
    <x v="0"/>
    <x v="0"/>
    <n v="23.420603"/>
    <n v="98.451791999999998"/>
    <s v="MMR015CMP069"/>
    <x v="0"/>
    <x v="0"/>
    <n v="166"/>
    <n v="830"/>
  </r>
  <r>
    <x v="0"/>
    <x v="6"/>
    <x v="5"/>
    <s v="UNICEF"/>
    <x v="1"/>
    <x v="16"/>
    <x v="1"/>
    <x v="89"/>
    <n v="19"/>
    <n v="77"/>
    <d v="2021-11-11T00:00:00"/>
    <d v="2022-12-31T00:00:00"/>
    <m/>
    <m/>
    <m/>
    <m/>
    <m/>
    <m/>
    <m/>
    <m/>
    <m/>
    <m/>
    <n v="1"/>
    <m/>
    <m/>
    <m/>
    <m/>
    <m/>
    <m/>
    <m/>
    <m/>
    <m/>
    <m/>
    <m/>
    <m/>
    <m/>
    <m/>
    <m/>
    <m/>
    <m/>
    <m/>
    <m/>
    <m/>
    <n v="4"/>
    <m/>
    <m/>
    <m/>
    <m/>
    <m/>
    <m/>
    <x v="1"/>
    <x v="2"/>
    <m/>
    <m/>
    <m/>
    <m/>
    <m/>
    <m/>
    <n v="8"/>
    <m/>
    <m/>
    <m/>
    <m/>
    <m/>
    <m/>
    <m/>
    <m/>
    <s v="Yes"/>
    <m/>
    <m/>
    <m/>
    <m/>
    <m/>
    <m/>
    <m/>
    <m/>
    <m/>
    <m/>
    <m/>
    <m/>
    <m/>
    <m/>
    <s v="no test"/>
    <s v="no test"/>
    <s v="No Test"/>
    <n v="0"/>
    <n v="1"/>
    <n v="0"/>
    <n v="0"/>
    <n v="0"/>
    <n v="0"/>
    <n v="0"/>
    <n v="1"/>
    <n v="1"/>
    <n v="1"/>
    <n v="77"/>
    <n v="0"/>
    <n v="0"/>
    <n v="1"/>
    <n v="77"/>
    <n v="0.154"/>
    <n v="0"/>
    <n v="0"/>
    <n v="0.84599999999999997"/>
    <n v="1"/>
    <n v="4"/>
    <n v="1"/>
    <n v="77"/>
    <n v="0"/>
    <n v="0"/>
    <n v="0"/>
    <n v="4"/>
    <n v="0"/>
    <n v="0"/>
    <n v="0"/>
    <n v="0"/>
    <n v="0"/>
    <n v="0"/>
    <n v="0"/>
    <n v="0"/>
    <n v="0"/>
    <n v="1"/>
    <n v="0"/>
    <n v="0"/>
    <n v="0"/>
    <n v="8"/>
    <n v="19"/>
    <n v="0"/>
    <n v="77"/>
    <s v="No"/>
    <s v=""/>
    <n v="0"/>
    <n v="0"/>
    <n v="0"/>
    <n v="0"/>
    <n v="0"/>
    <n v="0"/>
    <n v="0"/>
    <n v="0"/>
    <x v="0"/>
    <x v="3"/>
    <x v="0"/>
    <n v="23.078210830688501"/>
    <n v="97.411773681640597"/>
    <s v="MMR015CMP074"/>
    <x v="0"/>
    <x v="0"/>
    <n v="19"/>
    <n v="77"/>
  </r>
  <r>
    <x v="0"/>
    <x v="6"/>
    <x v="5"/>
    <s v="UNICEF, USAID"/>
    <x v="1"/>
    <x v="13"/>
    <x v="1"/>
    <x v="90"/>
    <n v="29"/>
    <n v="130"/>
    <d v="2021-11-11T00:00:00"/>
    <d v="2022-12-31T00:00:00"/>
    <m/>
    <n v="1"/>
    <m/>
    <m/>
    <s v="Yes"/>
    <n v="4"/>
    <n v="5"/>
    <m/>
    <m/>
    <m/>
    <m/>
    <m/>
    <m/>
    <m/>
    <n v="13"/>
    <m/>
    <m/>
    <m/>
    <m/>
    <m/>
    <m/>
    <m/>
    <m/>
    <m/>
    <m/>
    <m/>
    <m/>
    <m/>
    <m/>
    <m/>
    <n v="30"/>
    <m/>
    <m/>
    <m/>
    <m/>
    <m/>
    <m/>
    <m/>
    <x v="0"/>
    <x v="0"/>
    <m/>
    <m/>
    <m/>
    <m/>
    <m/>
    <m/>
    <n v="7"/>
    <m/>
    <m/>
    <n v="1"/>
    <m/>
    <m/>
    <n v="1"/>
    <m/>
    <m/>
    <s v="Yes"/>
    <m/>
    <m/>
    <m/>
    <m/>
    <m/>
    <m/>
    <m/>
    <m/>
    <m/>
    <m/>
    <m/>
    <m/>
    <m/>
    <m/>
    <s v="no test"/>
    <s v="no test"/>
    <s v="No Test"/>
    <n v="0"/>
    <n v="0"/>
    <n v="13"/>
    <n v="0"/>
    <n v="0"/>
    <n v="0"/>
    <n v="0"/>
    <n v="1"/>
    <n v="1"/>
    <n v="1"/>
    <n v="130"/>
    <n v="0"/>
    <n v="0"/>
    <n v="1"/>
    <n v="130"/>
    <n v="0.26"/>
    <n v="0"/>
    <n v="0"/>
    <n v="0.74"/>
    <n v="1"/>
    <n v="30"/>
    <n v="1"/>
    <n v="130"/>
    <n v="0"/>
    <n v="0"/>
    <n v="0"/>
    <n v="7"/>
    <n v="0"/>
    <n v="0"/>
    <n v="0"/>
    <n v="130"/>
    <n v="0"/>
    <n v="0"/>
    <n v="0"/>
    <n v="130"/>
    <n v="1"/>
    <n v="0"/>
    <n v="1"/>
    <n v="0"/>
    <n v="0"/>
    <n v="7"/>
    <n v="29"/>
    <n v="0"/>
    <n v="130"/>
    <s v="No"/>
    <s v=""/>
    <n v="0"/>
    <n v="0"/>
    <n v="0"/>
    <n v="0"/>
    <n v="0"/>
    <n v="0"/>
    <s v="Yes"/>
    <s v="KMSS-LSO"/>
    <x v="0"/>
    <x v="1"/>
    <x v="0"/>
    <n v="23.638999999999999"/>
    <n v="97.861999999999995"/>
    <s v="MMR015CMP068"/>
    <x v="0"/>
    <x v="0"/>
    <n v="31"/>
    <n v="134"/>
  </r>
  <r>
    <x v="0"/>
    <x v="6"/>
    <x v="5"/>
    <s v="UNICEF, USAID"/>
    <x v="1"/>
    <x v="13"/>
    <x v="1"/>
    <x v="91"/>
    <n v="40"/>
    <n v="244"/>
    <d v="2021-11-11T00:00:00"/>
    <d v="2022-12-31T00:00:00"/>
    <m/>
    <n v="1"/>
    <m/>
    <m/>
    <s v="Yes"/>
    <n v="3"/>
    <n v="3"/>
    <n v="1"/>
    <m/>
    <m/>
    <n v="1"/>
    <n v="2"/>
    <m/>
    <m/>
    <m/>
    <m/>
    <m/>
    <m/>
    <m/>
    <m/>
    <m/>
    <m/>
    <m/>
    <m/>
    <m/>
    <m/>
    <m/>
    <m/>
    <m/>
    <m/>
    <n v="12"/>
    <m/>
    <m/>
    <m/>
    <m/>
    <m/>
    <m/>
    <m/>
    <x v="0"/>
    <x v="1"/>
    <m/>
    <m/>
    <n v="1"/>
    <m/>
    <m/>
    <m/>
    <n v="7"/>
    <m/>
    <m/>
    <n v="1"/>
    <m/>
    <m/>
    <n v="1"/>
    <m/>
    <m/>
    <s v="Yes"/>
    <m/>
    <m/>
    <m/>
    <m/>
    <m/>
    <m/>
    <m/>
    <m/>
    <m/>
    <m/>
    <m/>
    <m/>
    <m/>
    <m/>
    <s v="no test"/>
    <s v="no test"/>
    <s v="No Test"/>
    <n v="1"/>
    <n v="3"/>
    <n v="0"/>
    <n v="0"/>
    <n v="0"/>
    <n v="0"/>
    <n v="0"/>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n v="0"/>
    <n v="0"/>
    <n v="0"/>
    <s v="Yes"/>
    <s v="KBC-NSS"/>
    <x v="0"/>
    <x v="1"/>
    <x v="0"/>
    <n v="23.450914000000001"/>
    <n v="97.926813999999993"/>
    <s v="MMR015CMP016"/>
    <x v="0"/>
    <x v="0"/>
    <n v="39"/>
    <n v="243"/>
  </r>
  <r>
    <x v="0"/>
    <x v="4"/>
    <x v="3"/>
    <m/>
    <x v="1"/>
    <x v="17"/>
    <x v="1"/>
    <x v="92"/>
    <n v="142"/>
    <n v="504"/>
    <m/>
    <m/>
    <m/>
    <m/>
    <m/>
    <m/>
    <m/>
    <m/>
    <m/>
    <m/>
    <m/>
    <m/>
    <m/>
    <m/>
    <m/>
    <m/>
    <m/>
    <m/>
    <m/>
    <m/>
    <m/>
    <m/>
    <m/>
    <m/>
    <m/>
    <m/>
    <m/>
    <m/>
    <m/>
    <m/>
    <m/>
    <m/>
    <m/>
    <m/>
    <m/>
    <m/>
    <m/>
    <m/>
    <m/>
    <m/>
    <x v="1"/>
    <x v="2"/>
    <m/>
    <m/>
    <m/>
    <m/>
    <m/>
    <m/>
    <m/>
    <m/>
    <m/>
    <m/>
    <m/>
    <m/>
    <m/>
    <m/>
    <m/>
    <m/>
    <m/>
    <m/>
    <m/>
    <m/>
    <m/>
    <m/>
    <m/>
    <m/>
    <m/>
    <m/>
    <m/>
    <m/>
    <m/>
    <m/>
    <s v="no test"/>
    <s v="no test"/>
    <s v="No Test"/>
    <n v="0"/>
    <n v="0"/>
    <n v="0"/>
    <n v="0"/>
    <n v="0"/>
    <n v="0"/>
    <n v="0"/>
    <n v="0"/>
    <n v="0"/>
    <n v="0"/>
    <n v="0"/>
    <n v="0"/>
    <n v="0"/>
    <n v="0"/>
    <n v="0"/>
    <n v="0"/>
    <n v="1"/>
    <n v="504"/>
    <n v="1"/>
    <n v="1"/>
    <n v="0"/>
    <n v="0"/>
    <n v="0"/>
    <n v="0"/>
    <n v="0"/>
    <n v="0"/>
    <n v="25"/>
    <n v="25"/>
    <n v="1"/>
    <n v="0"/>
    <n v="0"/>
    <n v="0"/>
    <n v="0"/>
    <n v="0"/>
    <n v="0"/>
    <n v="0"/>
    <n v="1"/>
    <n v="0"/>
    <n v="0"/>
    <n v="0"/>
    <n v="0"/>
    <n v="0"/>
    <n v="0"/>
    <n v="0"/>
    <s v="No"/>
    <s v=""/>
    <n v="0"/>
    <n v="0"/>
    <n v="0"/>
    <n v="0"/>
    <n v="0"/>
    <n v="0"/>
    <n v="0"/>
    <s v="uncovered"/>
    <x v="0"/>
    <x v="3"/>
    <x v="0"/>
    <n v="22.325900000000001"/>
    <n v="97.021000000000001"/>
    <s v="MMR015CMP075"/>
    <x v="1"/>
    <x v="1"/>
    <n v="941"/>
    <n v="3558"/>
  </r>
  <r>
    <x v="0"/>
    <x v="4"/>
    <x v="3"/>
    <m/>
    <x v="1"/>
    <x v="15"/>
    <x v="3"/>
    <x v="93"/>
    <n v="219"/>
    <n v="653"/>
    <m/>
    <m/>
    <m/>
    <m/>
    <m/>
    <m/>
    <m/>
    <m/>
    <m/>
    <m/>
    <m/>
    <m/>
    <m/>
    <m/>
    <m/>
    <m/>
    <m/>
    <m/>
    <m/>
    <m/>
    <m/>
    <m/>
    <m/>
    <m/>
    <m/>
    <m/>
    <m/>
    <m/>
    <m/>
    <m/>
    <m/>
    <m/>
    <m/>
    <m/>
    <m/>
    <m/>
    <m/>
    <m/>
    <m/>
    <m/>
    <x v="1"/>
    <x v="2"/>
    <m/>
    <m/>
    <m/>
    <m/>
    <m/>
    <m/>
    <m/>
    <m/>
    <m/>
    <m/>
    <m/>
    <m/>
    <m/>
    <m/>
    <m/>
    <m/>
    <m/>
    <m/>
    <m/>
    <m/>
    <m/>
    <m/>
    <m/>
    <m/>
    <m/>
    <m/>
    <m/>
    <m/>
    <m/>
    <m/>
    <s v="no test"/>
    <s v="no test"/>
    <s v="No Test"/>
    <n v="0"/>
    <n v="0"/>
    <n v="0"/>
    <n v="0"/>
    <n v="0"/>
    <n v="0"/>
    <n v="0"/>
    <n v="0"/>
    <n v="0"/>
    <n v="0"/>
    <n v="0"/>
    <n v="0"/>
    <n v="0"/>
    <n v="0"/>
    <n v="0"/>
    <n v="0"/>
    <n v="1"/>
    <n v="653"/>
    <n v="1"/>
    <n v="1"/>
    <n v="0"/>
    <n v="0"/>
    <n v="0"/>
    <n v="0"/>
    <n v="0"/>
    <n v="0"/>
    <n v="109"/>
    <n v="109"/>
    <n v="1"/>
    <n v="0"/>
    <n v="0"/>
    <n v="0"/>
    <n v="0"/>
    <n v="0"/>
    <n v="0"/>
    <n v="0"/>
    <n v="1"/>
    <n v="0"/>
    <n v="0"/>
    <n v="0"/>
    <n v="0"/>
    <n v="0"/>
    <n v="0"/>
    <n v="0"/>
    <s v="No"/>
    <s v=""/>
    <n v="0"/>
    <n v="0"/>
    <n v="0"/>
    <n v="0"/>
    <n v="0"/>
    <n v="0"/>
    <n v="0"/>
    <n v="0"/>
    <x v="1"/>
    <x v="5"/>
    <x v="0"/>
    <n v="23.415991000000002"/>
    <n v="98.471779999999995"/>
    <s v="MMR015CMP073"/>
    <x v="1"/>
    <x v="1"/>
    <n v="219"/>
    <n v="653"/>
  </r>
  <r>
    <x v="0"/>
    <x v="14"/>
    <x v="11"/>
    <s v="UNICEF, USAID, Christan Aid"/>
    <x v="1"/>
    <x v="16"/>
    <x v="1"/>
    <x v="94"/>
    <n v="60"/>
    <n v="270"/>
    <d v="2021-11-11T00:00:00"/>
    <d v="2022-12-31T00:00:00"/>
    <m/>
    <m/>
    <n v="1"/>
    <m/>
    <s v="Yes"/>
    <n v="4"/>
    <n v="3"/>
    <n v="1"/>
    <m/>
    <m/>
    <n v="1"/>
    <n v="1"/>
    <m/>
    <m/>
    <m/>
    <m/>
    <m/>
    <m/>
    <m/>
    <m/>
    <m/>
    <m/>
    <m/>
    <m/>
    <m/>
    <m/>
    <n v="2"/>
    <m/>
    <m/>
    <m/>
    <n v="16"/>
    <m/>
    <m/>
    <m/>
    <m/>
    <m/>
    <m/>
    <m/>
    <x v="0"/>
    <x v="0"/>
    <m/>
    <m/>
    <m/>
    <m/>
    <m/>
    <m/>
    <n v="11"/>
    <m/>
    <m/>
    <n v="2"/>
    <m/>
    <m/>
    <n v="1"/>
    <m/>
    <m/>
    <s v="Yes"/>
    <m/>
    <m/>
    <m/>
    <m/>
    <m/>
    <m/>
    <m/>
    <m/>
    <m/>
    <m/>
    <m/>
    <m/>
    <m/>
    <m/>
    <s v="no test"/>
    <s v="no test"/>
    <s v="No Test"/>
    <n v="1"/>
    <n v="2"/>
    <n v="0"/>
    <n v="0"/>
    <n v="0"/>
    <n v="0"/>
    <n v="0"/>
    <n v="1"/>
    <n v="1"/>
    <n v="1"/>
    <n v="270"/>
    <n v="0"/>
    <n v="0"/>
    <n v="1"/>
    <n v="270"/>
    <n v="0.54"/>
    <n v="0"/>
    <n v="0"/>
    <n v="0.45999999999999996"/>
    <n v="1"/>
    <n v="16"/>
    <n v="1"/>
    <n v="270"/>
    <n v="0"/>
    <n v="0"/>
    <n v="0"/>
    <n v="14"/>
    <n v="0"/>
    <n v="0"/>
    <n v="0"/>
    <n v="270"/>
    <n v="0"/>
    <n v="0"/>
    <n v="0"/>
    <n v="270"/>
    <n v="1"/>
    <n v="0"/>
    <n v="1"/>
    <n v="0"/>
    <n v="0"/>
    <n v="11"/>
    <n v="60"/>
    <n v="2"/>
    <n v="270"/>
    <s v="No"/>
    <s v=""/>
    <n v="0"/>
    <n v="0"/>
    <n v="0"/>
    <n v="0"/>
    <n v="0"/>
    <n v="0"/>
    <s v="Yes"/>
    <s v="KMSS-LSO"/>
    <x v="0"/>
    <x v="1"/>
    <x v="0"/>
    <n v="23.099304"/>
    <n v="97.400671000000003"/>
    <s v="MMR015CMP066"/>
    <x v="0"/>
    <x v="0"/>
    <n v="60"/>
    <n v="272"/>
  </r>
  <r>
    <x v="0"/>
    <x v="6"/>
    <x v="5"/>
    <s v="UNICEF, USAID"/>
    <x v="1"/>
    <x v="13"/>
    <x v="1"/>
    <x v="95"/>
    <n v="74"/>
    <n v="502"/>
    <d v="2021-11-11T00:00:00"/>
    <d v="2022-12-31T00:00:00"/>
    <m/>
    <m/>
    <m/>
    <m/>
    <m/>
    <n v="6"/>
    <n v="3"/>
    <m/>
    <m/>
    <m/>
    <m/>
    <m/>
    <m/>
    <m/>
    <n v="8"/>
    <m/>
    <m/>
    <m/>
    <m/>
    <m/>
    <m/>
    <m/>
    <m/>
    <m/>
    <m/>
    <m/>
    <n v="1"/>
    <n v="2"/>
    <m/>
    <m/>
    <n v="85"/>
    <m/>
    <m/>
    <m/>
    <m/>
    <m/>
    <m/>
    <n v="5"/>
    <x v="0"/>
    <x v="3"/>
    <m/>
    <m/>
    <m/>
    <m/>
    <m/>
    <m/>
    <n v="2"/>
    <m/>
    <m/>
    <n v="1"/>
    <m/>
    <n v="1"/>
    <m/>
    <m/>
    <m/>
    <s v="Yes"/>
    <m/>
    <m/>
    <m/>
    <m/>
    <m/>
    <m/>
    <m/>
    <m/>
    <m/>
    <m/>
    <m/>
    <m/>
    <m/>
    <m/>
    <s v="no test"/>
    <s v="no test"/>
    <s v="No Test"/>
    <n v="0"/>
    <n v="0"/>
    <n v="8"/>
    <n v="0"/>
    <n v="0"/>
    <n v="502"/>
    <n v="0"/>
    <n v="1"/>
    <n v="1"/>
    <n v="1"/>
    <n v="502"/>
    <n v="0"/>
    <n v="0"/>
    <n v="1"/>
    <n v="502"/>
    <n v="1.004"/>
    <n v="0"/>
    <n v="0"/>
    <n v="0"/>
    <n v="1"/>
    <n v="85"/>
    <n v="1"/>
    <n v="502"/>
    <n v="0"/>
    <n v="0"/>
    <n v="0"/>
    <n v="25"/>
    <n v="0"/>
    <n v="0"/>
    <n v="0"/>
    <n v="500"/>
    <n v="0"/>
    <n v="0"/>
    <n v="0"/>
    <n v="500"/>
    <n v="0.99601593625498008"/>
    <n v="3.9840637450199168E-3"/>
    <n v="0.99601593625498008"/>
    <n v="0"/>
    <n v="0"/>
    <n v="2"/>
    <n v="40"/>
    <n v="1"/>
    <n v="200"/>
    <s v="No"/>
    <s v=""/>
    <n v="0"/>
    <n v="0"/>
    <n v="0"/>
    <n v="0"/>
    <n v="502"/>
    <n v="0"/>
    <s v="Yes"/>
    <s v="KMSS-LSO"/>
    <x v="0"/>
    <x v="1"/>
    <x v="0"/>
    <n v="23.591999999999999"/>
    <n v="97.796999999999997"/>
    <s v="MMR015CMP038"/>
    <x v="0"/>
    <x v="0"/>
    <n v="75"/>
    <n v="395"/>
  </r>
  <r>
    <x v="0"/>
    <x v="15"/>
    <x v="12"/>
    <s v="Luxemburg MoFA"/>
    <x v="1"/>
    <x v="18"/>
    <x v="1"/>
    <x v="96"/>
    <n v="11"/>
    <n v="37"/>
    <d v="2022-08-01T00:00:00"/>
    <d v="2023-04-30T00:00:00"/>
    <m/>
    <m/>
    <m/>
    <m/>
    <m/>
    <m/>
    <m/>
    <m/>
    <m/>
    <m/>
    <m/>
    <m/>
    <m/>
    <m/>
    <n v="1"/>
    <m/>
    <m/>
    <m/>
    <m/>
    <m/>
    <n v="26"/>
    <m/>
    <m/>
    <m/>
    <m/>
    <m/>
    <m/>
    <m/>
    <m/>
    <m/>
    <m/>
    <m/>
    <m/>
    <m/>
    <m/>
    <m/>
    <m/>
    <m/>
    <x v="2"/>
    <x v="1"/>
    <m/>
    <m/>
    <m/>
    <m/>
    <m/>
    <m/>
    <m/>
    <m/>
    <m/>
    <m/>
    <m/>
    <m/>
    <m/>
    <m/>
    <m/>
    <m/>
    <m/>
    <m/>
    <m/>
    <m/>
    <m/>
    <m/>
    <m/>
    <m/>
    <m/>
    <m/>
    <m/>
    <m/>
    <m/>
    <m/>
    <s v="no test"/>
    <s v="no test"/>
    <s v="No Test"/>
    <n v="0"/>
    <n v="0"/>
    <n v="1"/>
    <n v="0"/>
    <n v="0"/>
    <n v="0"/>
    <n v="0"/>
    <n v="1"/>
    <n v="1"/>
    <n v="1"/>
    <n v="37"/>
    <n v="0"/>
    <n v="0"/>
    <n v="1"/>
    <n v="37"/>
    <n v="7.3999999999999996E-2"/>
    <n v="0"/>
    <n v="0"/>
    <n v="0.92600000000000005"/>
    <n v="1"/>
    <n v="0"/>
    <n v="0"/>
    <n v="0"/>
    <n v="0"/>
    <n v="0"/>
    <n v="0"/>
    <n v="2"/>
    <n v="2"/>
    <n v="1"/>
    <n v="0"/>
    <n v="0"/>
    <n v="0"/>
    <n v="0"/>
    <n v="0"/>
    <n v="0"/>
    <n v="0"/>
    <n v="1"/>
    <n v="0"/>
    <n v="0"/>
    <n v="0"/>
    <n v="0"/>
    <n v="0"/>
    <n v="0"/>
    <n v="0"/>
    <s v="No"/>
    <s v=""/>
    <n v="0"/>
    <n v="0"/>
    <n v="0"/>
    <n v="0"/>
    <n v="0"/>
    <n v="0"/>
    <n v="0"/>
    <s v="uncovered"/>
    <x v="0"/>
    <x v="0"/>
    <x v="0"/>
    <n v="0"/>
    <s v="not available"/>
    <s v="MMR015CMP089"/>
    <x v="0"/>
    <x v="0"/>
    <n v="11"/>
    <n v="32"/>
  </r>
  <r>
    <x v="0"/>
    <x v="6"/>
    <x v="5"/>
    <s v="UNICEF"/>
    <x v="1"/>
    <x v="17"/>
    <x v="1"/>
    <x v="97"/>
    <n v="11"/>
    <n v="40"/>
    <d v="2021-11-11T00:00:00"/>
    <d v="2022-11-10T00:00:00"/>
    <m/>
    <m/>
    <m/>
    <m/>
    <m/>
    <m/>
    <m/>
    <m/>
    <m/>
    <m/>
    <m/>
    <m/>
    <m/>
    <m/>
    <m/>
    <m/>
    <m/>
    <m/>
    <m/>
    <m/>
    <m/>
    <m/>
    <m/>
    <m/>
    <m/>
    <m/>
    <m/>
    <m/>
    <m/>
    <m/>
    <m/>
    <n v="3"/>
    <m/>
    <m/>
    <m/>
    <m/>
    <m/>
    <m/>
    <x v="1"/>
    <x v="2"/>
    <m/>
    <m/>
    <m/>
    <m/>
    <m/>
    <m/>
    <m/>
    <m/>
    <m/>
    <m/>
    <m/>
    <m/>
    <m/>
    <m/>
    <m/>
    <s v="Yes"/>
    <m/>
    <m/>
    <m/>
    <m/>
    <m/>
    <m/>
    <m/>
    <m/>
    <m/>
    <m/>
    <m/>
    <m/>
    <m/>
    <m/>
    <s v="no test"/>
    <s v="no test"/>
    <s v="No Test"/>
    <n v="0"/>
    <n v="0"/>
    <n v="0"/>
    <n v="0"/>
    <n v="0"/>
    <n v="0"/>
    <n v="0"/>
    <n v="0"/>
    <n v="0"/>
    <n v="0"/>
    <n v="0"/>
    <n v="0"/>
    <n v="0"/>
    <n v="0"/>
    <n v="0"/>
    <n v="0"/>
    <n v="1"/>
    <n v="40"/>
    <n v="1"/>
    <n v="1"/>
    <n v="3"/>
    <n v="1"/>
    <n v="40"/>
    <n v="0"/>
    <n v="0"/>
    <n v="0"/>
    <n v="2"/>
    <n v="0"/>
    <n v="0"/>
    <n v="0"/>
    <n v="0"/>
    <n v="0"/>
    <n v="0"/>
    <n v="0"/>
    <n v="0"/>
    <n v="0"/>
    <n v="1"/>
    <n v="0"/>
    <n v="0"/>
    <n v="0"/>
    <n v="0"/>
    <n v="0"/>
    <n v="0"/>
    <n v="0"/>
    <s v="No"/>
    <s v=""/>
    <n v="0"/>
    <n v="0"/>
    <n v="0"/>
    <n v="0"/>
    <n v="0"/>
    <n v="0"/>
    <n v="0"/>
    <n v="0"/>
    <x v="0"/>
    <x v="0"/>
    <x v="0"/>
    <n v="0"/>
    <n v="0"/>
    <s v="MMR015CMP077"/>
    <x v="0"/>
    <x v="0"/>
    <n v="7"/>
    <n v="25"/>
  </r>
  <r>
    <x v="0"/>
    <x v="6"/>
    <x v="5"/>
    <s v="UNICEF, USAID"/>
    <x v="1"/>
    <x v="19"/>
    <x v="1"/>
    <x v="98"/>
    <n v="28"/>
    <n v="125"/>
    <d v="2021-11-11T00:00:00"/>
    <d v="2022-12-31T00:00:00"/>
    <m/>
    <m/>
    <n v="1"/>
    <m/>
    <s v="Yes"/>
    <m/>
    <m/>
    <m/>
    <m/>
    <m/>
    <n v="1"/>
    <n v="1"/>
    <m/>
    <m/>
    <n v="1"/>
    <m/>
    <m/>
    <m/>
    <m/>
    <m/>
    <m/>
    <m/>
    <m/>
    <m/>
    <m/>
    <m/>
    <m/>
    <m/>
    <m/>
    <m/>
    <n v="18"/>
    <m/>
    <m/>
    <m/>
    <m/>
    <m/>
    <m/>
    <m/>
    <x v="0"/>
    <x v="0"/>
    <m/>
    <m/>
    <m/>
    <m/>
    <m/>
    <m/>
    <n v="7"/>
    <m/>
    <m/>
    <n v="5"/>
    <m/>
    <m/>
    <n v="1"/>
    <m/>
    <m/>
    <s v="Yes"/>
    <m/>
    <m/>
    <m/>
    <m/>
    <m/>
    <m/>
    <m/>
    <m/>
    <m/>
    <m/>
    <m/>
    <m/>
    <m/>
    <m/>
    <s v="no test"/>
    <s v="no test"/>
    <s v="No Test"/>
    <n v="0"/>
    <n v="2"/>
    <n v="1"/>
    <n v="0"/>
    <n v="0"/>
    <n v="0"/>
    <n v="0"/>
    <n v="1"/>
    <n v="1"/>
    <n v="1"/>
    <n v="125"/>
    <n v="0"/>
    <n v="0"/>
    <n v="1"/>
    <n v="125"/>
    <n v="0.25"/>
    <n v="0"/>
    <n v="0"/>
    <n v="0.75"/>
    <n v="1"/>
    <n v="18"/>
    <n v="1"/>
    <n v="125"/>
    <n v="0"/>
    <n v="0"/>
    <n v="0"/>
    <n v="6"/>
    <n v="0"/>
    <n v="0"/>
    <n v="0"/>
    <n v="125"/>
    <n v="0"/>
    <n v="0"/>
    <n v="0"/>
    <n v="125"/>
    <n v="1"/>
    <n v="0"/>
    <n v="1"/>
    <n v="0"/>
    <n v="0"/>
    <n v="7"/>
    <n v="28"/>
    <n v="0"/>
    <n v="125"/>
    <s v="No"/>
    <s v=""/>
    <n v="0"/>
    <n v="0"/>
    <n v="0"/>
    <n v="0"/>
    <n v="0"/>
    <n v="0"/>
    <s v="Yes"/>
    <s v="KBC-NSS"/>
    <x v="0"/>
    <x v="6"/>
    <x v="0"/>
    <n v="23.250678000000001"/>
    <n v="97.124403000000001"/>
    <s v="MMR015CMP009"/>
    <x v="0"/>
    <x v="0"/>
    <n v="0"/>
    <n v="0"/>
  </r>
  <r>
    <x v="0"/>
    <x v="6"/>
    <x v="5"/>
    <s v="UNICEF, USAID"/>
    <x v="1"/>
    <x v="13"/>
    <x v="1"/>
    <x v="99"/>
    <n v="26"/>
    <n v="104"/>
    <d v="2021-11-11T00:00:00"/>
    <d v="2022-12-31T00:00:00"/>
    <m/>
    <m/>
    <m/>
    <m/>
    <m/>
    <m/>
    <m/>
    <m/>
    <m/>
    <m/>
    <m/>
    <n v="1"/>
    <m/>
    <m/>
    <m/>
    <m/>
    <m/>
    <m/>
    <m/>
    <m/>
    <m/>
    <m/>
    <m/>
    <m/>
    <m/>
    <m/>
    <m/>
    <m/>
    <m/>
    <m/>
    <n v="4"/>
    <m/>
    <m/>
    <m/>
    <m/>
    <m/>
    <m/>
    <m/>
    <x v="1"/>
    <x v="2"/>
    <m/>
    <m/>
    <m/>
    <m/>
    <m/>
    <m/>
    <n v="8"/>
    <m/>
    <m/>
    <n v="3"/>
    <m/>
    <m/>
    <m/>
    <m/>
    <m/>
    <s v="Yes"/>
    <m/>
    <m/>
    <m/>
    <m/>
    <m/>
    <m/>
    <m/>
    <m/>
    <m/>
    <m/>
    <m/>
    <m/>
    <m/>
    <m/>
    <s v="no test"/>
    <s v="no test"/>
    <s v="No Test"/>
    <n v="0"/>
    <n v="1"/>
    <n v="0"/>
    <n v="0"/>
    <n v="0"/>
    <n v="0"/>
    <n v="0"/>
    <n v="1"/>
    <n v="1"/>
    <n v="1"/>
    <n v="104"/>
    <n v="0"/>
    <n v="0"/>
    <n v="1"/>
    <n v="104"/>
    <n v="0.20799999999999999"/>
    <n v="0"/>
    <n v="0"/>
    <n v="0.79200000000000004"/>
    <n v="1"/>
    <n v="4"/>
    <n v="0.76923076923076927"/>
    <n v="80"/>
    <n v="0"/>
    <n v="0"/>
    <n v="0"/>
    <n v="5"/>
    <n v="1"/>
    <n v="0.23076923076923073"/>
    <n v="0"/>
    <n v="0"/>
    <n v="0"/>
    <n v="0"/>
    <n v="0"/>
    <n v="0"/>
    <n v="0"/>
    <n v="1"/>
    <n v="0"/>
    <n v="0"/>
    <n v="0"/>
    <n v="8"/>
    <n v="26"/>
    <n v="0"/>
    <n v="104"/>
    <s v="No"/>
    <s v=""/>
    <n v="0"/>
    <n v="0"/>
    <n v="0"/>
    <n v="0"/>
    <n v="0"/>
    <n v="0"/>
    <n v="0"/>
    <s v="uncovered"/>
    <x v="0"/>
    <x v="0"/>
    <x v="0"/>
    <n v="23.621317999999999"/>
    <n v="97.795981999999995"/>
    <s v="MMR015CMP064"/>
    <x v="0"/>
    <x v="0"/>
    <n v="24"/>
    <n v="84"/>
  </r>
  <r>
    <x v="0"/>
    <x v="6"/>
    <x v="5"/>
    <s v="UNICEF"/>
    <x v="1"/>
    <x v="17"/>
    <x v="1"/>
    <x v="100"/>
    <n v="9"/>
    <n v="28"/>
    <d v="2021-11-11T00:00:00"/>
    <d v="2022-11-10T00:00:00"/>
    <m/>
    <m/>
    <m/>
    <m/>
    <m/>
    <m/>
    <m/>
    <m/>
    <m/>
    <m/>
    <m/>
    <m/>
    <m/>
    <m/>
    <m/>
    <m/>
    <m/>
    <m/>
    <m/>
    <m/>
    <m/>
    <m/>
    <m/>
    <m/>
    <m/>
    <m/>
    <m/>
    <m/>
    <m/>
    <m/>
    <m/>
    <n v="6"/>
    <m/>
    <m/>
    <m/>
    <m/>
    <m/>
    <m/>
    <x v="1"/>
    <x v="2"/>
    <m/>
    <m/>
    <m/>
    <m/>
    <m/>
    <m/>
    <m/>
    <m/>
    <m/>
    <m/>
    <m/>
    <m/>
    <m/>
    <m/>
    <m/>
    <s v="Yes"/>
    <m/>
    <m/>
    <m/>
    <m/>
    <m/>
    <m/>
    <m/>
    <m/>
    <m/>
    <m/>
    <m/>
    <m/>
    <m/>
    <m/>
    <s v="no test"/>
    <s v="no test"/>
    <s v="No Test"/>
    <n v="0"/>
    <n v="0"/>
    <n v="0"/>
    <n v="0"/>
    <n v="0"/>
    <n v="0"/>
    <n v="0"/>
    <n v="0"/>
    <n v="0"/>
    <n v="0"/>
    <n v="0"/>
    <n v="0"/>
    <n v="0"/>
    <n v="0"/>
    <n v="0"/>
    <n v="0"/>
    <n v="1"/>
    <n v="28"/>
    <n v="1"/>
    <n v="1"/>
    <n v="6"/>
    <n v="1"/>
    <n v="28"/>
    <n v="0"/>
    <n v="0"/>
    <n v="0"/>
    <n v="1"/>
    <n v="0"/>
    <n v="0"/>
    <n v="0"/>
    <n v="0"/>
    <n v="0"/>
    <n v="0"/>
    <n v="0"/>
    <n v="0"/>
    <n v="0"/>
    <n v="1"/>
    <n v="0"/>
    <n v="0"/>
    <n v="0"/>
    <n v="0"/>
    <n v="0"/>
    <n v="0"/>
    <n v="0"/>
    <s v="No"/>
    <s v=""/>
    <n v="0"/>
    <n v="0"/>
    <n v="0"/>
    <n v="0"/>
    <n v="0"/>
    <n v="0"/>
    <n v="0"/>
    <n v="0"/>
    <x v="0"/>
    <x v="0"/>
    <x v="0"/>
    <n v="0"/>
    <n v="0"/>
    <s v="MMR015CMP078"/>
    <x v="0"/>
    <x v="0"/>
    <n v="9"/>
    <n v="28"/>
  </r>
  <r>
    <x v="0"/>
    <x v="16"/>
    <x v="13"/>
    <s v="UNICEF, USAID"/>
    <x v="1"/>
    <x v="20"/>
    <x v="1"/>
    <x v="101"/>
    <n v="85"/>
    <n v="396"/>
    <s v="11-11-2021, 07-01-2020"/>
    <s v="12-31-2022, 28-2-2022"/>
    <m/>
    <n v="2"/>
    <m/>
    <m/>
    <s v="Yes"/>
    <n v="7"/>
    <n v="9"/>
    <m/>
    <m/>
    <m/>
    <m/>
    <n v="1"/>
    <m/>
    <m/>
    <n v="1"/>
    <m/>
    <m/>
    <m/>
    <m/>
    <m/>
    <m/>
    <n v="2"/>
    <m/>
    <m/>
    <m/>
    <m/>
    <n v="8"/>
    <m/>
    <m/>
    <m/>
    <n v="14"/>
    <n v="6"/>
    <m/>
    <m/>
    <m/>
    <m/>
    <m/>
    <n v="14"/>
    <x v="0"/>
    <x v="0"/>
    <m/>
    <m/>
    <m/>
    <m/>
    <m/>
    <m/>
    <n v="8"/>
    <m/>
    <m/>
    <n v="2"/>
    <m/>
    <n v="1"/>
    <n v="1"/>
    <m/>
    <m/>
    <s v="Yes"/>
    <m/>
    <m/>
    <m/>
    <m/>
    <m/>
    <m/>
    <m/>
    <m/>
    <m/>
    <m/>
    <m/>
    <m/>
    <m/>
    <m/>
    <s v="no test"/>
    <s v="no test"/>
    <s v="No Test"/>
    <n v="0"/>
    <n v="1"/>
    <n v="1"/>
    <n v="0"/>
    <n v="0"/>
    <n v="0"/>
    <n v="0"/>
    <n v="1"/>
    <n v="0.79966329966329974"/>
    <n v="1"/>
    <n v="396"/>
    <n v="0"/>
    <n v="0"/>
    <n v="1"/>
    <n v="396"/>
    <n v="0.79200000000000004"/>
    <n v="0"/>
    <n v="0"/>
    <n v="0.20799999999999996"/>
    <n v="1"/>
    <n v="20"/>
    <n v="1"/>
    <n v="396"/>
    <n v="0"/>
    <n v="0"/>
    <n v="0"/>
    <n v="20"/>
    <n v="0"/>
    <n v="0"/>
    <n v="0"/>
    <n v="396"/>
    <n v="0"/>
    <n v="0"/>
    <n v="0"/>
    <n v="396"/>
    <n v="1"/>
    <n v="0"/>
    <n v="1"/>
    <n v="0"/>
    <n v="0"/>
    <n v="8"/>
    <n v="85"/>
    <n v="8"/>
    <n v="396"/>
    <s v="No"/>
    <s v=""/>
    <n v="0"/>
    <n v="0"/>
    <n v="0"/>
    <n v="0"/>
    <n v="0"/>
    <n v="0"/>
    <s v="Yes"/>
    <s v="KBC-NSS"/>
    <x v="0"/>
    <x v="1"/>
    <x v="0"/>
    <n v="23.821380000000001"/>
    <n v="97.681970000000007"/>
    <s v="MMR015CMP004"/>
    <x v="0"/>
    <x v="0"/>
    <n v="89"/>
    <n v="405"/>
  </r>
  <r>
    <x v="0"/>
    <x v="6"/>
    <x v="5"/>
    <s v="UNICEF, USAID"/>
    <x v="1"/>
    <x v="20"/>
    <x v="1"/>
    <x v="102"/>
    <n v="64"/>
    <n v="323"/>
    <d v="2021-11-11T00:00:00"/>
    <d v="2022-12-31T00:00:00"/>
    <m/>
    <n v="1"/>
    <n v="1"/>
    <m/>
    <s v="Yes"/>
    <m/>
    <m/>
    <m/>
    <m/>
    <m/>
    <m/>
    <n v="1"/>
    <m/>
    <m/>
    <m/>
    <m/>
    <m/>
    <m/>
    <m/>
    <m/>
    <m/>
    <m/>
    <m/>
    <m/>
    <m/>
    <m/>
    <m/>
    <m/>
    <m/>
    <m/>
    <n v="10"/>
    <m/>
    <m/>
    <m/>
    <m/>
    <m/>
    <m/>
    <m/>
    <x v="1"/>
    <x v="2"/>
    <m/>
    <m/>
    <m/>
    <m/>
    <m/>
    <m/>
    <n v="7"/>
    <m/>
    <m/>
    <n v="7"/>
    <m/>
    <m/>
    <m/>
    <m/>
    <m/>
    <s v="Yes"/>
    <m/>
    <m/>
    <m/>
    <m/>
    <m/>
    <m/>
    <m/>
    <m/>
    <m/>
    <m/>
    <m/>
    <m/>
    <m/>
    <m/>
    <s v="no test"/>
    <s v="no test"/>
    <s v="No Test"/>
    <n v="0"/>
    <n v="1"/>
    <n v="0"/>
    <n v="0"/>
    <n v="0"/>
    <n v="0"/>
    <n v="0"/>
    <n v="1"/>
    <n v="0.77399380804953566"/>
    <n v="1"/>
    <n v="323"/>
    <n v="0"/>
    <n v="0"/>
    <n v="1"/>
    <n v="323"/>
    <n v="0.64600000000000002"/>
    <n v="0"/>
    <n v="0"/>
    <n v="0.35399999999999998"/>
    <n v="1"/>
    <n v="10"/>
    <n v="0.61919504643962853"/>
    <n v="200"/>
    <n v="0"/>
    <n v="0"/>
    <n v="0"/>
    <n v="16"/>
    <n v="6"/>
    <n v="0.38080495356037147"/>
    <n v="0"/>
    <n v="0"/>
    <n v="0"/>
    <n v="0"/>
    <n v="0"/>
    <n v="0"/>
    <n v="0"/>
    <n v="1"/>
    <n v="0"/>
    <n v="0"/>
    <n v="0"/>
    <n v="7"/>
    <n v="64"/>
    <n v="0"/>
    <n v="323"/>
    <s v="No"/>
    <s v=""/>
    <n v="0"/>
    <n v="0"/>
    <n v="0"/>
    <n v="0"/>
    <n v="0"/>
    <n v="0"/>
    <s v="Yes"/>
    <s v="KBC-NSS"/>
    <x v="0"/>
    <x v="1"/>
    <x v="0"/>
    <n v="23.828520000000001"/>
    <n v="97.669557999999995"/>
    <s v="MMR015CMP001"/>
    <x v="0"/>
    <x v="0"/>
    <n v="72"/>
    <n v="355"/>
  </r>
  <r>
    <x v="0"/>
    <x v="6"/>
    <x v="5"/>
    <s v="UNICEF, USAID"/>
    <x v="1"/>
    <x v="13"/>
    <x v="1"/>
    <x v="103"/>
    <n v="54"/>
    <n v="250"/>
    <d v="2021-11-11T00:00:00"/>
    <d v="2022-12-31T00:00:00"/>
    <m/>
    <n v="1"/>
    <m/>
    <m/>
    <s v="Yes"/>
    <n v="5"/>
    <n v="4"/>
    <m/>
    <m/>
    <m/>
    <m/>
    <m/>
    <m/>
    <m/>
    <n v="12"/>
    <m/>
    <m/>
    <m/>
    <m/>
    <m/>
    <m/>
    <n v="1"/>
    <m/>
    <m/>
    <m/>
    <m/>
    <m/>
    <m/>
    <m/>
    <m/>
    <n v="18"/>
    <m/>
    <m/>
    <m/>
    <m/>
    <m/>
    <m/>
    <m/>
    <x v="0"/>
    <x v="0"/>
    <m/>
    <m/>
    <m/>
    <m/>
    <m/>
    <m/>
    <n v="6"/>
    <m/>
    <m/>
    <n v="1"/>
    <m/>
    <m/>
    <n v="2"/>
    <m/>
    <m/>
    <s v="Yes"/>
    <m/>
    <m/>
    <m/>
    <m/>
    <m/>
    <m/>
    <m/>
    <m/>
    <m/>
    <m/>
    <m/>
    <m/>
    <m/>
    <m/>
    <s v="no test"/>
    <s v="no test"/>
    <s v="No Test"/>
    <n v="0"/>
    <n v="0"/>
    <n v="12"/>
    <n v="0"/>
    <n v="0"/>
    <n v="0"/>
    <n v="0"/>
    <n v="1"/>
    <n v="1"/>
    <n v="1"/>
    <n v="250"/>
    <n v="0"/>
    <n v="0"/>
    <n v="1"/>
    <n v="250"/>
    <n v="0.5"/>
    <n v="0"/>
    <n v="0"/>
    <n v="0.5"/>
    <n v="1"/>
    <n v="18"/>
    <n v="1"/>
    <n v="250"/>
    <n v="0"/>
    <n v="0"/>
    <n v="0"/>
    <n v="13"/>
    <n v="0"/>
    <n v="0"/>
    <n v="0"/>
    <n v="250"/>
    <n v="0"/>
    <n v="0"/>
    <n v="0"/>
    <n v="250"/>
    <n v="1"/>
    <n v="0"/>
    <n v="1"/>
    <n v="0"/>
    <n v="0"/>
    <n v="6"/>
    <n v="54"/>
    <n v="0"/>
    <n v="250"/>
    <s v="No"/>
    <s v=""/>
    <n v="0"/>
    <n v="0"/>
    <n v="0"/>
    <n v="0"/>
    <n v="0"/>
    <n v="0"/>
    <s v="Yes"/>
    <s v="KBC-NSS"/>
    <x v="0"/>
    <x v="1"/>
    <x v="0"/>
    <n v="23.694130000000001"/>
    <n v="97.818979999999996"/>
    <s v="MMR015CMP007"/>
    <x v="0"/>
    <x v="0"/>
    <n v="57"/>
    <n v="300"/>
  </r>
  <r>
    <x v="0"/>
    <x v="6"/>
    <x v="5"/>
    <s v="UNICEF, USAID"/>
    <x v="1"/>
    <x v="21"/>
    <x v="1"/>
    <x v="104"/>
    <n v="40"/>
    <n v="206"/>
    <d v="2021-11-11T00:00:00"/>
    <d v="2022-12-31T00:00:00"/>
    <m/>
    <m/>
    <n v="1"/>
    <m/>
    <s v="Yes"/>
    <m/>
    <n v="5"/>
    <n v="4"/>
    <m/>
    <m/>
    <n v="1"/>
    <m/>
    <m/>
    <m/>
    <m/>
    <m/>
    <m/>
    <m/>
    <m/>
    <m/>
    <m/>
    <m/>
    <m/>
    <m/>
    <m/>
    <m/>
    <m/>
    <m/>
    <m/>
    <m/>
    <n v="6"/>
    <n v="10"/>
    <m/>
    <m/>
    <m/>
    <m/>
    <m/>
    <m/>
    <x v="0"/>
    <x v="0"/>
    <m/>
    <m/>
    <m/>
    <m/>
    <m/>
    <m/>
    <m/>
    <m/>
    <m/>
    <n v="2"/>
    <m/>
    <m/>
    <n v="1"/>
    <m/>
    <m/>
    <s v="Yes"/>
    <m/>
    <m/>
    <m/>
    <m/>
    <m/>
    <m/>
    <m/>
    <m/>
    <m/>
    <m/>
    <m/>
    <m/>
    <m/>
    <m/>
    <s v="no test"/>
    <s v="no test"/>
    <s v="No Test"/>
    <n v="4"/>
    <n v="1"/>
    <n v="0"/>
    <n v="0"/>
    <n v="0"/>
    <n v="0"/>
    <n v="0"/>
    <n v="1"/>
    <n v="1"/>
    <n v="1"/>
    <n v="206"/>
    <n v="0"/>
    <n v="0"/>
    <n v="1"/>
    <n v="206"/>
    <n v="0.41199999999999998"/>
    <n v="0"/>
    <n v="0"/>
    <n v="0.58800000000000008"/>
    <n v="1"/>
    <n v="16"/>
    <n v="1"/>
    <n v="206"/>
    <n v="0"/>
    <n v="0"/>
    <n v="0"/>
    <n v="10"/>
    <n v="0"/>
    <n v="0"/>
    <n v="0"/>
    <n v="206"/>
    <n v="0"/>
    <n v="0"/>
    <n v="0"/>
    <n v="206"/>
    <n v="1"/>
    <n v="0"/>
    <n v="1"/>
    <n v="0"/>
    <n v="0"/>
    <n v="0"/>
    <n v="0"/>
    <n v="0"/>
    <n v="0"/>
    <s v="No"/>
    <s v=""/>
    <n v="0"/>
    <n v="0"/>
    <n v="0"/>
    <n v="0"/>
    <n v="0"/>
    <n v="0"/>
    <s v="Yes"/>
    <s v="KBC-NSS"/>
    <x v="0"/>
    <x v="1"/>
    <x v="0"/>
    <n v="23.354268999999999"/>
    <n v="98.218626999999998"/>
    <s v="MMR015CMP036"/>
    <x v="0"/>
    <x v="0"/>
    <n v="33"/>
    <n v="158"/>
  </r>
  <r>
    <x v="0"/>
    <x v="6"/>
    <x v="5"/>
    <s v="UNICEF"/>
    <x v="1"/>
    <x v="17"/>
    <x v="1"/>
    <x v="105"/>
    <n v="14"/>
    <n v="31"/>
    <d v="2021-11-11T00:00:00"/>
    <d v="2022-11-10T00:00:00"/>
    <m/>
    <m/>
    <m/>
    <m/>
    <m/>
    <m/>
    <m/>
    <m/>
    <m/>
    <m/>
    <m/>
    <m/>
    <m/>
    <m/>
    <m/>
    <m/>
    <m/>
    <m/>
    <m/>
    <m/>
    <m/>
    <m/>
    <m/>
    <m/>
    <m/>
    <m/>
    <m/>
    <m/>
    <m/>
    <m/>
    <m/>
    <n v="4"/>
    <m/>
    <m/>
    <m/>
    <m/>
    <m/>
    <m/>
    <x v="1"/>
    <x v="2"/>
    <m/>
    <m/>
    <m/>
    <m/>
    <m/>
    <m/>
    <m/>
    <m/>
    <m/>
    <m/>
    <m/>
    <m/>
    <m/>
    <m/>
    <m/>
    <s v="Yes"/>
    <m/>
    <m/>
    <m/>
    <m/>
    <m/>
    <m/>
    <m/>
    <m/>
    <m/>
    <m/>
    <m/>
    <m/>
    <m/>
    <m/>
    <s v="no test"/>
    <s v="no test"/>
    <s v="No Test"/>
    <n v="0"/>
    <n v="0"/>
    <n v="0"/>
    <n v="0"/>
    <n v="0"/>
    <n v="0"/>
    <n v="0"/>
    <n v="0"/>
    <n v="0"/>
    <n v="0"/>
    <n v="0"/>
    <n v="0"/>
    <n v="0"/>
    <n v="0"/>
    <n v="0"/>
    <n v="0"/>
    <n v="1"/>
    <n v="31"/>
    <n v="1"/>
    <n v="1"/>
    <n v="4"/>
    <n v="1"/>
    <n v="31"/>
    <n v="0"/>
    <n v="0"/>
    <n v="0"/>
    <n v="2"/>
    <n v="0"/>
    <n v="0"/>
    <n v="0"/>
    <n v="0"/>
    <n v="0"/>
    <n v="0"/>
    <n v="0"/>
    <n v="0"/>
    <n v="0"/>
    <n v="1"/>
    <n v="0"/>
    <n v="0"/>
    <n v="0"/>
    <n v="0"/>
    <n v="0"/>
    <n v="0"/>
    <n v="0"/>
    <s v="No"/>
    <s v=""/>
    <n v="0"/>
    <n v="0"/>
    <n v="0"/>
    <n v="0"/>
    <n v="0"/>
    <n v="0"/>
    <n v="0"/>
    <n v="0"/>
    <x v="0"/>
    <x v="0"/>
    <x v="0"/>
    <n v="0"/>
    <n v="0"/>
    <s v="MMR015CMP079"/>
    <x v="0"/>
    <x v="0"/>
    <n v="14"/>
    <n v="31"/>
  </r>
  <r>
    <x v="0"/>
    <x v="6"/>
    <x v="5"/>
    <s v="UNICEF, USAID"/>
    <x v="1"/>
    <x v="13"/>
    <x v="1"/>
    <x v="106"/>
    <n v="35"/>
    <n v="158"/>
    <d v="2021-11-11T00:00:00"/>
    <d v="2022-12-31T00:00:00"/>
    <m/>
    <n v="1"/>
    <m/>
    <m/>
    <s v="Yes"/>
    <n v="5"/>
    <n v="4"/>
    <m/>
    <m/>
    <m/>
    <n v="2"/>
    <m/>
    <m/>
    <m/>
    <m/>
    <m/>
    <m/>
    <m/>
    <m/>
    <m/>
    <m/>
    <n v="1"/>
    <m/>
    <m/>
    <m/>
    <m/>
    <m/>
    <m/>
    <m/>
    <m/>
    <n v="8"/>
    <m/>
    <m/>
    <m/>
    <m/>
    <m/>
    <m/>
    <m/>
    <x v="0"/>
    <x v="1"/>
    <m/>
    <m/>
    <m/>
    <m/>
    <m/>
    <m/>
    <n v="4"/>
    <m/>
    <m/>
    <n v="1"/>
    <m/>
    <m/>
    <n v="2"/>
    <m/>
    <m/>
    <s v="Yes"/>
    <m/>
    <m/>
    <m/>
    <m/>
    <m/>
    <m/>
    <m/>
    <m/>
    <m/>
    <m/>
    <m/>
    <m/>
    <m/>
    <m/>
    <s v="no test"/>
    <s v="no test"/>
    <s v="No Test"/>
    <n v="0"/>
    <n v="2"/>
    <n v="0"/>
    <n v="0"/>
    <n v="0"/>
    <n v="0"/>
    <n v="0"/>
    <n v="1"/>
    <n v="1"/>
    <n v="1"/>
    <n v="158"/>
    <n v="0"/>
    <n v="0"/>
    <n v="1"/>
    <n v="158"/>
    <n v="0.316"/>
    <n v="0"/>
    <n v="0"/>
    <n v="0.68399999999999994"/>
    <n v="1"/>
    <n v="8"/>
    <n v="1"/>
    <n v="158"/>
    <n v="0"/>
    <n v="0"/>
    <n v="0"/>
    <n v="8"/>
    <n v="0"/>
    <n v="0"/>
    <n v="0"/>
    <n v="158"/>
    <n v="0"/>
    <n v="0"/>
    <n v="0"/>
    <n v="158"/>
    <n v="1"/>
    <n v="0"/>
    <n v="1"/>
    <n v="0"/>
    <n v="0"/>
    <n v="4"/>
    <n v="35"/>
    <n v="0"/>
    <n v="158"/>
    <s v="No"/>
    <s v=""/>
    <n v="0"/>
    <n v="0"/>
    <n v="0"/>
    <n v="0"/>
    <n v="0"/>
    <n v="0"/>
    <s v="Yes"/>
    <s v="KMSS-LSO"/>
    <x v="0"/>
    <x v="1"/>
    <x v="0"/>
    <n v="23.682887999999998"/>
    <n v="97.810101000000003"/>
    <s v="MMR015CMP043"/>
    <x v="0"/>
    <x v="0"/>
    <n v="35"/>
    <n v="156"/>
  </r>
  <r>
    <x v="0"/>
    <x v="4"/>
    <x v="3"/>
    <m/>
    <x v="1"/>
    <x v="15"/>
    <x v="3"/>
    <x v="107"/>
    <n v="657"/>
    <n v="2786"/>
    <m/>
    <m/>
    <m/>
    <m/>
    <m/>
    <m/>
    <m/>
    <m/>
    <m/>
    <m/>
    <m/>
    <m/>
    <m/>
    <m/>
    <m/>
    <m/>
    <m/>
    <m/>
    <m/>
    <m/>
    <m/>
    <m/>
    <m/>
    <m/>
    <m/>
    <m/>
    <m/>
    <m/>
    <m/>
    <m/>
    <m/>
    <m/>
    <m/>
    <m/>
    <m/>
    <m/>
    <m/>
    <m/>
    <m/>
    <m/>
    <x v="1"/>
    <x v="2"/>
    <m/>
    <m/>
    <m/>
    <m/>
    <m/>
    <m/>
    <m/>
    <m/>
    <m/>
    <m/>
    <m/>
    <m/>
    <m/>
    <m/>
    <m/>
    <m/>
    <m/>
    <m/>
    <m/>
    <m/>
    <m/>
    <m/>
    <m/>
    <m/>
    <m/>
    <m/>
    <m/>
    <m/>
    <m/>
    <m/>
    <s v="no test"/>
    <s v="no test"/>
    <s v="No Test"/>
    <n v="0"/>
    <n v="0"/>
    <n v="0"/>
    <n v="0"/>
    <n v="0"/>
    <n v="0"/>
    <n v="0"/>
    <n v="0"/>
    <n v="0"/>
    <n v="0"/>
    <n v="0"/>
    <n v="0"/>
    <n v="0"/>
    <n v="0"/>
    <n v="0"/>
    <n v="0"/>
    <n v="1"/>
    <n v="2786"/>
    <n v="6"/>
    <n v="6"/>
    <n v="0"/>
    <n v="0"/>
    <n v="0"/>
    <n v="0"/>
    <n v="0"/>
    <n v="0"/>
    <n v="464"/>
    <n v="464"/>
    <n v="1"/>
    <n v="0"/>
    <n v="0"/>
    <n v="0"/>
    <n v="0"/>
    <n v="0"/>
    <n v="0"/>
    <n v="0"/>
    <n v="1"/>
    <n v="0"/>
    <n v="0"/>
    <n v="0"/>
    <n v="0"/>
    <n v="0"/>
    <n v="0"/>
    <n v="0"/>
    <s v="No"/>
    <s v=""/>
    <n v="0"/>
    <n v="0"/>
    <n v="0"/>
    <n v="0"/>
    <n v="0"/>
    <n v="0"/>
    <n v="0"/>
    <n v="0"/>
    <x v="1"/>
    <x v="5"/>
    <x v="0"/>
    <n v="23.363275999999999"/>
    <n v="98.472977999999998"/>
    <s v="MMR015CMP072"/>
    <x v="1"/>
    <x v="1"/>
    <n v="657"/>
    <n v="2786"/>
  </r>
  <r>
    <x v="0"/>
    <x v="4"/>
    <x v="3"/>
    <m/>
    <x v="1"/>
    <x v="15"/>
    <x v="1"/>
    <x v="108"/>
    <n v="34"/>
    <n v="170"/>
    <m/>
    <m/>
    <m/>
    <m/>
    <m/>
    <m/>
    <m/>
    <m/>
    <m/>
    <m/>
    <m/>
    <m/>
    <m/>
    <m/>
    <m/>
    <m/>
    <m/>
    <m/>
    <m/>
    <m/>
    <m/>
    <m/>
    <m/>
    <m/>
    <m/>
    <m/>
    <m/>
    <m/>
    <m/>
    <m/>
    <m/>
    <m/>
    <m/>
    <m/>
    <m/>
    <m/>
    <m/>
    <m/>
    <m/>
    <m/>
    <x v="1"/>
    <x v="2"/>
    <m/>
    <m/>
    <m/>
    <m/>
    <m/>
    <m/>
    <m/>
    <m/>
    <m/>
    <m/>
    <m/>
    <m/>
    <m/>
    <m/>
    <m/>
    <m/>
    <m/>
    <m/>
    <m/>
    <m/>
    <m/>
    <m/>
    <m/>
    <m/>
    <m/>
    <m/>
    <m/>
    <m/>
    <m/>
    <m/>
    <s v="no test"/>
    <s v="no test"/>
    <s v="No Test"/>
    <n v="0"/>
    <n v="0"/>
    <n v="0"/>
    <n v="0"/>
    <n v="0"/>
    <n v="0"/>
    <n v="0"/>
    <n v="0"/>
    <n v="0"/>
    <n v="0"/>
    <n v="0"/>
    <n v="0"/>
    <n v="0"/>
    <n v="0"/>
    <n v="0"/>
    <n v="0"/>
    <n v="1"/>
    <n v="170"/>
    <n v="1"/>
    <n v="1"/>
    <n v="0"/>
    <n v="0"/>
    <n v="0"/>
    <n v="0"/>
    <n v="0"/>
    <n v="0"/>
    <n v="9"/>
    <n v="9"/>
    <n v="1"/>
    <n v="0"/>
    <n v="0"/>
    <n v="0"/>
    <n v="0"/>
    <n v="0"/>
    <n v="0"/>
    <n v="0"/>
    <n v="1"/>
    <n v="0"/>
    <n v="0"/>
    <n v="0"/>
    <n v="0"/>
    <n v="0"/>
    <n v="0"/>
    <n v="0"/>
    <s v="No"/>
    <s v=""/>
    <n v="0"/>
    <n v="0"/>
    <n v="0"/>
    <n v="0"/>
    <n v="0"/>
    <n v="0"/>
    <n v="0"/>
    <n v="0"/>
    <x v="0"/>
    <x v="0"/>
    <x v="0"/>
    <n v="23.729893000000001"/>
    <n v="98.779853500000002"/>
    <s v="MMR015CMP070"/>
    <x v="1"/>
    <x v="1"/>
    <n v="34"/>
    <n v="170"/>
  </r>
  <r>
    <x v="0"/>
    <x v="6"/>
    <x v="5"/>
    <s v="UNICEF"/>
    <x v="1"/>
    <x v="17"/>
    <x v="1"/>
    <x v="109"/>
    <n v="54"/>
    <n v="179"/>
    <d v="2021-11-11T00:00:00"/>
    <d v="2022-11-10T00:00:00"/>
    <m/>
    <m/>
    <m/>
    <m/>
    <m/>
    <m/>
    <m/>
    <m/>
    <m/>
    <m/>
    <m/>
    <n v="2"/>
    <m/>
    <m/>
    <m/>
    <m/>
    <m/>
    <m/>
    <m/>
    <m/>
    <m/>
    <m/>
    <m/>
    <m/>
    <m/>
    <m/>
    <m/>
    <m/>
    <m/>
    <m/>
    <n v="24"/>
    <n v="6"/>
    <m/>
    <m/>
    <m/>
    <m/>
    <m/>
    <m/>
    <x v="1"/>
    <x v="2"/>
    <m/>
    <m/>
    <m/>
    <m/>
    <m/>
    <m/>
    <n v="20"/>
    <m/>
    <n v="2"/>
    <m/>
    <m/>
    <m/>
    <m/>
    <m/>
    <m/>
    <s v="Yes"/>
    <m/>
    <m/>
    <m/>
    <m/>
    <m/>
    <m/>
    <m/>
    <m/>
    <m/>
    <m/>
    <m/>
    <m/>
    <m/>
    <m/>
    <s v="no test"/>
    <s v="no test"/>
    <s v="No Test"/>
    <n v="0"/>
    <n v="2"/>
    <n v="0"/>
    <n v="0"/>
    <n v="0"/>
    <n v="0"/>
    <n v="0"/>
    <n v="1"/>
    <n v="1"/>
    <n v="1"/>
    <n v="179"/>
    <n v="0"/>
    <n v="0"/>
    <n v="1"/>
    <n v="179"/>
    <n v="0.35799999999999998"/>
    <n v="0"/>
    <n v="0"/>
    <n v="0.64200000000000002"/>
    <n v="1"/>
    <n v="30"/>
    <n v="1"/>
    <n v="179"/>
    <n v="0"/>
    <n v="0"/>
    <n v="0"/>
    <n v="9"/>
    <n v="0"/>
    <n v="0"/>
    <n v="0"/>
    <n v="0"/>
    <n v="0"/>
    <n v="0"/>
    <n v="0"/>
    <n v="0"/>
    <n v="0"/>
    <n v="1"/>
    <n v="0"/>
    <n v="0"/>
    <n v="0"/>
    <n v="20"/>
    <n v="54"/>
    <n v="0"/>
    <n v="179"/>
    <s v="No"/>
    <s v=""/>
    <n v="0"/>
    <n v="0"/>
    <n v="0"/>
    <n v="0"/>
    <n v="0"/>
    <n v="0"/>
    <n v="0"/>
    <n v="0"/>
    <x v="0"/>
    <x v="6"/>
    <x v="0"/>
    <n v="0"/>
    <n v="0"/>
    <s v="MMR015CMP080"/>
    <x v="0"/>
    <x v="0"/>
    <n v="54"/>
    <n v="155"/>
  </r>
  <r>
    <x v="0"/>
    <x v="6"/>
    <x v="5"/>
    <s v="UNICEF"/>
    <x v="1"/>
    <x v="17"/>
    <x v="1"/>
    <x v="110"/>
    <n v="12"/>
    <n v="26"/>
    <d v="2021-11-11T00:00:00"/>
    <d v="2022-11-10T00:00:00"/>
    <m/>
    <m/>
    <m/>
    <m/>
    <m/>
    <m/>
    <m/>
    <m/>
    <m/>
    <m/>
    <m/>
    <n v="1"/>
    <m/>
    <m/>
    <m/>
    <m/>
    <m/>
    <m/>
    <m/>
    <m/>
    <m/>
    <m/>
    <m/>
    <m/>
    <m/>
    <m/>
    <m/>
    <m/>
    <m/>
    <m/>
    <n v="2"/>
    <m/>
    <m/>
    <m/>
    <m/>
    <m/>
    <m/>
    <m/>
    <x v="1"/>
    <x v="2"/>
    <m/>
    <m/>
    <m/>
    <m/>
    <m/>
    <m/>
    <n v="4"/>
    <m/>
    <m/>
    <m/>
    <m/>
    <m/>
    <m/>
    <m/>
    <m/>
    <s v="Yes"/>
    <m/>
    <m/>
    <m/>
    <m/>
    <m/>
    <m/>
    <m/>
    <m/>
    <m/>
    <m/>
    <m/>
    <m/>
    <m/>
    <m/>
    <s v="no test"/>
    <s v="no test"/>
    <s v="No Test"/>
    <n v="0"/>
    <n v="1"/>
    <n v="0"/>
    <n v="0"/>
    <n v="0"/>
    <n v="0"/>
    <n v="0"/>
    <n v="1"/>
    <n v="1"/>
    <n v="1"/>
    <n v="26"/>
    <n v="0"/>
    <n v="0"/>
    <n v="1"/>
    <n v="26"/>
    <n v="5.1999999999999998E-2"/>
    <n v="0"/>
    <n v="0"/>
    <n v="0.94799999999999995"/>
    <n v="1"/>
    <n v="2"/>
    <n v="1"/>
    <n v="26"/>
    <n v="0"/>
    <n v="0"/>
    <n v="0"/>
    <n v="1"/>
    <n v="0"/>
    <n v="0"/>
    <n v="0"/>
    <n v="0"/>
    <n v="0"/>
    <n v="0"/>
    <n v="0"/>
    <n v="0"/>
    <n v="0"/>
    <n v="1"/>
    <n v="0"/>
    <n v="0"/>
    <n v="0"/>
    <n v="4"/>
    <n v="12"/>
    <n v="0"/>
    <n v="26"/>
    <s v="No"/>
    <s v=""/>
    <n v="0"/>
    <n v="0"/>
    <n v="0"/>
    <n v="0"/>
    <n v="0"/>
    <n v="0"/>
    <n v="0"/>
    <n v="0"/>
    <x v="0"/>
    <x v="0"/>
    <x v="0"/>
    <n v="0"/>
    <n v="0"/>
    <s v="MMR015CMP081"/>
    <x v="0"/>
    <x v="0"/>
    <n v="16"/>
    <n v="43"/>
  </r>
  <r>
    <x v="0"/>
    <x v="16"/>
    <x v="13"/>
    <s v="UNICEF, USAID"/>
    <x v="1"/>
    <x v="19"/>
    <x v="1"/>
    <x v="111"/>
    <n v="30"/>
    <n v="157"/>
    <s v="11-11-2021, 07-01-2020"/>
    <s v="12-31-2022, 28-2-2022"/>
    <m/>
    <n v="2"/>
    <m/>
    <m/>
    <s v="Yes"/>
    <n v="2"/>
    <n v="8"/>
    <n v="1"/>
    <m/>
    <m/>
    <n v="2"/>
    <m/>
    <m/>
    <m/>
    <m/>
    <m/>
    <m/>
    <m/>
    <n v="2"/>
    <m/>
    <m/>
    <n v="1"/>
    <m/>
    <m/>
    <m/>
    <m/>
    <n v="4"/>
    <m/>
    <m/>
    <m/>
    <n v="38"/>
    <m/>
    <m/>
    <m/>
    <m/>
    <m/>
    <m/>
    <n v="38"/>
    <x v="0"/>
    <x v="0"/>
    <m/>
    <m/>
    <m/>
    <m/>
    <m/>
    <m/>
    <n v="4"/>
    <m/>
    <m/>
    <n v="2"/>
    <m/>
    <m/>
    <n v="2"/>
    <m/>
    <m/>
    <s v="Yes"/>
    <m/>
    <m/>
    <m/>
    <m/>
    <m/>
    <m/>
    <m/>
    <m/>
    <m/>
    <m/>
    <m/>
    <m/>
    <m/>
    <m/>
    <s v="no test"/>
    <s v="no test"/>
    <s v="No Test"/>
    <n v="1"/>
    <n v="2"/>
    <n v="0"/>
    <n v="0"/>
    <n v="0"/>
    <n v="0"/>
    <n v="0"/>
    <n v="1"/>
    <n v="1"/>
    <n v="1"/>
    <n v="157"/>
    <n v="1"/>
    <n v="157"/>
    <n v="1"/>
    <n v="157"/>
    <n v="0.314"/>
    <n v="0"/>
    <n v="0"/>
    <n v="0.68599999999999994"/>
    <n v="1"/>
    <n v="38"/>
    <n v="1"/>
    <n v="157"/>
    <n v="0"/>
    <n v="0"/>
    <n v="0"/>
    <n v="8"/>
    <n v="0"/>
    <n v="0"/>
    <n v="0"/>
    <n v="157"/>
    <n v="0"/>
    <n v="0"/>
    <n v="0"/>
    <n v="157"/>
    <n v="1"/>
    <n v="0"/>
    <n v="1"/>
    <n v="0"/>
    <n v="0"/>
    <n v="4"/>
    <n v="30"/>
    <n v="4"/>
    <n v="157"/>
    <s v="No"/>
    <s v=""/>
    <n v="0"/>
    <n v="0"/>
    <n v="0"/>
    <n v="0"/>
    <n v="0"/>
    <n v="0"/>
    <s v="Yes"/>
    <s v="KMSS-LSO"/>
    <x v="0"/>
    <x v="6"/>
    <x v="0"/>
    <n v="23.24661"/>
    <n v="97.116680000000002"/>
    <s v="MMR015CMP027"/>
    <x v="0"/>
    <x v="0"/>
    <n v="30"/>
    <n v="159"/>
  </r>
  <r>
    <x v="0"/>
    <x v="6"/>
    <x v="5"/>
    <s v="UNICEF, USAID"/>
    <x v="1"/>
    <x v="21"/>
    <x v="1"/>
    <x v="112"/>
    <n v="42"/>
    <n v="195"/>
    <d v="2021-11-11T00:00:00"/>
    <d v="2022-12-31T00:00:00"/>
    <m/>
    <m/>
    <m/>
    <m/>
    <m/>
    <n v="4"/>
    <n v="4"/>
    <m/>
    <m/>
    <m/>
    <n v="1"/>
    <m/>
    <m/>
    <m/>
    <n v="1"/>
    <m/>
    <m/>
    <m/>
    <m/>
    <m/>
    <m/>
    <n v="1"/>
    <m/>
    <m/>
    <m/>
    <m/>
    <n v="1"/>
    <m/>
    <m/>
    <m/>
    <n v="38"/>
    <m/>
    <m/>
    <m/>
    <m/>
    <m/>
    <m/>
    <m/>
    <x v="2"/>
    <x v="1"/>
    <m/>
    <m/>
    <m/>
    <m/>
    <m/>
    <m/>
    <m/>
    <m/>
    <m/>
    <m/>
    <m/>
    <m/>
    <n v="1"/>
    <m/>
    <m/>
    <s v="Yes"/>
    <m/>
    <m/>
    <m/>
    <m/>
    <m/>
    <m/>
    <m/>
    <m/>
    <m/>
    <m/>
    <m/>
    <m/>
    <m/>
    <m/>
    <s v="no test"/>
    <s v="no test"/>
    <s v="No Test"/>
    <n v="0"/>
    <n v="1"/>
    <n v="1"/>
    <n v="0"/>
    <n v="0"/>
    <n v="0"/>
    <n v="0"/>
    <n v="1"/>
    <n v="1"/>
    <n v="1"/>
    <n v="195"/>
    <n v="0"/>
    <n v="0"/>
    <n v="1"/>
    <n v="195"/>
    <n v="0.39"/>
    <n v="0"/>
    <n v="0"/>
    <n v="0.61"/>
    <n v="1"/>
    <n v="38"/>
    <n v="1"/>
    <n v="195"/>
    <n v="0"/>
    <n v="0"/>
    <n v="0"/>
    <n v="10"/>
    <n v="0"/>
    <n v="0"/>
    <n v="0"/>
    <n v="195"/>
    <n v="0"/>
    <n v="0"/>
    <n v="0"/>
    <n v="195"/>
    <n v="1"/>
    <n v="0"/>
    <n v="1"/>
    <n v="0"/>
    <n v="0"/>
    <n v="0"/>
    <n v="0"/>
    <n v="1"/>
    <n v="0"/>
    <s v="No"/>
    <s v=""/>
    <n v="0"/>
    <n v="0"/>
    <n v="0"/>
    <n v="0"/>
    <n v="0"/>
    <n v="0"/>
    <n v="0"/>
    <n v="0"/>
    <x v="0"/>
    <x v="6"/>
    <x v="0"/>
    <n v="23.353999999999999"/>
    <n v="98.221000000000004"/>
    <s v="MMR015CMP226"/>
    <x v="0"/>
    <x v="0"/>
    <n v="0"/>
    <n v="0"/>
  </r>
  <r>
    <x v="0"/>
    <x v="6"/>
    <x v="5"/>
    <s v="UNICEF, USAID"/>
    <x v="1"/>
    <x v="13"/>
    <x v="1"/>
    <x v="113"/>
    <n v="121"/>
    <n v="664"/>
    <d v="2021-11-11T00:00:00"/>
    <d v="2022-12-31T00:00:00"/>
    <m/>
    <n v="1"/>
    <m/>
    <m/>
    <s v="Yes"/>
    <n v="4"/>
    <n v="5"/>
    <m/>
    <m/>
    <m/>
    <m/>
    <m/>
    <m/>
    <m/>
    <n v="8"/>
    <m/>
    <m/>
    <m/>
    <m/>
    <m/>
    <m/>
    <m/>
    <m/>
    <m/>
    <m/>
    <m/>
    <n v="1"/>
    <m/>
    <m/>
    <m/>
    <n v="105"/>
    <m/>
    <m/>
    <m/>
    <m/>
    <m/>
    <m/>
    <m/>
    <x v="0"/>
    <x v="0"/>
    <m/>
    <m/>
    <m/>
    <m/>
    <m/>
    <m/>
    <n v="8"/>
    <m/>
    <m/>
    <n v="3"/>
    <m/>
    <m/>
    <n v="1"/>
    <m/>
    <m/>
    <s v="Yes"/>
    <m/>
    <m/>
    <m/>
    <m/>
    <m/>
    <m/>
    <m/>
    <m/>
    <m/>
    <m/>
    <m/>
    <m/>
    <m/>
    <m/>
    <s v="no test"/>
    <s v="no test"/>
    <s v="No Test"/>
    <n v="0"/>
    <n v="0"/>
    <n v="8"/>
    <n v="0"/>
    <n v="0"/>
    <n v="0"/>
    <n v="0"/>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8"/>
    <n v="121"/>
    <n v="1"/>
    <n v="664"/>
    <s v="No"/>
    <s v=""/>
    <n v="0"/>
    <n v="0"/>
    <n v="0"/>
    <n v="0"/>
    <n v="0"/>
    <n v="0"/>
    <s v="Yes"/>
    <s v="KMSS-LSO"/>
    <x v="2"/>
    <x v="1"/>
    <x v="0"/>
    <n v="23.447111"/>
    <n v="97.868876999999998"/>
    <s v="MMR015CMP037"/>
    <x v="0"/>
    <x v="0"/>
    <n v="127"/>
    <n v="713"/>
  </r>
  <r>
    <x v="0"/>
    <x v="6"/>
    <x v="5"/>
    <s v="UNICEF, USAID"/>
    <x v="0"/>
    <x v="7"/>
    <x v="1"/>
    <x v="114"/>
    <n v="97"/>
    <n v="544"/>
    <d v="2021-11-11T00:00:00"/>
    <s v="31-12-22"/>
    <m/>
    <m/>
    <m/>
    <m/>
    <m/>
    <m/>
    <m/>
    <n v="3"/>
    <m/>
    <m/>
    <m/>
    <m/>
    <m/>
    <m/>
    <m/>
    <m/>
    <m/>
    <m/>
    <m/>
    <m/>
    <m/>
    <m/>
    <m/>
    <m/>
    <m/>
    <m/>
    <m/>
    <m/>
    <m/>
    <m/>
    <m/>
    <m/>
    <m/>
    <m/>
    <m/>
    <m/>
    <m/>
    <m/>
    <x v="1"/>
    <x v="2"/>
    <m/>
    <m/>
    <m/>
    <m/>
    <m/>
    <m/>
    <n v="7"/>
    <m/>
    <m/>
    <n v="7"/>
    <m/>
    <m/>
    <m/>
    <m/>
    <m/>
    <s v="Yes"/>
    <m/>
    <m/>
    <m/>
    <m/>
    <m/>
    <m/>
    <m/>
    <m/>
    <m/>
    <m/>
    <m/>
    <m/>
    <m/>
    <m/>
    <s v="no test"/>
    <s v="no test"/>
    <s v="No Test"/>
    <n v="3"/>
    <n v="0"/>
    <n v="0"/>
    <n v="0"/>
    <n v="0"/>
    <n v="0"/>
    <n v="0"/>
    <n v="1"/>
    <n v="1"/>
    <n v="1"/>
    <n v="544"/>
    <n v="0"/>
    <n v="0"/>
    <n v="1"/>
    <n v="544"/>
    <n v="1.0880000000000001"/>
    <n v="0"/>
    <n v="0"/>
    <n v="0"/>
    <n v="1"/>
    <n v="0"/>
    <n v="0"/>
    <n v="0"/>
    <n v="0"/>
    <n v="0"/>
    <n v="0"/>
    <n v="27"/>
    <n v="27"/>
    <n v="1"/>
    <n v="0"/>
    <n v="0"/>
    <n v="0"/>
    <n v="0"/>
    <n v="0"/>
    <n v="0"/>
    <n v="0"/>
    <n v="1"/>
    <n v="0"/>
    <n v="0"/>
    <n v="0"/>
    <n v="7"/>
    <n v="97"/>
    <n v="0"/>
    <n v="544"/>
    <s v="No"/>
    <s v=""/>
    <n v="0"/>
    <n v="0"/>
    <n v="0"/>
    <n v="0"/>
    <n v="0"/>
    <n v="0"/>
    <n v="0"/>
    <s v="uncovered"/>
    <x v="0"/>
    <x v="3"/>
    <x v="0"/>
    <n v="23.827870999999998"/>
    <n v="97.588291999999996"/>
    <s v="MMR001CMP134"/>
    <x v="0"/>
    <x v="0"/>
    <n v="120"/>
    <n v="664"/>
  </r>
  <r>
    <x v="0"/>
    <x v="4"/>
    <x v="3"/>
    <m/>
    <x v="0"/>
    <x v="7"/>
    <x v="1"/>
    <x v="115"/>
    <n v="67"/>
    <n v="308"/>
    <m/>
    <m/>
    <m/>
    <m/>
    <m/>
    <m/>
    <m/>
    <m/>
    <n v="4"/>
    <m/>
    <m/>
    <m/>
    <m/>
    <m/>
    <m/>
    <m/>
    <m/>
    <m/>
    <m/>
    <m/>
    <m/>
    <m/>
    <m/>
    <m/>
    <m/>
    <m/>
    <m/>
    <m/>
    <m/>
    <m/>
    <m/>
    <m/>
    <m/>
    <m/>
    <m/>
    <m/>
    <m/>
    <m/>
    <m/>
    <m/>
    <x v="1"/>
    <x v="2"/>
    <m/>
    <m/>
    <m/>
    <m/>
    <m/>
    <m/>
    <n v="7"/>
    <m/>
    <m/>
    <n v="7"/>
    <m/>
    <m/>
    <m/>
    <m/>
    <m/>
    <m/>
    <m/>
    <m/>
    <m/>
    <m/>
    <m/>
    <m/>
    <m/>
    <m/>
    <m/>
    <m/>
    <m/>
    <m/>
    <m/>
    <m/>
    <s v="no test"/>
    <s v="no test"/>
    <s v="No Test"/>
    <n v="0"/>
    <n v="0"/>
    <n v="0"/>
    <n v="0"/>
    <n v="0"/>
    <n v="0"/>
    <n v="0"/>
    <n v="0"/>
    <n v="0"/>
    <n v="0"/>
    <n v="0"/>
    <n v="0"/>
    <n v="0"/>
    <n v="0"/>
    <n v="0"/>
    <n v="0"/>
    <n v="1"/>
    <n v="308"/>
    <n v="1"/>
    <n v="1"/>
    <n v="0"/>
    <n v="0"/>
    <n v="0"/>
    <n v="0"/>
    <n v="0"/>
    <n v="0"/>
    <n v="15"/>
    <n v="15"/>
    <n v="1"/>
    <n v="0"/>
    <n v="0"/>
    <n v="0"/>
    <n v="0"/>
    <n v="0"/>
    <n v="0"/>
    <n v="0"/>
    <n v="1"/>
    <n v="0"/>
    <n v="0"/>
    <n v="0"/>
    <n v="7"/>
    <n v="67"/>
    <n v="0"/>
    <n v="308"/>
    <s v="No"/>
    <s v=""/>
    <n v="0"/>
    <n v="0"/>
    <n v="0"/>
    <n v="0"/>
    <n v="0"/>
    <n v="0"/>
    <n v="0"/>
    <s v="uncovered"/>
    <x v="0"/>
    <x v="3"/>
    <x v="0"/>
    <n v="24.118618999999999"/>
    <n v="97.298055000000005"/>
    <s v="MMR001CMP196"/>
    <x v="1"/>
    <x v="1"/>
    <n v="67"/>
    <n v="325"/>
  </r>
  <r>
    <x v="0"/>
    <x v="6"/>
    <x v="5"/>
    <s v="UNICEF, USAID"/>
    <x v="1"/>
    <x v="13"/>
    <x v="1"/>
    <x v="116"/>
    <n v="38"/>
    <n v="180"/>
    <d v="2021-11-11T00:00:00"/>
    <d v="2022-12-31T00:00:00"/>
    <m/>
    <m/>
    <m/>
    <m/>
    <m/>
    <n v="4"/>
    <n v="5"/>
    <n v="1"/>
    <m/>
    <m/>
    <n v="1"/>
    <m/>
    <m/>
    <m/>
    <m/>
    <m/>
    <m/>
    <m/>
    <m/>
    <m/>
    <m/>
    <m/>
    <m/>
    <m/>
    <m/>
    <m/>
    <m/>
    <m/>
    <m/>
    <m/>
    <n v="9"/>
    <m/>
    <m/>
    <m/>
    <m/>
    <m/>
    <m/>
    <m/>
    <x v="0"/>
    <x v="0"/>
    <m/>
    <m/>
    <m/>
    <m/>
    <m/>
    <m/>
    <n v="4"/>
    <m/>
    <m/>
    <n v="2"/>
    <m/>
    <m/>
    <n v="1"/>
    <m/>
    <m/>
    <s v="Yes"/>
    <m/>
    <m/>
    <m/>
    <m/>
    <m/>
    <m/>
    <m/>
    <m/>
    <m/>
    <m/>
    <m/>
    <m/>
    <m/>
    <m/>
    <s v="no test"/>
    <s v="no test"/>
    <s v="No Test"/>
    <n v="1"/>
    <n v="1"/>
    <n v="0"/>
    <n v="0"/>
    <n v="0"/>
    <n v="0"/>
    <n v="0"/>
    <n v="1"/>
    <n v="1"/>
    <n v="1"/>
    <n v="180"/>
    <n v="0"/>
    <n v="0"/>
    <n v="1"/>
    <n v="180"/>
    <n v="0.36"/>
    <n v="0"/>
    <n v="0"/>
    <n v="0.64"/>
    <n v="1"/>
    <n v="9"/>
    <n v="1"/>
    <n v="180"/>
    <n v="0"/>
    <n v="0"/>
    <n v="0"/>
    <n v="9"/>
    <n v="0"/>
    <n v="0"/>
    <n v="0"/>
    <n v="180"/>
    <n v="0"/>
    <n v="0"/>
    <n v="0"/>
    <n v="180"/>
    <n v="1"/>
    <n v="0"/>
    <n v="1"/>
    <n v="0"/>
    <n v="0"/>
    <n v="4"/>
    <n v="38"/>
    <n v="0"/>
    <n v="180"/>
    <s v="No"/>
    <s v=""/>
    <n v="0"/>
    <n v="0"/>
    <n v="0"/>
    <n v="0"/>
    <n v="0"/>
    <n v="0"/>
    <s v="Yes"/>
    <s v="KBC-NSS"/>
    <x v="0"/>
    <x v="1"/>
    <x v="0"/>
    <n v="23.460349999999998"/>
    <n v="97.947360000000003"/>
    <s v="MMR015CMP063"/>
    <x v="0"/>
    <x v="0"/>
    <n v="31"/>
    <n v="153"/>
  </r>
  <r>
    <x v="0"/>
    <x v="6"/>
    <x v="5"/>
    <s v="UNICEF, USAID"/>
    <x v="1"/>
    <x v="13"/>
    <x v="1"/>
    <x v="117"/>
    <n v="64"/>
    <n v="251"/>
    <d v="2021-11-11T00:00:00"/>
    <d v="2022-12-31T00:00:00"/>
    <m/>
    <n v="1"/>
    <m/>
    <m/>
    <s v="Yes"/>
    <n v="4"/>
    <n v="5"/>
    <m/>
    <m/>
    <m/>
    <m/>
    <m/>
    <m/>
    <m/>
    <n v="14"/>
    <m/>
    <m/>
    <m/>
    <m/>
    <m/>
    <m/>
    <n v="1"/>
    <m/>
    <m/>
    <m/>
    <m/>
    <n v="3"/>
    <m/>
    <m/>
    <m/>
    <n v="71"/>
    <m/>
    <m/>
    <m/>
    <m/>
    <m/>
    <m/>
    <m/>
    <x v="2"/>
    <x v="3"/>
    <m/>
    <m/>
    <n v="4"/>
    <m/>
    <m/>
    <m/>
    <n v="5"/>
    <m/>
    <m/>
    <n v="3"/>
    <m/>
    <n v="1"/>
    <m/>
    <m/>
    <m/>
    <s v="Yes"/>
    <m/>
    <m/>
    <m/>
    <m/>
    <m/>
    <m/>
    <m/>
    <m/>
    <m/>
    <m/>
    <m/>
    <m/>
    <m/>
    <m/>
    <s v="no test"/>
    <s v="no test"/>
    <s v="No Test"/>
    <n v="0"/>
    <n v="0"/>
    <n v="14"/>
    <n v="0"/>
    <n v="0"/>
    <n v="0"/>
    <n v="0"/>
    <n v="1"/>
    <n v="1"/>
    <n v="1"/>
    <n v="251"/>
    <n v="0"/>
    <n v="0"/>
    <n v="1"/>
    <n v="251"/>
    <n v="0.502"/>
    <n v="0"/>
    <n v="0"/>
    <n v="0.498"/>
    <n v="1"/>
    <n v="71"/>
    <n v="1"/>
    <n v="251"/>
    <n v="0"/>
    <n v="0"/>
    <n v="0"/>
    <n v="42"/>
    <n v="0"/>
    <n v="0"/>
    <n v="0"/>
    <n v="251"/>
    <n v="0"/>
    <n v="0"/>
    <n v="0"/>
    <n v="251"/>
    <n v="1"/>
    <n v="0"/>
    <n v="1"/>
    <n v="0"/>
    <n v="0"/>
    <n v="5"/>
    <n v="64"/>
    <n v="3"/>
    <n v="251"/>
    <s v="No"/>
    <s v=""/>
    <n v="0"/>
    <n v="0"/>
    <n v="0"/>
    <n v="0"/>
    <n v="0"/>
    <n v="0"/>
    <s v="Yes"/>
    <s v="KMSS-LSO"/>
    <x v="2"/>
    <x v="1"/>
    <x v="0"/>
    <n v="23.588920000000002"/>
    <n v="97.793019999999999"/>
    <s v="MMR015CMP018"/>
    <x v="0"/>
    <x v="0"/>
    <n v="66"/>
    <n v="255"/>
  </r>
  <r>
    <x v="0"/>
    <x v="6"/>
    <x v="5"/>
    <s v="UNICEF, USAID"/>
    <x v="1"/>
    <x v="13"/>
    <x v="1"/>
    <x v="118"/>
    <n v="31"/>
    <n v="176"/>
    <d v="2021-11-11T00:00:00"/>
    <d v="2022-12-31T00:00:00"/>
    <m/>
    <m/>
    <m/>
    <m/>
    <m/>
    <n v="5"/>
    <n v="4"/>
    <m/>
    <m/>
    <m/>
    <m/>
    <m/>
    <m/>
    <m/>
    <n v="14"/>
    <m/>
    <m/>
    <m/>
    <m/>
    <m/>
    <m/>
    <m/>
    <m/>
    <m/>
    <m/>
    <m/>
    <m/>
    <m/>
    <m/>
    <m/>
    <n v="34"/>
    <m/>
    <m/>
    <m/>
    <m/>
    <m/>
    <m/>
    <m/>
    <x v="0"/>
    <x v="0"/>
    <m/>
    <m/>
    <n v="2"/>
    <m/>
    <m/>
    <m/>
    <n v="2"/>
    <m/>
    <m/>
    <n v="2"/>
    <m/>
    <m/>
    <n v="1"/>
    <m/>
    <m/>
    <s v="Yes"/>
    <m/>
    <m/>
    <m/>
    <m/>
    <m/>
    <m/>
    <m/>
    <m/>
    <m/>
    <m/>
    <m/>
    <m/>
    <m/>
    <m/>
    <s v="no test"/>
    <s v="no test"/>
    <s v="No Test"/>
    <n v="0"/>
    <n v="0"/>
    <n v="14"/>
    <n v="0"/>
    <n v="0"/>
    <n v="0"/>
    <n v="0"/>
    <n v="1"/>
    <n v="1"/>
    <n v="1"/>
    <n v="176"/>
    <n v="0"/>
    <n v="0"/>
    <n v="1"/>
    <n v="176"/>
    <n v="0.35199999999999998"/>
    <n v="0"/>
    <n v="0"/>
    <n v="0.64800000000000002"/>
    <n v="1"/>
    <n v="34"/>
    <n v="1"/>
    <n v="176"/>
    <n v="0"/>
    <n v="0"/>
    <n v="0"/>
    <n v="9"/>
    <n v="0"/>
    <n v="0"/>
    <n v="0"/>
    <n v="176"/>
    <n v="0"/>
    <n v="0"/>
    <n v="0"/>
    <n v="176"/>
    <n v="1"/>
    <n v="0"/>
    <n v="1"/>
    <n v="0"/>
    <n v="0"/>
    <n v="2"/>
    <n v="31"/>
    <n v="0"/>
    <n v="176"/>
    <s v="No"/>
    <s v=""/>
    <n v="0"/>
    <n v="0"/>
    <n v="0"/>
    <n v="0"/>
    <n v="0"/>
    <n v="0"/>
    <n v="0"/>
    <s v="uncovered"/>
    <x v="0"/>
    <x v="0"/>
    <x v="0"/>
    <n v="23.850999999999999"/>
    <n v="98.337999999999994"/>
    <s v="MMR015CMP045"/>
    <x v="0"/>
    <x v="0"/>
    <n v="30"/>
    <n v="170"/>
  </r>
  <r>
    <x v="0"/>
    <x v="6"/>
    <x v="5"/>
    <s v="UNICEF, USAID"/>
    <x v="1"/>
    <x v="13"/>
    <x v="1"/>
    <x v="119"/>
    <n v="45"/>
    <n v="221"/>
    <d v="2021-11-11T00:00:00"/>
    <d v="2022-12-31T00:00:00"/>
    <m/>
    <m/>
    <m/>
    <m/>
    <m/>
    <n v="5"/>
    <n v="4"/>
    <m/>
    <m/>
    <m/>
    <m/>
    <m/>
    <m/>
    <m/>
    <n v="8"/>
    <m/>
    <m/>
    <m/>
    <m/>
    <m/>
    <m/>
    <n v="1"/>
    <m/>
    <m/>
    <m/>
    <m/>
    <n v="2"/>
    <n v="1"/>
    <m/>
    <m/>
    <n v="37"/>
    <m/>
    <m/>
    <m/>
    <m/>
    <m/>
    <m/>
    <n v="3"/>
    <x v="2"/>
    <x v="3"/>
    <m/>
    <m/>
    <n v="2"/>
    <m/>
    <m/>
    <m/>
    <n v="7"/>
    <m/>
    <m/>
    <m/>
    <m/>
    <m/>
    <n v="1"/>
    <m/>
    <m/>
    <s v="Yes"/>
    <m/>
    <m/>
    <m/>
    <m/>
    <m/>
    <m/>
    <m/>
    <m/>
    <m/>
    <m/>
    <m/>
    <m/>
    <m/>
    <m/>
    <s v="no test"/>
    <s v="no test"/>
    <s v="No Test"/>
    <n v="0"/>
    <n v="0"/>
    <n v="8"/>
    <n v="0"/>
    <n v="0"/>
    <n v="221"/>
    <n v="0"/>
    <n v="1"/>
    <n v="1"/>
    <n v="1"/>
    <n v="221"/>
    <n v="0"/>
    <n v="0"/>
    <n v="1"/>
    <n v="221"/>
    <n v="0.442"/>
    <n v="0"/>
    <n v="0"/>
    <n v="0.55800000000000005"/>
    <n v="1"/>
    <n v="37"/>
    <n v="1"/>
    <n v="221"/>
    <n v="0"/>
    <n v="0"/>
    <n v="0"/>
    <n v="11"/>
    <n v="0"/>
    <n v="0"/>
    <n v="0"/>
    <n v="221"/>
    <n v="0"/>
    <n v="0"/>
    <n v="0"/>
    <n v="221"/>
    <n v="1"/>
    <n v="0"/>
    <n v="1"/>
    <n v="0"/>
    <n v="0"/>
    <n v="7"/>
    <n v="45"/>
    <n v="2"/>
    <n v="221"/>
    <s v="No"/>
    <s v=""/>
    <n v="0"/>
    <n v="0"/>
    <n v="0"/>
    <n v="0"/>
    <n v="221"/>
    <n v="0"/>
    <s v="Yes"/>
    <s v="KMSS-LSO"/>
    <x v="0"/>
    <x v="1"/>
    <x v="0"/>
    <n v="23.59"/>
    <n v="97.805999999999997"/>
    <s v="MMR015CMP067"/>
    <x v="0"/>
    <x v="0"/>
    <n v="47"/>
    <n v="235"/>
  </r>
  <r>
    <x v="0"/>
    <x v="6"/>
    <x v="5"/>
    <s v="UNICEF, USAID"/>
    <x v="1"/>
    <x v="13"/>
    <x v="1"/>
    <x v="120"/>
    <n v="209"/>
    <n v="1101"/>
    <d v="2021-11-11T00:00:00"/>
    <d v="2022-12-31T00:00:00"/>
    <m/>
    <n v="2"/>
    <m/>
    <m/>
    <s v="Yes"/>
    <n v="5"/>
    <n v="4"/>
    <n v="2"/>
    <m/>
    <m/>
    <n v="1"/>
    <m/>
    <m/>
    <m/>
    <n v="48"/>
    <m/>
    <m/>
    <m/>
    <m/>
    <m/>
    <m/>
    <n v="1"/>
    <m/>
    <m/>
    <m/>
    <m/>
    <m/>
    <n v="2"/>
    <m/>
    <m/>
    <n v="200"/>
    <n v="5"/>
    <m/>
    <m/>
    <m/>
    <m/>
    <m/>
    <n v="18"/>
    <x v="2"/>
    <x v="1"/>
    <m/>
    <m/>
    <n v="2"/>
    <m/>
    <m/>
    <m/>
    <n v="2"/>
    <m/>
    <m/>
    <n v="5"/>
    <m/>
    <m/>
    <n v="1"/>
    <m/>
    <m/>
    <s v="Yes"/>
    <m/>
    <m/>
    <m/>
    <m/>
    <m/>
    <m/>
    <m/>
    <m/>
    <m/>
    <m/>
    <m/>
    <m/>
    <m/>
    <m/>
    <s v="no test"/>
    <s v="no test"/>
    <s v="No Test"/>
    <n v="2"/>
    <n v="1"/>
    <n v="48"/>
    <n v="0"/>
    <n v="0"/>
    <n v="1000"/>
    <n v="0"/>
    <n v="1"/>
    <n v="1"/>
    <n v="1"/>
    <n v="1101"/>
    <n v="0"/>
    <n v="0"/>
    <n v="1"/>
    <n v="1101"/>
    <n v="2.202"/>
    <n v="0"/>
    <n v="0"/>
    <n v="0"/>
    <n v="2"/>
    <n v="205"/>
    <n v="0.93097184377838327"/>
    <n v="1025"/>
    <n v="0"/>
    <n v="0"/>
    <n v="0"/>
    <n v="184"/>
    <n v="0"/>
    <n v="6.9028156221616732E-2"/>
    <n v="0"/>
    <n v="500"/>
    <n v="0"/>
    <n v="0"/>
    <n v="0"/>
    <n v="500"/>
    <n v="0.45413260672116257"/>
    <n v="0.54586739327883738"/>
    <n v="0.45413260672116257"/>
    <n v="0"/>
    <n v="0"/>
    <n v="2"/>
    <n v="40"/>
    <n v="0"/>
    <n v="200"/>
    <s v="No"/>
    <s v=""/>
    <n v="0"/>
    <n v="0"/>
    <n v="0"/>
    <n v="0"/>
    <n v="1000"/>
    <n v="0"/>
    <s v="Yes"/>
    <s v="KBC-NSS"/>
    <x v="2"/>
    <x v="1"/>
    <x v="0"/>
    <n v="23.38503"/>
    <n v="97.837040000000002"/>
    <s v="MMR015CMP020"/>
    <x v="0"/>
    <x v="0"/>
    <n v="209"/>
    <n v="1084"/>
  </r>
  <r>
    <x v="0"/>
    <x v="6"/>
    <x v="5"/>
    <s v="UNICEF"/>
    <x v="1"/>
    <x v="18"/>
    <x v="1"/>
    <x v="121"/>
    <n v="19"/>
    <n v="60"/>
    <d v="2021-11-11T00:00:00"/>
    <d v="2022-11-10T00:00:00"/>
    <m/>
    <m/>
    <m/>
    <m/>
    <m/>
    <m/>
    <m/>
    <m/>
    <m/>
    <m/>
    <m/>
    <m/>
    <m/>
    <m/>
    <m/>
    <m/>
    <m/>
    <m/>
    <m/>
    <m/>
    <m/>
    <m/>
    <m/>
    <m/>
    <m/>
    <m/>
    <m/>
    <m/>
    <m/>
    <m/>
    <m/>
    <m/>
    <m/>
    <m/>
    <m/>
    <m/>
    <m/>
    <m/>
    <x v="1"/>
    <x v="2"/>
    <m/>
    <m/>
    <m/>
    <m/>
    <m/>
    <m/>
    <n v="8"/>
    <m/>
    <m/>
    <n v="3"/>
    <m/>
    <m/>
    <m/>
    <m/>
    <m/>
    <s v="Yes"/>
    <m/>
    <m/>
    <m/>
    <m/>
    <m/>
    <m/>
    <m/>
    <m/>
    <m/>
    <m/>
    <m/>
    <m/>
    <m/>
    <m/>
    <s v="no test"/>
    <s v="no test"/>
    <s v="No Test"/>
    <n v="0"/>
    <n v="0"/>
    <n v="0"/>
    <n v="0"/>
    <n v="0"/>
    <n v="0"/>
    <n v="0"/>
    <n v="0"/>
    <n v="0"/>
    <n v="0"/>
    <n v="0"/>
    <n v="0"/>
    <n v="0"/>
    <n v="0"/>
    <n v="0"/>
    <n v="0"/>
    <n v="1"/>
    <n v="60"/>
    <n v="1"/>
    <n v="1"/>
    <n v="0"/>
    <n v="0"/>
    <n v="0"/>
    <n v="0"/>
    <n v="0"/>
    <n v="0"/>
    <n v="3"/>
    <n v="3"/>
    <n v="1"/>
    <n v="0"/>
    <n v="0"/>
    <n v="0"/>
    <n v="0"/>
    <n v="0"/>
    <n v="0"/>
    <n v="0"/>
    <n v="1"/>
    <n v="0"/>
    <n v="0"/>
    <n v="0"/>
    <n v="8"/>
    <n v="19"/>
    <n v="0"/>
    <n v="60"/>
    <s v="No"/>
    <s v=""/>
    <n v="0"/>
    <n v="0"/>
    <n v="0"/>
    <n v="0"/>
    <n v="0"/>
    <n v="0"/>
    <n v="0"/>
    <n v="0"/>
    <x v="0"/>
    <x v="3"/>
    <x v="0"/>
    <n v="23.963060379028299"/>
    <n v="98.127189636230497"/>
    <s v="MMR015CMP076"/>
    <x v="0"/>
    <x v="0"/>
    <n v="19"/>
    <n v="60"/>
  </r>
  <r>
    <x v="0"/>
    <x v="6"/>
    <x v="5"/>
    <s v="UNICEF"/>
    <x v="1"/>
    <x v="18"/>
    <x v="1"/>
    <x v="122"/>
    <n v="31"/>
    <n v="155"/>
    <d v="2021-11-11T00:00:00"/>
    <d v="2022-11-10T00:00:00"/>
    <m/>
    <m/>
    <m/>
    <m/>
    <m/>
    <m/>
    <m/>
    <m/>
    <m/>
    <m/>
    <m/>
    <m/>
    <m/>
    <m/>
    <m/>
    <m/>
    <m/>
    <m/>
    <m/>
    <m/>
    <m/>
    <m/>
    <m/>
    <m/>
    <m/>
    <m/>
    <m/>
    <m/>
    <m/>
    <m/>
    <m/>
    <m/>
    <m/>
    <m/>
    <m/>
    <m/>
    <m/>
    <m/>
    <x v="1"/>
    <x v="2"/>
    <m/>
    <m/>
    <m/>
    <m/>
    <m/>
    <m/>
    <m/>
    <m/>
    <m/>
    <m/>
    <m/>
    <m/>
    <m/>
    <m/>
    <m/>
    <s v="Yes"/>
    <m/>
    <m/>
    <m/>
    <m/>
    <m/>
    <m/>
    <m/>
    <m/>
    <m/>
    <m/>
    <m/>
    <m/>
    <m/>
    <m/>
    <s v="no test"/>
    <s v="no test"/>
    <s v="No Test"/>
    <n v="0"/>
    <n v="0"/>
    <n v="0"/>
    <n v="0"/>
    <n v="0"/>
    <n v="0"/>
    <n v="0"/>
    <n v="0"/>
    <n v="0"/>
    <n v="0"/>
    <n v="0"/>
    <n v="0"/>
    <n v="0"/>
    <n v="0"/>
    <n v="0"/>
    <n v="0"/>
    <n v="1"/>
    <n v="155"/>
    <n v="1"/>
    <n v="1"/>
    <n v="0"/>
    <n v="0"/>
    <n v="0"/>
    <n v="0"/>
    <n v="0"/>
    <n v="0"/>
    <n v="8"/>
    <n v="8"/>
    <n v="1"/>
    <n v="0"/>
    <n v="0"/>
    <n v="0"/>
    <n v="0"/>
    <n v="0"/>
    <n v="0"/>
    <n v="0"/>
    <n v="1"/>
    <n v="0"/>
    <n v="0"/>
    <n v="0"/>
    <n v="0"/>
    <n v="0"/>
    <n v="0"/>
    <n v="0"/>
    <s v="No"/>
    <s v=""/>
    <n v="0"/>
    <n v="0"/>
    <n v="0"/>
    <n v="0"/>
    <n v="0"/>
    <n v="0"/>
    <n v="0"/>
    <n v="0"/>
    <x v="0"/>
    <x v="0"/>
    <x v="0"/>
    <n v="0"/>
    <n v="0"/>
    <s v="MMR015CMP083"/>
    <x v="0"/>
    <x v="0"/>
    <n v="31"/>
    <n v="155"/>
  </r>
  <r>
    <x v="0"/>
    <x v="6"/>
    <x v="5"/>
    <s v="UNICEF, USAID"/>
    <x v="1"/>
    <x v="20"/>
    <x v="1"/>
    <x v="123"/>
    <n v="6"/>
    <n v="31"/>
    <d v="2021-11-11T00:00:00"/>
    <d v="2022-12-31T00:00:00"/>
    <m/>
    <m/>
    <n v="1"/>
    <m/>
    <m/>
    <m/>
    <m/>
    <m/>
    <m/>
    <m/>
    <m/>
    <n v="1"/>
    <m/>
    <m/>
    <m/>
    <m/>
    <m/>
    <m/>
    <m/>
    <m/>
    <m/>
    <m/>
    <m/>
    <m/>
    <m/>
    <m/>
    <m/>
    <m/>
    <m/>
    <m/>
    <m/>
    <n v="10"/>
    <m/>
    <m/>
    <m/>
    <m/>
    <m/>
    <m/>
    <x v="1"/>
    <x v="2"/>
    <m/>
    <m/>
    <m/>
    <m/>
    <m/>
    <m/>
    <n v="7"/>
    <m/>
    <m/>
    <n v="4"/>
    <m/>
    <m/>
    <n v="1"/>
    <m/>
    <m/>
    <s v="Yes"/>
    <m/>
    <m/>
    <m/>
    <m/>
    <m/>
    <m/>
    <m/>
    <m/>
    <m/>
    <m/>
    <m/>
    <m/>
    <m/>
    <m/>
    <s v="no test"/>
    <s v="no test"/>
    <s v="No Test"/>
    <n v="0"/>
    <n v="1"/>
    <n v="0"/>
    <n v="0"/>
    <n v="0"/>
    <n v="0"/>
    <n v="0"/>
    <n v="1"/>
    <n v="1"/>
    <n v="1"/>
    <n v="31"/>
    <n v="0"/>
    <n v="0"/>
    <n v="1"/>
    <n v="31"/>
    <n v="6.2E-2"/>
    <n v="0"/>
    <n v="0"/>
    <n v="0.93799999999999994"/>
    <n v="1"/>
    <n v="10"/>
    <n v="1"/>
    <n v="31"/>
    <n v="0"/>
    <n v="0"/>
    <n v="0"/>
    <n v="2"/>
    <n v="0"/>
    <n v="0"/>
    <n v="0"/>
    <n v="31"/>
    <n v="0"/>
    <n v="0"/>
    <n v="0"/>
    <n v="31"/>
    <n v="1"/>
    <n v="0"/>
    <n v="1"/>
    <n v="0"/>
    <n v="0"/>
    <n v="7"/>
    <n v="6"/>
    <n v="0"/>
    <n v="31"/>
    <s v="No"/>
    <s v=""/>
    <n v="0"/>
    <n v="0"/>
    <n v="0"/>
    <n v="0"/>
    <n v="0"/>
    <n v="0"/>
    <s v="Yes"/>
    <s v="KBC-NSS"/>
    <x v="0"/>
    <x v="6"/>
    <x v="0"/>
    <n v="23.841646999999998"/>
    <n v="97.700940000000003"/>
    <s v="MMR015CMP214"/>
    <x v="0"/>
    <x v="0"/>
    <n v="0"/>
    <n v="0"/>
  </r>
  <r>
    <x v="0"/>
    <x v="14"/>
    <x v="11"/>
    <s v="UNICEF, USAID, Christan Aid"/>
    <x v="1"/>
    <x v="16"/>
    <x v="1"/>
    <x v="124"/>
    <n v="30"/>
    <n v="127"/>
    <d v="2021-11-11T00:00:00"/>
    <d v="2022-12-31T00:00:00"/>
    <m/>
    <m/>
    <n v="1"/>
    <m/>
    <s v="Yes"/>
    <n v="3"/>
    <n v="3"/>
    <m/>
    <m/>
    <m/>
    <n v="2"/>
    <n v="1"/>
    <m/>
    <m/>
    <m/>
    <m/>
    <m/>
    <m/>
    <m/>
    <m/>
    <m/>
    <m/>
    <m/>
    <m/>
    <m/>
    <m/>
    <m/>
    <m/>
    <m/>
    <m/>
    <n v="10"/>
    <n v="2"/>
    <m/>
    <m/>
    <m/>
    <m/>
    <m/>
    <n v="2"/>
    <x v="0"/>
    <x v="0"/>
    <m/>
    <m/>
    <m/>
    <m/>
    <m/>
    <m/>
    <n v="11"/>
    <m/>
    <m/>
    <n v="3"/>
    <m/>
    <m/>
    <n v="1"/>
    <m/>
    <m/>
    <s v="Yes"/>
    <m/>
    <m/>
    <m/>
    <m/>
    <m/>
    <m/>
    <m/>
    <m/>
    <m/>
    <m/>
    <m/>
    <m/>
    <m/>
    <m/>
    <s v="no test"/>
    <s v="no test"/>
    <s v="No Test"/>
    <n v="0"/>
    <n v="3"/>
    <n v="0"/>
    <n v="0"/>
    <n v="0"/>
    <n v="0"/>
    <n v="0"/>
    <n v="1"/>
    <n v="1"/>
    <n v="1"/>
    <n v="127"/>
    <n v="0"/>
    <n v="0"/>
    <n v="1"/>
    <n v="127"/>
    <n v="0.254"/>
    <n v="0"/>
    <n v="0"/>
    <n v="0.746"/>
    <n v="1"/>
    <n v="12"/>
    <n v="1"/>
    <n v="127"/>
    <n v="0"/>
    <n v="0"/>
    <n v="0"/>
    <n v="6"/>
    <n v="0"/>
    <n v="0"/>
    <n v="0"/>
    <n v="127"/>
    <n v="0"/>
    <n v="0"/>
    <n v="0"/>
    <n v="127"/>
    <n v="1"/>
    <n v="0"/>
    <n v="1"/>
    <n v="0"/>
    <n v="0"/>
    <n v="11"/>
    <n v="30"/>
    <n v="0"/>
    <n v="127"/>
    <s v="No"/>
    <s v=""/>
    <n v="0"/>
    <n v="0"/>
    <n v="0"/>
    <n v="0"/>
    <n v="0"/>
    <n v="0"/>
    <s v="Yes"/>
    <s v="KMSS-LSO"/>
    <x v="0"/>
    <x v="1"/>
    <x v="0"/>
    <n v="23.088011000000002"/>
    <n v="97.398698999999993"/>
    <s v="MMR015CMP050"/>
    <x v="0"/>
    <x v="0"/>
    <n v="24"/>
    <n v="96"/>
  </r>
  <r>
    <x v="0"/>
    <x v="14"/>
    <x v="11"/>
    <s v="UNICEF, USAID, Christan Aid"/>
    <x v="1"/>
    <x v="16"/>
    <x v="1"/>
    <x v="125"/>
    <n v="32"/>
    <n v="141"/>
    <d v="2021-11-11T00:00:00"/>
    <d v="2022-12-31T00:00:00"/>
    <m/>
    <m/>
    <n v="1"/>
    <m/>
    <s v="Yes"/>
    <n v="3"/>
    <n v="3"/>
    <m/>
    <m/>
    <m/>
    <n v="1"/>
    <m/>
    <m/>
    <m/>
    <n v="1"/>
    <m/>
    <m/>
    <m/>
    <m/>
    <m/>
    <m/>
    <m/>
    <m/>
    <m/>
    <m/>
    <m/>
    <m/>
    <m/>
    <m/>
    <m/>
    <n v="8"/>
    <m/>
    <m/>
    <m/>
    <m/>
    <m/>
    <m/>
    <m/>
    <x v="0"/>
    <x v="0"/>
    <m/>
    <m/>
    <m/>
    <m/>
    <m/>
    <m/>
    <n v="5"/>
    <m/>
    <m/>
    <n v="2"/>
    <m/>
    <m/>
    <n v="1"/>
    <m/>
    <m/>
    <s v="Yes"/>
    <m/>
    <m/>
    <m/>
    <m/>
    <m/>
    <m/>
    <m/>
    <m/>
    <m/>
    <m/>
    <m/>
    <m/>
    <m/>
    <m/>
    <s v="no test"/>
    <s v="no test"/>
    <s v="No Test"/>
    <n v="0"/>
    <n v="1"/>
    <n v="1"/>
    <n v="0"/>
    <n v="0"/>
    <n v="0"/>
    <n v="0"/>
    <n v="1"/>
    <n v="1"/>
    <n v="1"/>
    <n v="141"/>
    <n v="0"/>
    <n v="0"/>
    <n v="1"/>
    <n v="141"/>
    <n v="0.28199999999999997"/>
    <n v="0"/>
    <n v="0"/>
    <n v="0.71799999999999997"/>
    <n v="1"/>
    <n v="8"/>
    <n v="1"/>
    <n v="141"/>
    <n v="0"/>
    <n v="0"/>
    <n v="0"/>
    <n v="7"/>
    <n v="0"/>
    <n v="0"/>
    <n v="0"/>
    <n v="141"/>
    <n v="0"/>
    <n v="0"/>
    <n v="0"/>
    <n v="141"/>
    <n v="1"/>
    <n v="0"/>
    <n v="1"/>
    <n v="0"/>
    <n v="0"/>
    <n v="5"/>
    <n v="32"/>
    <n v="0"/>
    <n v="141"/>
    <s v="No"/>
    <s v=""/>
    <n v="0"/>
    <n v="0"/>
    <n v="0"/>
    <n v="0"/>
    <n v="0"/>
    <n v="0"/>
    <s v="Yes"/>
    <s v="KBC-NSS"/>
    <x v="0"/>
    <x v="1"/>
    <x v="0"/>
    <n v="23.094290000000001"/>
    <n v="97.404089999999997"/>
    <s v="MMR015CMP014"/>
    <x v="0"/>
    <x v="0"/>
    <n v="21"/>
    <n v="89"/>
  </r>
  <r>
    <x v="0"/>
    <x v="16"/>
    <x v="13"/>
    <s v="UNICEF, USAID"/>
    <x v="1"/>
    <x v="20"/>
    <x v="1"/>
    <x v="126"/>
    <n v="44"/>
    <n v="213"/>
    <s v="11-11-2021, 07-01-2020"/>
    <s v="12-31-2022, 28-2-2022"/>
    <m/>
    <n v="2"/>
    <m/>
    <m/>
    <s v="Yes"/>
    <n v="3"/>
    <n v="9"/>
    <n v="1"/>
    <m/>
    <m/>
    <m/>
    <n v="2"/>
    <m/>
    <m/>
    <m/>
    <m/>
    <m/>
    <m/>
    <n v="1"/>
    <m/>
    <m/>
    <n v="2"/>
    <m/>
    <m/>
    <m/>
    <m/>
    <n v="3"/>
    <m/>
    <m/>
    <m/>
    <n v="14"/>
    <m/>
    <m/>
    <m/>
    <m/>
    <m/>
    <m/>
    <n v="14"/>
    <x v="0"/>
    <x v="0"/>
    <m/>
    <m/>
    <m/>
    <m/>
    <m/>
    <m/>
    <n v="3"/>
    <m/>
    <m/>
    <n v="2"/>
    <m/>
    <n v="1"/>
    <n v="1"/>
    <m/>
    <m/>
    <s v="Yes"/>
    <m/>
    <m/>
    <m/>
    <m/>
    <m/>
    <m/>
    <m/>
    <m/>
    <m/>
    <m/>
    <m/>
    <m/>
    <m/>
    <m/>
    <s v="no test"/>
    <s v="no test"/>
    <s v="No Test"/>
    <n v="1"/>
    <n v="2"/>
    <n v="0"/>
    <n v="0"/>
    <n v="0"/>
    <n v="0"/>
    <n v="0"/>
    <n v="1"/>
    <n v="1"/>
    <n v="1"/>
    <n v="213"/>
    <n v="1"/>
    <n v="213"/>
    <n v="1"/>
    <n v="213"/>
    <n v="0.42599999999999999"/>
    <n v="0"/>
    <n v="0"/>
    <n v="0.57400000000000007"/>
    <n v="1"/>
    <n v="14"/>
    <n v="1"/>
    <n v="213"/>
    <n v="0"/>
    <n v="0"/>
    <n v="0"/>
    <n v="11"/>
    <n v="0"/>
    <n v="0"/>
    <n v="0"/>
    <n v="213"/>
    <n v="0"/>
    <n v="0"/>
    <n v="0"/>
    <n v="213"/>
    <n v="1"/>
    <n v="0"/>
    <n v="1"/>
    <n v="0"/>
    <n v="0"/>
    <n v="3"/>
    <n v="44"/>
    <n v="3"/>
    <n v="213"/>
    <s v="No"/>
    <s v=""/>
    <n v="0"/>
    <n v="0"/>
    <n v="0"/>
    <n v="0"/>
    <n v="0"/>
    <n v="0"/>
    <s v="Yes"/>
    <s v="KMSS-LSO"/>
    <x v="0"/>
    <x v="1"/>
    <x v="0"/>
    <n v="23.828150000000001"/>
    <n v="97.670360000000002"/>
    <s v="MMR015CMP003"/>
    <x v="0"/>
    <x v="0"/>
    <n v="44"/>
    <n v="221"/>
  </r>
  <r>
    <x v="0"/>
    <x v="6"/>
    <x v="5"/>
    <s v="UNICEF, USAID"/>
    <x v="1"/>
    <x v="13"/>
    <x v="1"/>
    <x v="127"/>
    <n v="26"/>
    <n v="132"/>
    <d v="2021-11-11T00:00:00"/>
    <d v="2022-11-10T00:00:00"/>
    <m/>
    <m/>
    <m/>
    <m/>
    <m/>
    <n v="3"/>
    <n v="2"/>
    <m/>
    <m/>
    <m/>
    <m/>
    <m/>
    <m/>
    <m/>
    <n v="8"/>
    <m/>
    <m/>
    <m/>
    <m/>
    <m/>
    <m/>
    <m/>
    <m/>
    <m/>
    <m/>
    <m/>
    <m/>
    <m/>
    <m/>
    <m/>
    <n v="27"/>
    <m/>
    <m/>
    <m/>
    <m/>
    <m/>
    <m/>
    <n v="2"/>
    <x v="0"/>
    <x v="1"/>
    <m/>
    <m/>
    <m/>
    <m/>
    <m/>
    <m/>
    <n v="7"/>
    <m/>
    <m/>
    <n v="7"/>
    <m/>
    <m/>
    <n v="1"/>
    <m/>
    <m/>
    <m/>
    <m/>
    <m/>
    <m/>
    <m/>
    <m/>
    <m/>
    <m/>
    <m/>
    <m/>
    <m/>
    <m/>
    <m/>
    <m/>
    <m/>
    <s v="no test"/>
    <s v="no test"/>
    <s v="No Test"/>
    <n v="0"/>
    <n v="0"/>
    <n v="8"/>
    <n v="0"/>
    <n v="0"/>
    <n v="0"/>
    <n v="0"/>
    <n v="1"/>
    <n v="1"/>
    <n v="1"/>
    <n v="132"/>
    <n v="0"/>
    <n v="0"/>
    <n v="1"/>
    <n v="132"/>
    <n v="0.26400000000000001"/>
    <n v="0"/>
    <n v="0"/>
    <n v="0.73599999999999999"/>
    <n v="1"/>
    <n v="27"/>
    <n v="1"/>
    <n v="132"/>
    <n v="0"/>
    <n v="0"/>
    <n v="0"/>
    <n v="7"/>
    <n v="0"/>
    <n v="0"/>
    <n v="0"/>
    <n v="132"/>
    <n v="0"/>
    <n v="0"/>
    <n v="0"/>
    <n v="132"/>
    <n v="1"/>
    <n v="0"/>
    <n v="1"/>
    <n v="0"/>
    <n v="0"/>
    <n v="7"/>
    <n v="26"/>
    <n v="0"/>
    <n v="132"/>
    <s v="No"/>
    <s v=""/>
    <n v="0"/>
    <n v="0"/>
    <n v="0"/>
    <n v="0"/>
    <n v="0"/>
    <n v="0"/>
    <s v="Yes"/>
    <s v="KMSS-LSO"/>
    <x v="0"/>
    <x v="1"/>
    <x v="0"/>
    <n v="23.38503"/>
    <n v="97.837040000000002"/>
    <s v="MMR015CMP017"/>
    <x v="0"/>
    <x v="0"/>
    <n v="26"/>
    <n v="132"/>
  </r>
  <r>
    <x v="0"/>
    <x v="6"/>
    <x v="5"/>
    <s v="USAID/HOPE-94"/>
    <x v="0"/>
    <x v="7"/>
    <x v="1"/>
    <x v="128"/>
    <n v="172"/>
    <n v="789"/>
    <s v="13-8-2021, 6-1-2020"/>
    <s v="30-6-2022, 30.4.2021"/>
    <m/>
    <m/>
    <m/>
    <m/>
    <s v="Yes"/>
    <m/>
    <n v="7"/>
    <n v="4"/>
    <m/>
    <m/>
    <n v="4"/>
    <m/>
    <m/>
    <m/>
    <m/>
    <m/>
    <m/>
    <m/>
    <m/>
    <m/>
    <n v="1"/>
    <m/>
    <m/>
    <m/>
    <m/>
    <m/>
    <m/>
    <m/>
    <m/>
    <m/>
    <n v="44"/>
    <m/>
    <m/>
    <m/>
    <m/>
    <m/>
    <m/>
    <m/>
    <x v="0"/>
    <x v="0"/>
    <m/>
    <n v="1"/>
    <m/>
    <m/>
    <n v="1"/>
    <m/>
    <n v="4"/>
    <m/>
    <m/>
    <n v="5"/>
    <m/>
    <m/>
    <m/>
    <m/>
    <m/>
    <m/>
    <m/>
    <m/>
    <m/>
    <m/>
    <m/>
    <m/>
    <m/>
    <m/>
    <m/>
    <m/>
    <m/>
    <m/>
    <m/>
    <m/>
    <s v="no test"/>
    <s v="no test"/>
    <s v="No Test"/>
    <n v="4"/>
    <n v="4"/>
    <n v="0"/>
    <n v="0"/>
    <n v="0"/>
    <n v="0"/>
    <n v="0"/>
    <n v="1"/>
    <n v="1"/>
    <n v="1"/>
    <n v="789"/>
    <n v="0"/>
    <n v="0"/>
    <n v="1"/>
    <n v="789"/>
    <n v="1.5780000000000001"/>
    <n v="0"/>
    <n v="0"/>
    <n v="0.42199999999999993"/>
    <n v="2"/>
    <n v="44"/>
    <n v="1"/>
    <n v="789"/>
    <n v="0"/>
    <n v="0"/>
    <n v="0"/>
    <n v="39"/>
    <n v="0"/>
    <n v="0"/>
    <n v="0"/>
    <n v="0"/>
    <n v="0"/>
    <n v="0"/>
    <n v="0"/>
    <n v="0"/>
    <n v="0"/>
    <n v="1"/>
    <n v="0"/>
    <n v="0"/>
    <n v="0"/>
    <n v="4"/>
    <n v="80"/>
    <n v="0"/>
    <n v="400"/>
    <s v="No"/>
    <s v=""/>
    <n v="0"/>
    <n v="0"/>
    <n v="0"/>
    <n v="0"/>
    <n v="0"/>
    <n v="0"/>
    <s v="Yes"/>
    <s v="KBC-BMO"/>
    <x v="0"/>
    <x v="1"/>
    <x v="0"/>
    <n v="24.129059999999999"/>
    <n v="97.291820000000001"/>
    <s v="MMR001CMP066"/>
    <x v="0"/>
    <x v="0"/>
    <n v="180"/>
    <n v="826"/>
  </r>
  <r>
    <x v="0"/>
    <x v="7"/>
    <x v="6"/>
    <s v="ECHO 2739"/>
    <x v="0"/>
    <x v="0"/>
    <x v="1"/>
    <x v="129"/>
    <n v="565"/>
    <n v="3451"/>
    <d v="2022-04-01T00:00:00"/>
    <d v="2023-03-31T00:00:00"/>
    <m/>
    <m/>
    <n v="6"/>
    <m/>
    <s v="Yes"/>
    <n v="16"/>
    <n v="13"/>
    <n v="1"/>
    <n v="1"/>
    <m/>
    <n v="24"/>
    <m/>
    <m/>
    <m/>
    <m/>
    <m/>
    <m/>
    <m/>
    <m/>
    <m/>
    <n v="6"/>
    <m/>
    <n v="15"/>
    <n v="15"/>
    <n v="27"/>
    <n v="27"/>
    <m/>
    <m/>
    <m/>
    <m/>
    <n v="148"/>
    <m/>
    <m/>
    <m/>
    <n v="11"/>
    <n v="129"/>
    <n v="144"/>
    <m/>
    <x v="0"/>
    <x v="0"/>
    <m/>
    <n v="10"/>
    <m/>
    <m/>
    <n v="23"/>
    <m/>
    <n v="32"/>
    <m/>
    <n v="1"/>
    <n v="16"/>
    <m/>
    <m/>
    <n v="6"/>
    <n v="435"/>
    <n v="210"/>
    <s v="No"/>
    <n v="1"/>
    <n v="0.8"/>
    <m/>
    <n v="0.98"/>
    <n v="1"/>
    <n v="23"/>
    <n v="1"/>
    <m/>
    <m/>
    <m/>
    <m/>
    <m/>
    <m/>
    <m/>
    <n v="1"/>
    <n v="1"/>
    <s v="Tested"/>
    <n v="0"/>
    <n v="24"/>
    <n v="0"/>
    <n v="0"/>
    <n v="0"/>
    <n v="0"/>
    <n v="0"/>
    <n v="1"/>
    <n v="1"/>
    <n v="1"/>
    <n v="3451"/>
    <n v="0"/>
    <n v="0"/>
    <n v="1"/>
    <n v="3451"/>
    <n v="6.9020000000000001"/>
    <n v="0"/>
    <n v="0"/>
    <n v="9.7999999999999865E-2"/>
    <n v="7"/>
    <n v="148"/>
    <n v="0.86438713416401047"/>
    <n v="2983"/>
    <n v="2580"/>
    <n v="0"/>
    <n v="0"/>
    <n v="173"/>
    <n v="25"/>
    <n v="0.13561286583598953"/>
    <n v="0"/>
    <n v="3000"/>
    <n v="2175"/>
    <n v="210"/>
    <n v="2175"/>
    <n v="3000"/>
    <n v="0.8693132425383947"/>
    <n v="0.1306867574616053"/>
    <n v="0.8693132425383947"/>
    <n v="1"/>
    <n v="0.37168141592920356"/>
    <n v="32"/>
    <n v="565"/>
    <n v="0"/>
    <n v="3200"/>
    <s v="No"/>
    <n v="6.6647348594610261E-3"/>
    <n v="3381.98"/>
    <n v="3451"/>
    <n v="3451"/>
    <n v="3451"/>
    <n v="0"/>
    <n v="0"/>
    <s v="Yes"/>
    <s v="KBC-BMO"/>
    <x v="0"/>
    <x v="1"/>
    <x v="0"/>
    <n v="24.268292826086999"/>
    <n v="97.229116811594196"/>
    <s v="MMR001CMP047"/>
    <x v="0"/>
    <x v="0"/>
    <n v="565"/>
    <n v="3369"/>
  </r>
  <r>
    <x v="0"/>
    <x v="6"/>
    <x v="5"/>
    <s v="USAID/HOPE-94"/>
    <x v="0"/>
    <x v="0"/>
    <x v="1"/>
    <x v="130"/>
    <n v="65"/>
    <n v="334"/>
    <s v="13-8-2021, 6-1-2020"/>
    <s v="30-6-2022, 30.4.2021"/>
    <m/>
    <m/>
    <m/>
    <m/>
    <s v="Yes"/>
    <n v="2"/>
    <n v="4"/>
    <n v="1"/>
    <m/>
    <m/>
    <n v="2"/>
    <m/>
    <m/>
    <m/>
    <m/>
    <m/>
    <m/>
    <m/>
    <m/>
    <m/>
    <n v="1"/>
    <m/>
    <m/>
    <m/>
    <m/>
    <m/>
    <m/>
    <m/>
    <m/>
    <m/>
    <n v="33"/>
    <m/>
    <m/>
    <m/>
    <m/>
    <m/>
    <m/>
    <m/>
    <x v="0"/>
    <x v="0"/>
    <m/>
    <m/>
    <m/>
    <m/>
    <m/>
    <m/>
    <n v="19"/>
    <m/>
    <m/>
    <n v="7"/>
    <m/>
    <m/>
    <m/>
    <m/>
    <m/>
    <m/>
    <m/>
    <m/>
    <m/>
    <m/>
    <m/>
    <m/>
    <m/>
    <m/>
    <m/>
    <m/>
    <m/>
    <m/>
    <m/>
    <m/>
    <s v="no test"/>
    <s v="no test"/>
    <s v="No Test"/>
    <n v="1"/>
    <n v="2"/>
    <n v="0"/>
    <n v="0"/>
    <n v="0"/>
    <n v="0"/>
    <n v="0"/>
    <n v="1"/>
    <n v="1"/>
    <n v="1"/>
    <n v="334"/>
    <n v="0"/>
    <n v="0"/>
    <n v="1"/>
    <n v="334"/>
    <n v="0.66800000000000004"/>
    <n v="0"/>
    <n v="0"/>
    <n v="0.33199999999999996"/>
    <n v="1"/>
    <n v="33"/>
    <n v="1"/>
    <n v="334"/>
    <n v="0"/>
    <n v="0"/>
    <n v="0"/>
    <n v="17"/>
    <n v="0"/>
    <n v="0"/>
    <n v="0"/>
    <n v="0"/>
    <n v="0"/>
    <n v="0"/>
    <n v="0"/>
    <n v="0"/>
    <n v="0"/>
    <n v="1"/>
    <n v="0"/>
    <n v="0"/>
    <n v="0"/>
    <n v="19"/>
    <n v="65"/>
    <n v="0"/>
    <n v="334"/>
    <s v="No"/>
    <s v=""/>
    <n v="0"/>
    <n v="0"/>
    <n v="0"/>
    <n v="0"/>
    <n v="0"/>
    <n v="0"/>
    <s v="Yes"/>
    <s v="KBC-BMO"/>
    <x v="0"/>
    <x v="1"/>
    <x v="0"/>
    <n v="24.222349999999999"/>
    <n v="97.252650000000003"/>
    <s v="MMR001CMP193"/>
    <x v="0"/>
    <x v="0"/>
    <n v="58"/>
    <n v="314"/>
  </r>
  <r>
    <x v="0"/>
    <x v="6"/>
    <x v="5"/>
    <s v="ECHO 2739"/>
    <x v="0"/>
    <x v="6"/>
    <x v="0"/>
    <x v="131"/>
    <n v="11"/>
    <n v="32"/>
    <m/>
    <m/>
    <m/>
    <m/>
    <n v="1"/>
    <m/>
    <s v="Yes"/>
    <n v="3"/>
    <n v="8"/>
    <m/>
    <m/>
    <m/>
    <n v="1"/>
    <m/>
    <m/>
    <m/>
    <n v="1"/>
    <m/>
    <m/>
    <m/>
    <m/>
    <m/>
    <n v="1"/>
    <m/>
    <m/>
    <m/>
    <m/>
    <m/>
    <m/>
    <m/>
    <m/>
    <m/>
    <n v="12"/>
    <m/>
    <m/>
    <m/>
    <m/>
    <m/>
    <m/>
    <m/>
    <x v="0"/>
    <x v="0"/>
    <m/>
    <m/>
    <m/>
    <m/>
    <m/>
    <m/>
    <n v="7"/>
    <m/>
    <m/>
    <n v="2"/>
    <m/>
    <m/>
    <n v="1"/>
    <m/>
    <m/>
    <m/>
    <m/>
    <m/>
    <m/>
    <m/>
    <m/>
    <m/>
    <m/>
    <m/>
    <m/>
    <m/>
    <m/>
    <m/>
    <m/>
    <m/>
    <s v="no test"/>
    <s v="no test"/>
    <s v="No Test"/>
    <n v="0"/>
    <n v="1"/>
    <n v="1"/>
    <n v="0"/>
    <n v="0"/>
    <n v="0"/>
    <n v="0"/>
    <n v="1"/>
    <n v="1"/>
    <n v="1"/>
    <n v="32"/>
    <n v="0"/>
    <n v="0"/>
    <n v="1"/>
    <n v="32"/>
    <n v="6.4000000000000001E-2"/>
    <n v="0"/>
    <n v="0"/>
    <n v="0.93599999999999994"/>
    <n v="1"/>
    <n v="12"/>
    <n v="1"/>
    <n v="32"/>
    <n v="0"/>
    <n v="0"/>
    <n v="0"/>
    <n v="2"/>
    <n v="0"/>
    <n v="0"/>
    <n v="0"/>
    <n v="32"/>
    <n v="0"/>
    <n v="0"/>
    <n v="0"/>
    <n v="32"/>
    <n v="1"/>
    <n v="0"/>
    <n v="1"/>
    <n v="0"/>
    <n v="0"/>
    <n v="7"/>
    <n v="11"/>
    <n v="0"/>
    <n v="32"/>
    <s v="No"/>
    <s v=""/>
    <n v="0"/>
    <n v="0"/>
    <n v="0"/>
    <n v="0"/>
    <n v="0"/>
    <n v="0"/>
    <n v="0"/>
    <n v="0"/>
    <x v="0"/>
    <x v="1"/>
    <x v="0"/>
    <n v="0"/>
    <n v="0"/>
    <n v="0"/>
    <x v="0"/>
    <x v="0"/>
    <n v="0"/>
    <n v="0"/>
  </r>
  <r>
    <x v="0"/>
    <x v="12"/>
    <x v="0"/>
    <s v="UNICEF,SIDA"/>
    <x v="0"/>
    <x v="1"/>
    <x v="1"/>
    <x v="132"/>
    <n v="130"/>
    <n v="640"/>
    <d v="2022-09-07T00:00:00"/>
    <d v="2023-09-06T00:00:00"/>
    <m/>
    <n v="3"/>
    <m/>
    <m/>
    <s v="Yes"/>
    <n v="2"/>
    <n v="3"/>
    <n v="3"/>
    <m/>
    <m/>
    <n v="3"/>
    <m/>
    <m/>
    <m/>
    <m/>
    <m/>
    <m/>
    <m/>
    <m/>
    <m/>
    <m/>
    <n v="2"/>
    <m/>
    <m/>
    <m/>
    <m/>
    <m/>
    <m/>
    <m/>
    <m/>
    <n v="32"/>
    <m/>
    <m/>
    <m/>
    <m/>
    <m/>
    <m/>
    <n v="32"/>
    <x v="0"/>
    <x v="0"/>
    <m/>
    <m/>
    <m/>
    <m/>
    <m/>
    <m/>
    <n v="3"/>
    <m/>
    <m/>
    <n v="2"/>
    <m/>
    <m/>
    <m/>
    <m/>
    <m/>
    <m/>
    <m/>
    <m/>
    <m/>
    <m/>
    <m/>
    <m/>
    <m/>
    <m/>
    <m/>
    <m/>
    <m/>
    <m/>
    <m/>
    <m/>
    <s v="no test"/>
    <s v="no test"/>
    <s v="No Test"/>
    <n v="3"/>
    <n v="3"/>
    <n v="0"/>
    <n v="0"/>
    <n v="0"/>
    <n v="0"/>
    <n v="0"/>
    <n v="1"/>
    <n v="1"/>
    <n v="1"/>
    <n v="640"/>
    <n v="0"/>
    <n v="0"/>
    <n v="1"/>
    <n v="640"/>
    <n v="1.28"/>
    <n v="0"/>
    <n v="0"/>
    <n v="0"/>
    <n v="1"/>
    <n v="32"/>
    <n v="1"/>
    <n v="640"/>
    <n v="0"/>
    <n v="0"/>
    <n v="0"/>
    <n v="32"/>
    <n v="0"/>
    <n v="0"/>
    <n v="0"/>
    <n v="0"/>
    <n v="0"/>
    <n v="0"/>
    <n v="0"/>
    <n v="0"/>
    <n v="0"/>
    <n v="1"/>
    <n v="0"/>
    <n v="0"/>
    <n v="0"/>
    <n v="3"/>
    <n v="60"/>
    <n v="0"/>
    <n v="300"/>
    <s v="No"/>
    <s v=""/>
    <n v="0"/>
    <n v="0"/>
    <n v="0"/>
    <n v="0"/>
    <n v="0"/>
    <n v="0"/>
    <s v="Yes"/>
    <s v="KBC-MYT"/>
    <x v="0"/>
    <x v="1"/>
    <x v="0"/>
    <n v="25.3510167948718"/>
    <n v="97.403402307692303"/>
    <s v="MMR001CMP014"/>
    <x v="0"/>
    <x v="0"/>
    <n v="131"/>
    <n v="647"/>
  </r>
  <r>
    <x v="0"/>
    <x v="4"/>
    <x v="3"/>
    <m/>
    <x v="0"/>
    <x v="4"/>
    <x v="3"/>
    <x v="133"/>
    <n v="95"/>
    <n v="499"/>
    <m/>
    <m/>
    <m/>
    <m/>
    <m/>
    <m/>
    <m/>
    <m/>
    <m/>
    <m/>
    <m/>
    <m/>
    <m/>
    <m/>
    <m/>
    <m/>
    <m/>
    <m/>
    <m/>
    <m/>
    <m/>
    <m/>
    <m/>
    <m/>
    <m/>
    <m/>
    <m/>
    <m/>
    <m/>
    <m/>
    <m/>
    <m/>
    <m/>
    <m/>
    <m/>
    <m/>
    <m/>
    <m/>
    <m/>
    <m/>
    <x v="3"/>
    <x v="4"/>
    <m/>
    <m/>
    <m/>
    <m/>
    <m/>
    <m/>
    <m/>
    <m/>
    <m/>
    <m/>
    <m/>
    <m/>
    <m/>
    <m/>
    <m/>
    <m/>
    <m/>
    <m/>
    <m/>
    <m/>
    <m/>
    <m/>
    <m/>
    <m/>
    <m/>
    <m/>
    <m/>
    <m/>
    <m/>
    <m/>
    <s v="no test"/>
    <s v="no test"/>
    <s v="No Test"/>
    <n v="0"/>
    <n v="0"/>
    <n v="0"/>
    <n v="0"/>
    <n v="0"/>
    <n v="0"/>
    <n v="0"/>
    <n v="0"/>
    <n v="0"/>
    <n v="0"/>
    <n v="0"/>
    <n v="0"/>
    <n v="0"/>
    <n v="0"/>
    <n v="0"/>
    <n v="0"/>
    <n v="1"/>
    <n v="499"/>
    <n v="1"/>
    <n v="1"/>
    <n v="0"/>
    <n v="0"/>
    <n v="0"/>
    <n v="0"/>
    <n v="0"/>
    <n v="0"/>
    <n v="83"/>
    <n v="83"/>
    <n v="1"/>
    <n v="0"/>
    <n v="0"/>
    <n v="0"/>
    <n v="0"/>
    <n v="0"/>
    <n v="0"/>
    <n v="0"/>
    <n v="1"/>
    <n v="0"/>
    <n v="0"/>
    <n v="0"/>
    <n v="0"/>
    <n v="0"/>
    <n v="0"/>
    <n v="0"/>
    <s v="No"/>
    <s v=""/>
    <n v="0"/>
    <n v="0"/>
    <n v="0"/>
    <n v="0"/>
    <n v="0"/>
    <n v="0"/>
    <n v="0"/>
    <n v="0"/>
    <x v="1"/>
    <x v="5"/>
    <x v="0"/>
    <n v="25.415667500000001"/>
    <n v="97.437782499999997"/>
    <s v="MMR001CMP277"/>
    <x v="1"/>
    <x v="1"/>
    <n v="95"/>
    <n v="499"/>
  </r>
  <r>
    <x v="0"/>
    <x v="4"/>
    <x v="3"/>
    <m/>
    <x v="0"/>
    <x v="7"/>
    <x v="3"/>
    <x v="134"/>
    <n v="86"/>
    <n v="450"/>
    <m/>
    <m/>
    <m/>
    <m/>
    <m/>
    <m/>
    <m/>
    <m/>
    <m/>
    <m/>
    <m/>
    <m/>
    <m/>
    <m/>
    <m/>
    <m/>
    <m/>
    <m/>
    <m/>
    <m/>
    <m/>
    <m/>
    <m/>
    <m/>
    <m/>
    <m/>
    <m/>
    <m/>
    <m/>
    <m/>
    <m/>
    <m/>
    <m/>
    <m/>
    <m/>
    <m/>
    <m/>
    <m/>
    <m/>
    <m/>
    <x v="3"/>
    <x v="4"/>
    <m/>
    <m/>
    <m/>
    <m/>
    <m/>
    <m/>
    <m/>
    <m/>
    <m/>
    <m/>
    <m/>
    <m/>
    <m/>
    <m/>
    <m/>
    <m/>
    <m/>
    <m/>
    <m/>
    <m/>
    <m/>
    <m/>
    <m/>
    <m/>
    <m/>
    <m/>
    <m/>
    <m/>
    <m/>
    <m/>
    <s v="no test"/>
    <s v="no test"/>
    <s v="No Test"/>
    <n v="0"/>
    <n v="0"/>
    <n v="0"/>
    <n v="0"/>
    <n v="0"/>
    <n v="0"/>
    <n v="0"/>
    <n v="0"/>
    <n v="0"/>
    <n v="0"/>
    <n v="0"/>
    <n v="0"/>
    <n v="0"/>
    <n v="0"/>
    <n v="0"/>
    <n v="0"/>
    <n v="1"/>
    <n v="450"/>
    <n v="1"/>
    <n v="1"/>
    <n v="0"/>
    <n v="0"/>
    <n v="0"/>
    <n v="0"/>
    <n v="0"/>
    <n v="0"/>
    <n v="75"/>
    <n v="75"/>
    <n v="1"/>
    <n v="0"/>
    <n v="0"/>
    <n v="0"/>
    <n v="0"/>
    <n v="0"/>
    <n v="0"/>
    <n v="0"/>
    <n v="1"/>
    <n v="0"/>
    <n v="0"/>
    <n v="0"/>
    <n v="0"/>
    <n v="0"/>
    <n v="0"/>
    <n v="0"/>
    <s v="No"/>
    <s v=""/>
    <n v="0"/>
    <n v="0"/>
    <n v="0"/>
    <n v="0"/>
    <n v="0"/>
    <n v="0"/>
    <n v="0"/>
    <n v="0"/>
    <x v="1"/>
    <x v="5"/>
    <x v="0"/>
    <n v="24.109690000000001"/>
    <n v="97.241101"/>
    <s v="MMR001CMP278"/>
    <x v="1"/>
    <x v="1"/>
    <n v="86"/>
    <n v="450"/>
  </r>
  <r>
    <x v="0"/>
    <x v="4"/>
    <x v="3"/>
    <m/>
    <x v="0"/>
    <x v="4"/>
    <x v="1"/>
    <x v="135"/>
    <n v="45"/>
    <n v="247"/>
    <m/>
    <m/>
    <m/>
    <m/>
    <m/>
    <m/>
    <m/>
    <m/>
    <n v="2"/>
    <m/>
    <m/>
    <m/>
    <m/>
    <m/>
    <m/>
    <m/>
    <m/>
    <m/>
    <m/>
    <m/>
    <m/>
    <m/>
    <m/>
    <m/>
    <m/>
    <m/>
    <m/>
    <m/>
    <m/>
    <m/>
    <m/>
    <m/>
    <m/>
    <m/>
    <m/>
    <m/>
    <m/>
    <m/>
    <m/>
    <m/>
    <x v="1"/>
    <x v="2"/>
    <m/>
    <m/>
    <m/>
    <m/>
    <m/>
    <m/>
    <n v="1"/>
    <m/>
    <m/>
    <n v="3"/>
    <m/>
    <m/>
    <m/>
    <m/>
    <m/>
    <m/>
    <m/>
    <m/>
    <m/>
    <m/>
    <m/>
    <m/>
    <m/>
    <m/>
    <m/>
    <m/>
    <m/>
    <m/>
    <m/>
    <m/>
    <s v="no test"/>
    <s v="no test"/>
    <s v="No Test"/>
    <n v="0"/>
    <n v="0"/>
    <n v="0"/>
    <n v="0"/>
    <n v="0"/>
    <n v="0"/>
    <n v="0"/>
    <n v="0"/>
    <n v="0"/>
    <n v="0"/>
    <n v="0"/>
    <n v="0"/>
    <n v="0"/>
    <n v="0"/>
    <n v="0"/>
    <n v="0"/>
    <n v="1"/>
    <n v="247"/>
    <n v="1"/>
    <n v="1"/>
    <n v="0"/>
    <n v="0"/>
    <n v="0"/>
    <n v="0"/>
    <n v="0"/>
    <n v="0"/>
    <n v="12"/>
    <n v="12"/>
    <n v="1"/>
    <n v="0"/>
    <n v="0"/>
    <n v="0"/>
    <n v="0"/>
    <n v="0"/>
    <n v="0"/>
    <n v="0"/>
    <n v="1"/>
    <n v="0"/>
    <n v="0"/>
    <n v="0"/>
    <n v="1"/>
    <n v="20"/>
    <n v="0"/>
    <n v="100"/>
    <s v="No"/>
    <s v=""/>
    <n v="0"/>
    <n v="0"/>
    <n v="0"/>
    <n v="0"/>
    <n v="0"/>
    <n v="0"/>
    <n v="0"/>
    <s v="uncovered"/>
    <x v="0"/>
    <x v="0"/>
    <x v="0"/>
    <n v="25.391428000000001"/>
    <n v="97.898184999999998"/>
    <s v="MMR001CMP258"/>
    <x v="1"/>
    <x v="1"/>
    <n v="17"/>
    <n v="107"/>
  </r>
  <r>
    <x v="0"/>
    <x v="4"/>
    <x v="3"/>
    <m/>
    <x v="0"/>
    <x v="11"/>
    <x v="1"/>
    <x v="136"/>
    <n v="42"/>
    <n v="112"/>
    <m/>
    <m/>
    <m/>
    <m/>
    <m/>
    <m/>
    <m/>
    <m/>
    <m/>
    <m/>
    <m/>
    <m/>
    <m/>
    <m/>
    <m/>
    <m/>
    <m/>
    <m/>
    <m/>
    <m/>
    <m/>
    <m/>
    <m/>
    <m/>
    <m/>
    <m/>
    <m/>
    <m/>
    <m/>
    <m/>
    <m/>
    <m/>
    <m/>
    <m/>
    <m/>
    <m/>
    <m/>
    <m/>
    <m/>
    <m/>
    <x v="3"/>
    <x v="4"/>
    <m/>
    <m/>
    <m/>
    <m/>
    <m/>
    <m/>
    <m/>
    <m/>
    <m/>
    <m/>
    <m/>
    <m/>
    <m/>
    <m/>
    <m/>
    <m/>
    <m/>
    <m/>
    <m/>
    <m/>
    <m/>
    <m/>
    <m/>
    <m/>
    <m/>
    <m/>
    <m/>
    <m/>
    <m/>
    <m/>
    <s v="no test"/>
    <s v="no test"/>
    <s v="No Test"/>
    <n v="0"/>
    <n v="0"/>
    <n v="0"/>
    <n v="0"/>
    <n v="0"/>
    <n v="0"/>
    <n v="0"/>
    <n v="0"/>
    <n v="0"/>
    <n v="0"/>
    <n v="0"/>
    <n v="0"/>
    <n v="0"/>
    <n v="0"/>
    <n v="0"/>
    <n v="0"/>
    <n v="1"/>
    <n v="112"/>
    <n v="1"/>
    <n v="1"/>
    <n v="0"/>
    <n v="0"/>
    <n v="0"/>
    <n v="0"/>
    <n v="0"/>
    <n v="0"/>
    <n v="6"/>
    <n v="6"/>
    <n v="1"/>
    <n v="0"/>
    <n v="0"/>
    <n v="0"/>
    <n v="0"/>
    <n v="0"/>
    <n v="0"/>
    <n v="0"/>
    <n v="1"/>
    <n v="0"/>
    <n v="0"/>
    <n v="0"/>
    <n v="0"/>
    <n v="0"/>
    <n v="0"/>
    <n v="0"/>
    <s v="No"/>
    <s v=""/>
    <n v="0"/>
    <n v="0"/>
    <n v="0"/>
    <n v="0"/>
    <n v="0"/>
    <n v="0"/>
    <n v="0"/>
    <s v="Uncovered  "/>
    <x v="0"/>
    <x v="0"/>
    <x v="1"/>
    <n v="0"/>
    <s v="not available"/>
    <s v="MMR001CMP297"/>
    <x v="1"/>
    <x v="1"/>
    <n v="42"/>
    <n v="112"/>
  </r>
  <r>
    <x v="0"/>
    <x v="4"/>
    <x v="3"/>
    <m/>
    <x v="0"/>
    <x v="3"/>
    <x v="1"/>
    <x v="137"/>
    <n v="12"/>
    <n v="54"/>
    <m/>
    <m/>
    <m/>
    <m/>
    <m/>
    <m/>
    <m/>
    <m/>
    <m/>
    <m/>
    <m/>
    <m/>
    <m/>
    <m/>
    <m/>
    <m/>
    <m/>
    <m/>
    <m/>
    <m/>
    <m/>
    <m/>
    <m/>
    <m/>
    <m/>
    <m/>
    <m/>
    <m/>
    <m/>
    <m/>
    <m/>
    <m/>
    <m/>
    <m/>
    <m/>
    <m/>
    <m/>
    <m/>
    <m/>
    <m/>
    <x v="3"/>
    <x v="4"/>
    <m/>
    <m/>
    <m/>
    <m/>
    <m/>
    <m/>
    <m/>
    <m/>
    <m/>
    <m/>
    <m/>
    <m/>
    <m/>
    <m/>
    <m/>
    <m/>
    <m/>
    <m/>
    <m/>
    <m/>
    <m/>
    <m/>
    <m/>
    <m/>
    <m/>
    <m/>
    <m/>
    <m/>
    <m/>
    <m/>
    <s v="no test"/>
    <s v="no test"/>
    <s v="No Test"/>
    <n v="0"/>
    <n v="0"/>
    <n v="0"/>
    <n v="0"/>
    <n v="0"/>
    <n v="0"/>
    <n v="0"/>
    <n v="0"/>
    <n v="0"/>
    <n v="0"/>
    <n v="0"/>
    <n v="0"/>
    <n v="0"/>
    <n v="0"/>
    <n v="0"/>
    <n v="0"/>
    <n v="1"/>
    <n v="54"/>
    <n v="1"/>
    <n v="1"/>
    <n v="0"/>
    <n v="0"/>
    <n v="0"/>
    <n v="0"/>
    <n v="0"/>
    <n v="0"/>
    <n v="3"/>
    <n v="3"/>
    <n v="1"/>
    <n v="0"/>
    <n v="0"/>
    <n v="0"/>
    <n v="0"/>
    <n v="0"/>
    <n v="0"/>
    <n v="0"/>
    <n v="1"/>
    <n v="0"/>
    <n v="0"/>
    <n v="0"/>
    <n v="0"/>
    <n v="0"/>
    <n v="0"/>
    <n v="0"/>
    <s v="No"/>
    <s v=""/>
    <n v="0"/>
    <n v="0"/>
    <n v="0"/>
    <n v="0"/>
    <n v="0"/>
    <n v="0"/>
    <n v="0"/>
    <s v="Uncovered  "/>
    <x v="0"/>
    <x v="0"/>
    <x v="0"/>
    <n v="0"/>
    <s v="not available"/>
    <s v="MMR001CMP298"/>
    <x v="1"/>
    <x v="1"/>
    <n v="12"/>
    <n v="54"/>
  </r>
  <r>
    <x v="0"/>
    <x v="4"/>
    <x v="3"/>
    <m/>
    <x v="0"/>
    <x v="8"/>
    <x v="1"/>
    <x v="138"/>
    <n v="92"/>
    <n v="479"/>
    <m/>
    <m/>
    <m/>
    <m/>
    <m/>
    <m/>
    <m/>
    <m/>
    <m/>
    <m/>
    <m/>
    <m/>
    <m/>
    <m/>
    <m/>
    <m/>
    <m/>
    <m/>
    <m/>
    <m/>
    <m/>
    <m/>
    <m/>
    <m/>
    <m/>
    <m/>
    <m/>
    <m/>
    <m/>
    <m/>
    <m/>
    <m/>
    <m/>
    <m/>
    <m/>
    <m/>
    <m/>
    <m/>
    <m/>
    <m/>
    <x v="3"/>
    <x v="4"/>
    <m/>
    <m/>
    <m/>
    <m/>
    <m/>
    <m/>
    <m/>
    <m/>
    <m/>
    <m/>
    <m/>
    <m/>
    <m/>
    <m/>
    <m/>
    <m/>
    <m/>
    <m/>
    <m/>
    <m/>
    <m/>
    <m/>
    <m/>
    <m/>
    <m/>
    <m/>
    <m/>
    <m/>
    <m/>
    <m/>
    <s v="no test"/>
    <s v="no test"/>
    <s v="No Test"/>
    <n v="0"/>
    <n v="0"/>
    <n v="0"/>
    <n v="0"/>
    <n v="0"/>
    <n v="0"/>
    <n v="0"/>
    <n v="0"/>
    <n v="0"/>
    <n v="0"/>
    <n v="0"/>
    <n v="0"/>
    <n v="0"/>
    <n v="0"/>
    <n v="0"/>
    <n v="0"/>
    <n v="1"/>
    <n v="479"/>
    <n v="1"/>
    <n v="1"/>
    <n v="0"/>
    <n v="0"/>
    <n v="0"/>
    <n v="0"/>
    <n v="0"/>
    <n v="0"/>
    <n v="24"/>
    <n v="24"/>
    <n v="1"/>
    <n v="0"/>
    <n v="0"/>
    <n v="0"/>
    <n v="0"/>
    <n v="0"/>
    <n v="0"/>
    <n v="0"/>
    <n v="1"/>
    <n v="0"/>
    <n v="0"/>
    <n v="0"/>
    <n v="0"/>
    <n v="0"/>
    <n v="0"/>
    <n v="0"/>
    <s v="No"/>
    <s v=""/>
    <n v="0"/>
    <n v="0"/>
    <n v="0"/>
    <n v="0"/>
    <n v="0"/>
    <n v="0"/>
    <n v="0"/>
    <s v="uncovered"/>
    <x v="0"/>
    <x v="0"/>
    <x v="1"/>
    <n v="0"/>
    <s v="not available"/>
    <s v="MMR001CMP299"/>
    <x v="1"/>
    <x v="1"/>
    <n v="92"/>
    <n v="479"/>
  </r>
  <r>
    <x v="0"/>
    <x v="4"/>
    <x v="3"/>
    <m/>
    <x v="0"/>
    <x v="4"/>
    <x v="1"/>
    <x v="139"/>
    <n v="52"/>
    <n v="318"/>
    <m/>
    <m/>
    <m/>
    <m/>
    <m/>
    <m/>
    <m/>
    <m/>
    <m/>
    <m/>
    <m/>
    <m/>
    <m/>
    <m/>
    <m/>
    <m/>
    <m/>
    <m/>
    <m/>
    <m/>
    <m/>
    <m/>
    <m/>
    <m/>
    <m/>
    <m/>
    <m/>
    <m/>
    <m/>
    <m/>
    <m/>
    <m/>
    <m/>
    <m/>
    <m/>
    <m/>
    <m/>
    <m/>
    <m/>
    <m/>
    <x v="3"/>
    <x v="4"/>
    <m/>
    <m/>
    <m/>
    <m/>
    <m/>
    <m/>
    <m/>
    <m/>
    <m/>
    <m/>
    <m/>
    <m/>
    <m/>
    <m/>
    <m/>
    <m/>
    <m/>
    <m/>
    <m/>
    <m/>
    <m/>
    <m/>
    <m/>
    <m/>
    <m/>
    <m/>
    <m/>
    <m/>
    <m/>
    <m/>
    <s v="no test"/>
    <s v="no test"/>
    <s v="No Test"/>
    <n v="0"/>
    <n v="0"/>
    <n v="0"/>
    <n v="0"/>
    <n v="0"/>
    <n v="0"/>
    <n v="0"/>
    <n v="0"/>
    <n v="0"/>
    <n v="0"/>
    <n v="0"/>
    <n v="0"/>
    <n v="0"/>
    <n v="0"/>
    <n v="0"/>
    <n v="0"/>
    <n v="1"/>
    <n v="318"/>
    <n v="1"/>
    <n v="1"/>
    <n v="0"/>
    <n v="0"/>
    <n v="0"/>
    <n v="0"/>
    <n v="0"/>
    <n v="0"/>
    <n v="16"/>
    <n v="16"/>
    <n v="1"/>
    <n v="0"/>
    <n v="0"/>
    <n v="0"/>
    <n v="0"/>
    <n v="0"/>
    <n v="0"/>
    <n v="0"/>
    <n v="1"/>
    <n v="0"/>
    <n v="0"/>
    <n v="0"/>
    <n v="0"/>
    <n v="0"/>
    <n v="0"/>
    <n v="0"/>
    <s v="No"/>
    <s v=""/>
    <n v="0"/>
    <n v="0"/>
    <n v="0"/>
    <n v="0"/>
    <n v="0"/>
    <n v="0"/>
    <n v="0"/>
    <s v="KBC-MYT"/>
    <x v="0"/>
    <x v="0"/>
    <x v="0"/>
    <n v="0"/>
    <n v="0"/>
    <n v="0"/>
    <x v="1"/>
    <x v="1"/>
    <n v="52"/>
    <n v="318"/>
  </r>
  <r>
    <x v="0"/>
    <x v="4"/>
    <x v="3"/>
    <m/>
    <x v="0"/>
    <x v="4"/>
    <x v="1"/>
    <x v="140"/>
    <n v="33"/>
    <n v="178"/>
    <m/>
    <m/>
    <m/>
    <m/>
    <m/>
    <m/>
    <m/>
    <m/>
    <m/>
    <m/>
    <m/>
    <m/>
    <m/>
    <m/>
    <m/>
    <m/>
    <m/>
    <m/>
    <m/>
    <m/>
    <m/>
    <m/>
    <m/>
    <m/>
    <m/>
    <m/>
    <m/>
    <m/>
    <m/>
    <m/>
    <m/>
    <m/>
    <m/>
    <m/>
    <m/>
    <m/>
    <m/>
    <m/>
    <m/>
    <m/>
    <x v="3"/>
    <x v="4"/>
    <m/>
    <m/>
    <m/>
    <m/>
    <m/>
    <m/>
    <m/>
    <m/>
    <m/>
    <m/>
    <m/>
    <m/>
    <m/>
    <m/>
    <m/>
    <m/>
    <m/>
    <m/>
    <m/>
    <m/>
    <m/>
    <m/>
    <m/>
    <m/>
    <m/>
    <m/>
    <m/>
    <m/>
    <m/>
    <m/>
    <s v="no test"/>
    <s v="no test"/>
    <s v="No Test"/>
    <n v="0"/>
    <n v="0"/>
    <n v="0"/>
    <n v="0"/>
    <n v="0"/>
    <n v="0"/>
    <n v="0"/>
    <n v="0"/>
    <n v="0"/>
    <n v="0"/>
    <n v="0"/>
    <n v="0"/>
    <n v="0"/>
    <n v="0"/>
    <n v="0"/>
    <n v="0"/>
    <n v="1"/>
    <n v="178"/>
    <n v="1"/>
    <n v="1"/>
    <n v="0"/>
    <n v="0"/>
    <n v="0"/>
    <n v="0"/>
    <n v="0"/>
    <n v="0"/>
    <n v="9"/>
    <n v="9"/>
    <n v="1"/>
    <n v="0"/>
    <n v="0"/>
    <n v="0"/>
    <n v="0"/>
    <n v="0"/>
    <n v="0"/>
    <n v="0"/>
    <n v="1"/>
    <n v="0"/>
    <n v="0"/>
    <n v="0"/>
    <n v="0"/>
    <n v="0"/>
    <n v="0"/>
    <n v="0"/>
    <s v="No"/>
    <s v=""/>
    <n v="0"/>
    <n v="0"/>
    <n v="0"/>
    <n v="0"/>
    <n v="0"/>
    <n v="0"/>
    <n v="0"/>
    <s v="DFSS"/>
    <x v="0"/>
    <x v="0"/>
    <x v="0"/>
    <n v="0"/>
    <n v="0"/>
    <s v="MMR001CMP302"/>
    <x v="1"/>
    <x v="1"/>
    <n v="33"/>
    <n v="178"/>
  </r>
  <r>
    <x v="0"/>
    <x v="4"/>
    <x v="3"/>
    <m/>
    <x v="0"/>
    <x v="4"/>
    <x v="1"/>
    <x v="141"/>
    <n v="30"/>
    <n v="157"/>
    <m/>
    <m/>
    <m/>
    <m/>
    <m/>
    <m/>
    <m/>
    <m/>
    <m/>
    <m/>
    <m/>
    <m/>
    <m/>
    <m/>
    <m/>
    <m/>
    <m/>
    <m/>
    <m/>
    <m/>
    <m/>
    <m/>
    <m/>
    <m/>
    <m/>
    <m/>
    <m/>
    <m/>
    <m/>
    <m/>
    <m/>
    <m/>
    <m/>
    <m/>
    <m/>
    <m/>
    <m/>
    <m/>
    <m/>
    <m/>
    <x v="3"/>
    <x v="4"/>
    <m/>
    <m/>
    <m/>
    <m/>
    <m/>
    <m/>
    <m/>
    <m/>
    <m/>
    <m/>
    <m/>
    <m/>
    <m/>
    <m/>
    <m/>
    <m/>
    <m/>
    <m/>
    <m/>
    <m/>
    <m/>
    <m/>
    <m/>
    <m/>
    <m/>
    <m/>
    <m/>
    <m/>
    <m/>
    <m/>
    <s v="no test"/>
    <s v="no test"/>
    <s v="No Test"/>
    <n v="0"/>
    <n v="0"/>
    <n v="0"/>
    <n v="0"/>
    <n v="0"/>
    <n v="0"/>
    <n v="0"/>
    <n v="0"/>
    <n v="0"/>
    <n v="0"/>
    <n v="0"/>
    <n v="0"/>
    <n v="0"/>
    <n v="0"/>
    <n v="0"/>
    <n v="0"/>
    <n v="1"/>
    <n v="157"/>
    <n v="1"/>
    <n v="1"/>
    <n v="0"/>
    <n v="0"/>
    <n v="0"/>
    <n v="0"/>
    <n v="0"/>
    <n v="0"/>
    <n v="8"/>
    <n v="8"/>
    <n v="1"/>
    <n v="0"/>
    <n v="0"/>
    <n v="0"/>
    <n v="0"/>
    <n v="0"/>
    <n v="0"/>
    <n v="0"/>
    <n v="1"/>
    <n v="0"/>
    <n v="0"/>
    <n v="0"/>
    <n v="0"/>
    <n v="0"/>
    <n v="0"/>
    <n v="0"/>
    <s v="No"/>
    <s v=""/>
    <n v="0"/>
    <n v="0"/>
    <n v="0"/>
    <n v="0"/>
    <n v="0"/>
    <n v="0"/>
    <n v="0"/>
    <s v="DFSS"/>
    <x v="0"/>
    <x v="0"/>
    <x v="0"/>
    <n v="0"/>
    <s v="not available"/>
    <s v="MMR001CMP296"/>
    <x v="1"/>
    <x v="1"/>
    <n v="30"/>
    <n v="157"/>
  </r>
  <r>
    <x v="0"/>
    <x v="4"/>
    <x v="3"/>
    <m/>
    <x v="0"/>
    <x v="4"/>
    <x v="1"/>
    <x v="142"/>
    <n v="27"/>
    <n v="139"/>
    <m/>
    <m/>
    <m/>
    <m/>
    <m/>
    <m/>
    <m/>
    <m/>
    <m/>
    <m/>
    <m/>
    <m/>
    <m/>
    <m/>
    <m/>
    <m/>
    <m/>
    <m/>
    <m/>
    <m/>
    <m/>
    <m/>
    <m/>
    <m/>
    <m/>
    <m/>
    <m/>
    <m/>
    <m/>
    <m/>
    <m/>
    <m/>
    <m/>
    <m/>
    <m/>
    <m/>
    <m/>
    <m/>
    <m/>
    <m/>
    <x v="1"/>
    <x v="2"/>
    <m/>
    <m/>
    <m/>
    <m/>
    <m/>
    <m/>
    <n v="7"/>
    <m/>
    <m/>
    <n v="7"/>
    <m/>
    <m/>
    <m/>
    <m/>
    <m/>
    <m/>
    <m/>
    <m/>
    <m/>
    <m/>
    <m/>
    <m/>
    <m/>
    <m/>
    <m/>
    <m/>
    <m/>
    <m/>
    <m/>
    <m/>
    <s v="no test"/>
    <s v="no test"/>
    <s v="No Test"/>
    <n v="0"/>
    <n v="0"/>
    <n v="0"/>
    <n v="0"/>
    <n v="0"/>
    <n v="0"/>
    <n v="0"/>
    <n v="0"/>
    <n v="0"/>
    <n v="0"/>
    <n v="0"/>
    <n v="0"/>
    <n v="0"/>
    <n v="0"/>
    <n v="0"/>
    <n v="0"/>
    <n v="1"/>
    <n v="139"/>
    <n v="1"/>
    <n v="1"/>
    <n v="0"/>
    <n v="0"/>
    <n v="0"/>
    <n v="0"/>
    <n v="0"/>
    <n v="0"/>
    <n v="7"/>
    <n v="7"/>
    <n v="1"/>
    <n v="0"/>
    <n v="0"/>
    <n v="0"/>
    <n v="0"/>
    <n v="0"/>
    <n v="0"/>
    <n v="0"/>
    <n v="1"/>
    <n v="0"/>
    <n v="0"/>
    <n v="0"/>
    <n v="7"/>
    <n v="27"/>
    <n v="0"/>
    <n v="139"/>
    <s v="No"/>
    <s v=""/>
    <n v="0"/>
    <n v="0"/>
    <n v="0"/>
    <n v="0"/>
    <n v="0"/>
    <n v="0"/>
    <n v="0"/>
    <s v="Uncovered  "/>
    <x v="0"/>
    <x v="0"/>
    <x v="0"/>
    <n v="25.211500000000001"/>
    <n v="97.261799999999994"/>
    <s v="MMR001CMP287"/>
    <x v="1"/>
    <x v="1"/>
    <n v="24"/>
    <n v="124"/>
  </r>
  <r>
    <x v="0"/>
    <x v="4"/>
    <x v="3"/>
    <m/>
    <x v="0"/>
    <x v="8"/>
    <x v="1"/>
    <x v="143"/>
    <n v="542"/>
    <n v="2399"/>
    <m/>
    <m/>
    <m/>
    <m/>
    <m/>
    <m/>
    <m/>
    <m/>
    <m/>
    <m/>
    <m/>
    <m/>
    <m/>
    <m/>
    <m/>
    <m/>
    <m/>
    <m/>
    <m/>
    <m/>
    <m/>
    <m/>
    <m/>
    <m/>
    <m/>
    <m/>
    <m/>
    <m/>
    <m/>
    <m/>
    <m/>
    <m/>
    <m/>
    <m/>
    <m/>
    <m/>
    <m/>
    <m/>
    <m/>
    <m/>
    <x v="3"/>
    <x v="4"/>
    <m/>
    <m/>
    <m/>
    <m/>
    <m/>
    <m/>
    <m/>
    <m/>
    <m/>
    <m/>
    <m/>
    <m/>
    <m/>
    <m/>
    <m/>
    <m/>
    <m/>
    <m/>
    <m/>
    <m/>
    <m/>
    <m/>
    <m/>
    <m/>
    <m/>
    <m/>
    <m/>
    <m/>
    <m/>
    <m/>
    <s v="no test"/>
    <s v="no test"/>
    <s v="No Test"/>
    <n v="0"/>
    <n v="0"/>
    <n v="0"/>
    <n v="0"/>
    <n v="0"/>
    <n v="0"/>
    <n v="0"/>
    <n v="0"/>
    <n v="0"/>
    <n v="0"/>
    <n v="0"/>
    <n v="0"/>
    <n v="0"/>
    <n v="0"/>
    <n v="0"/>
    <n v="0"/>
    <n v="1"/>
    <n v="2399"/>
    <n v="5"/>
    <n v="5"/>
    <n v="0"/>
    <n v="0"/>
    <n v="0"/>
    <n v="0"/>
    <n v="0"/>
    <n v="0"/>
    <n v="120"/>
    <n v="120"/>
    <n v="1"/>
    <n v="0"/>
    <n v="0"/>
    <n v="0"/>
    <n v="0"/>
    <n v="0"/>
    <n v="0"/>
    <n v="0"/>
    <n v="1"/>
    <n v="0"/>
    <n v="0"/>
    <n v="0"/>
    <n v="0"/>
    <n v="0"/>
    <n v="0"/>
    <n v="0"/>
    <s v="No"/>
    <s v=""/>
    <n v="0"/>
    <n v="0"/>
    <n v="0"/>
    <n v="0"/>
    <n v="0"/>
    <n v="0"/>
    <n v="0"/>
    <s v="uncovered"/>
    <x v="0"/>
    <x v="3"/>
    <x v="0"/>
    <n v="0"/>
    <s v="not available"/>
    <s v="MMR001CMP304"/>
    <x v="1"/>
    <x v="1"/>
    <n v="542"/>
    <n v="2399"/>
  </r>
  <r>
    <x v="0"/>
    <x v="4"/>
    <x v="3"/>
    <m/>
    <x v="0"/>
    <x v="4"/>
    <x v="1"/>
    <x v="144"/>
    <n v="16"/>
    <n v="76"/>
    <m/>
    <m/>
    <m/>
    <m/>
    <m/>
    <m/>
    <m/>
    <m/>
    <m/>
    <m/>
    <m/>
    <m/>
    <m/>
    <m/>
    <m/>
    <m/>
    <m/>
    <m/>
    <m/>
    <m/>
    <m/>
    <m/>
    <m/>
    <m/>
    <m/>
    <m/>
    <m/>
    <m/>
    <m/>
    <m/>
    <m/>
    <m/>
    <m/>
    <m/>
    <m/>
    <m/>
    <m/>
    <m/>
    <m/>
    <m/>
    <x v="3"/>
    <x v="4"/>
    <m/>
    <m/>
    <m/>
    <m/>
    <m/>
    <m/>
    <m/>
    <m/>
    <m/>
    <m/>
    <m/>
    <m/>
    <m/>
    <m/>
    <m/>
    <m/>
    <m/>
    <m/>
    <m/>
    <m/>
    <m/>
    <m/>
    <m/>
    <m/>
    <m/>
    <m/>
    <m/>
    <m/>
    <m/>
    <m/>
    <s v="no test"/>
    <s v="no test"/>
    <s v="No Test"/>
    <n v="0"/>
    <n v="0"/>
    <n v="0"/>
    <n v="0"/>
    <n v="0"/>
    <n v="0"/>
    <n v="0"/>
    <n v="0"/>
    <n v="0"/>
    <n v="0"/>
    <n v="0"/>
    <n v="0"/>
    <n v="0"/>
    <n v="0"/>
    <n v="0"/>
    <n v="0"/>
    <n v="1"/>
    <n v="76"/>
    <n v="1"/>
    <n v="1"/>
    <n v="0"/>
    <n v="0"/>
    <n v="0"/>
    <n v="0"/>
    <n v="0"/>
    <n v="0"/>
    <n v="4"/>
    <n v="4"/>
    <n v="1"/>
    <n v="0"/>
    <n v="0"/>
    <n v="0"/>
    <n v="0"/>
    <n v="0"/>
    <n v="0"/>
    <n v="0"/>
    <n v="1"/>
    <n v="0"/>
    <n v="0"/>
    <n v="0"/>
    <n v="0"/>
    <n v="0"/>
    <n v="0"/>
    <n v="0"/>
    <s v="No"/>
    <s v=""/>
    <n v="0"/>
    <n v="0"/>
    <n v="0"/>
    <n v="0"/>
    <n v="0"/>
    <n v="0"/>
    <n v="0"/>
    <s v="DFSS"/>
    <x v="0"/>
    <x v="0"/>
    <x v="0"/>
    <n v="0"/>
    <n v="0"/>
    <s v="MMR001CMP301"/>
    <x v="1"/>
    <x v="1"/>
    <n v="16"/>
    <n v="76"/>
  </r>
  <r>
    <x v="0"/>
    <x v="4"/>
    <x v="3"/>
    <m/>
    <x v="1"/>
    <x v="18"/>
    <x v="1"/>
    <x v="145"/>
    <n v="28"/>
    <n v="87"/>
    <m/>
    <m/>
    <m/>
    <m/>
    <m/>
    <m/>
    <m/>
    <m/>
    <m/>
    <m/>
    <m/>
    <m/>
    <m/>
    <m/>
    <m/>
    <m/>
    <m/>
    <m/>
    <m/>
    <m/>
    <m/>
    <m/>
    <m/>
    <m/>
    <m/>
    <m/>
    <m/>
    <m/>
    <m/>
    <m/>
    <m/>
    <m/>
    <m/>
    <m/>
    <m/>
    <m/>
    <m/>
    <m/>
    <m/>
    <m/>
    <x v="3"/>
    <x v="4"/>
    <m/>
    <m/>
    <m/>
    <m/>
    <m/>
    <m/>
    <m/>
    <m/>
    <m/>
    <m/>
    <m/>
    <m/>
    <m/>
    <m/>
    <m/>
    <m/>
    <m/>
    <m/>
    <m/>
    <m/>
    <m/>
    <m/>
    <m/>
    <m/>
    <m/>
    <m/>
    <m/>
    <m/>
    <m/>
    <m/>
    <s v="no test"/>
    <s v="no test"/>
    <s v="No Test"/>
    <n v="0"/>
    <n v="0"/>
    <n v="0"/>
    <n v="0"/>
    <n v="0"/>
    <n v="0"/>
    <n v="0"/>
    <n v="0"/>
    <n v="0"/>
    <n v="0"/>
    <n v="0"/>
    <n v="0"/>
    <n v="0"/>
    <n v="0"/>
    <n v="0"/>
    <n v="0"/>
    <n v="1"/>
    <n v="87"/>
    <n v="1"/>
    <n v="1"/>
    <n v="0"/>
    <n v="0"/>
    <n v="0"/>
    <n v="0"/>
    <n v="0"/>
    <n v="0"/>
    <n v="4"/>
    <n v="4"/>
    <n v="1"/>
    <n v="0"/>
    <n v="0"/>
    <n v="0"/>
    <n v="0"/>
    <n v="0"/>
    <n v="0"/>
    <n v="0"/>
    <n v="1"/>
    <n v="0"/>
    <n v="0"/>
    <n v="0"/>
    <n v="0"/>
    <n v="0"/>
    <n v="0"/>
    <n v="0"/>
    <s v="No"/>
    <s v=""/>
    <n v="0"/>
    <n v="0"/>
    <n v="0"/>
    <n v="0"/>
    <n v="0"/>
    <n v="0"/>
    <n v="0"/>
    <s v="uncovered"/>
    <x v="0"/>
    <x v="0"/>
    <x v="0"/>
    <n v="0"/>
    <s v="not available"/>
    <s v="MMR015CMP085"/>
    <x v="1"/>
    <x v="1"/>
    <n v="28"/>
    <n v="87"/>
  </r>
  <r>
    <x v="0"/>
    <x v="4"/>
    <x v="3"/>
    <m/>
    <x v="1"/>
    <x v="14"/>
    <x v="1"/>
    <x v="146"/>
    <n v="19"/>
    <n v="82"/>
    <m/>
    <m/>
    <m/>
    <m/>
    <m/>
    <m/>
    <m/>
    <m/>
    <m/>
    <m/>
    <m/>
    <m/>
    <m/>
    <m/>
    <m/>
    <m/>
    <m/>
    <m/>
    <m/>
    <m/>
    <m/>
    <m/>
    <m/>
    <m/>
    <m/>
    <m/>
    <m/>
    <m/>
    <m/>
    <m/>
    <m/>
    <m/>
    <m/>
    <m/>
    <m/>
    <m/>
    <m/>
    <m/>
    <m/>
    <m/>
    <x v="3"/>
    <x v="4"/>
    <m/>
    <m/>
    <m/>
    <m/>
    <m/>
    <m/>
    <m/>
    <m/>
    <m/>
    <m/>
    <m/>
    <m/>
    <m/>
    <m/>
    <m/>
    <m/>
    <m/>
    <m/>
    <m/>
    <m/>
    <m/>
    <m/>
    <m/>
    <m/>
    <m/>
    <m/>
    <m/>
    <m/>
    <m/>
    <m/>
    <s v="no test"/>
    <s v="no test"/>
    <s v="No Test"/>
    <n v="0"/>
    <n v="0"/>
    <n v="0"/>
    <n v="0"/>
    <n v="0"/>
    <n v="0"/>
    <n v="0"/>
    <n v="0"/>
    <n v="0"/>
    <n v="0"/>
    <n v="0"/>
    <n v="0"/>
    <n v="0"/>
    <n v="0"/>
    <n v="0"/>
    <n v="0"/>
    <n v="1"/>
    <n v="82"/>
    <n v="1"/>
    <n v="1"/>
    <n v="0"/>
    <n v="0"/>
    <n v="0"/>
    <n v="0"/>
    <n v="0"/>
    <n v="0"/>
    <n v="4"/>
    <n v="4"/>
    <n v="1"/>
    <n v="0"/>
    <n v="0"/>
    <n v="0"/>
    <n v="0"/>
    <n v="0"/>
    <n v="0"/>
    <n v="0"/>
    <n v="1"/>
    <n v="0"/>
    <n v="0"/>
    <n v="0"/>
    <n v="0"/>
    <n v="0"/>
    <n v="0"/>
    <n v="0"/>
    <s v="No"/>
    <s v=""/>
    <n v="0"/>
    <n v="0"/>
    <n v="0"/>
    <n v="0"/>
    <n v="0"/>
    <n v="0"/>
    <n v="0"/>
    <s v="uncovered"/>
    <x v="0"/>
    <x v="0"/>
    <x v="0"/>
    <n v="22.97711"/>
    <n v="97.699299999999994"/>
    <s v="MMR015CMP086"/>
    <x v="1"/>
    <x v="1"/>
    <n v="19"/>
    <n v="82"/>
  </r>
  <r>
    <x v="0"/>
    <x v="4"/>
    <x v="3"/>
    <m/>
    <x v="1"/>
    <x v="14"/>
    <x v="1"/>
    <x v="147"/>
    <n v="26"/>
    <n v="135"/>
    <m/>
    <m/>
    <m/>
    <m/>
    <m/>
    <m/>
    <m/>
    <m/>
    <m/>
    <m/>
    <m/>
    <m/>
    <m/>
    <m/>
    <m/>
    <m/>
    <m/>
    <m/>
    <m/>
    <m/>
    <m/>
    <m/>
    <m/>
    <m/>
    <m/>
    <m/>
    <m/>
    <m/>
    <m/>
    <m/>
    <m/>
    <m/>
    <m/>
    <m/>
    <m/>
    <m/>
    <m/>
    <m/>
    <m/>
    <m/>
    <x v="3"/>
    <x v="4"/>
    <m/>
    <m/>
    <m/>
    <m/>
    <m/>
    <m/>
    <m/>
    <m/>
    <m/>
    <m/>
    <m/>
    <m/>
    <m/>
    <m/>
    <m/>
    <m/>
    <m/>
    <m/>
    <m/>
    <m/>
    <m/>
    <m/>
    <m/>
    <m/>
    <m/>
    <m/>
    <m/>
    <m/>
    <m/>
    <m/>
    <s v="no test"/>
    <s v="no test"/>
    <s v="No Test"/>
    <n v="0"/>
    <n v="0"/>
    <n v="0"/>
    <n v="0"/>
    <n v="0"/>
    <n v="0"/>
    <n v="0"/>
    <n v="0"/>
    <n v="0"/>
    <n v="0"/>
    <n v="0"/>
    <n v="0"/>
    <n v="0"/>
    <n v="0"/>
    <n v="0"/>
    <n v="0"/>
    <n v="1"/>
    <n v="135"/>
    <n v="1"/>
    <n v="1"/>
    <n v="0"/>
    <n v="0"/>
    <n v="0"/>
    <n v="0"/>
    <n v="0"/>
    <n v="0"/>
    <n v="7"/>
    <n v="7"/>
    <n v="1"/>
    <n v="0"/>
    <n v="0"/>
    <n v="0"/>
    <n v="0"/>
    <n v="0"/>
    <n v="0"/>
    <n v="0"/>
    <n v="1"/>
    <n v="0"/>
    <n v="0"/>
    <n v="0"/>
    <n v="0"/>
    <n v="0"/>
    <n v="0"/>
    <n v="0"/>
    <s v="No"/>
    <s v=""/>
    <n v="0"/>
    <n v="0"/>
    <n v="0"/>
    <n v="0"/>
    <n v="0"/>
    <n v="0"/>
    <n v="0"/>
    <s v="uncovered"/>
    <x v="0"/>
    <x v="0"/>
    <x v="0"/>
    <n v="0"/>
    <s v="not available"/>
    <s v="MMR015CMP087"/>
    <x v="1"/>
    <x v="1"/>
    <n v="26"/>
    <n v="135"/>
  </r>
  <r>
    <x v="0"/>
    <x v="4"/>
    <x v="3"/>
    <m/>
    <x v="1"/>
    <x v="14"/>
    <x v="1"/>
    <x v="148"/>
    <n v="18"/>
    <n v="123"/>
    <m/>
    <m/>
    <m/>
    <m/>
    <m/>
    <m/>
    <m/>
    <m/>
    <m/>
    <m/>
    <m/>
    <m/>
    <m/>
    <m/>
    <m/>
    <m/>
    <m/>
    <m/>
    <m/>
    <m/>
    <m/>
    <m/>
    <m/>
    <m/>
    <m/>
    <m/>
    <m/>
    <m/>
    <m/>
    <m/>
    <m/>
    <m/>
    <m/>
    <m/>
    <m/>
    <m/>
    <m/>
    <m/>
    <m/>
    <m/>
    <x v="3"/>
    <x v="4"/>
    <m/>
    <m/>
    <m/>
    <m/>
    <m/>
    <m/>
    <m/>
    <m/>
    <m/>
    <m/>
    <m/>
    <m/>
    <m/>
    <m/>
    <m/>
    <m/>
    <m/>
    <m/>
    <m/>
    <m/>
    <m/>
    <m/>
    <m/>
    <m/>
    <m/>
    <m/>
    <m/>
    <m/>
    <m/>
    <m/>
    <s v="no test"/>
    <s v="no test"/>
    <s v="No Test"/>
    <n v="0"/>
    <n v="0"/>
    <n v="0"/>
    <n v="0"/>
    <n v="0"/>
    <n v="0"/>
    <n v="0"/>
    <n v="0"/>
    <n v="0"/>
    <n v="0"/>
    <n v="0"/>
    <n v="0"/>
    <n v="0"/>
    <n v="0"/>
    <n v="0"/>
    <n v="0"/>
    <n v="1"/>
    <n v="123"/>
    <n v="1"/>
    <n v="1"/>
    <n v="0"/>
    <n v="0"/>
    <n v="0"/>
    <n v="0"/>
    <n v="0"/>
    <n v="0"/>
    <n v="6"/>
    <n v="6"/>
    <n v="1"/>
    <n v="0"/>
    <n v="0"/>
    <n v="0"/>
    <n v="0"/>
    <n v="0"/>
    <n v="0"/>
    <n v="0"/>
    <n v="1"/>
    <n v="0"/>
    <n v="0"/>
    <n v="0"/>
    <n v="0"/>
    <n v="0"/>
    <n v="0"/>
    <n v="0"/>
    <s v="No"/>
    <s v=""/>
    <n v="0"/>
    <n v="0"/>
    <n v="0"/>
    <n v="0"/>
    <n v="0"/>
    <n v="0"/>
    <n v="0"/>
    <s v="uncovered"/>
    <x v="0"/>
    <x v="0"/>
    <x v="0"/>
    <n v="0"/>
    <s v="not available"/>
    <s v="MMR015CMP088"/>
    <x v="1"/>
    <x v="1"/>
    <n v="18"/>
    <n v="123"/>
  </r>
  <r>
    <x v="0"/>
    <x v="4"/>
    <x v="3"/>
    <m/>
    <x v="1"/>
    <x v="18"/>
    <x v="1"/>
    <x v="149"/>
    <n v="33"/>
    <n v="130"/>
    <m/>
    <m/>
    <m/>
    <m/>
    <m/>
    <m/>
    <m/>
    <m/>
    <m/>
    <m/>
    <m/>
    <m/>
    <m/>
    <m/>
    <m/>
    <m/>
    <m/>
    <m/>
    <m/>
    <m/>
    <m/>
    <m/>
    <m/>
    <m/>
    <m/>
    <m/>
    <m/>
    <m/>
    <m/>
    <m/>
    <m/>
    <m/>
    <m/>
    <m/>
    <m/>
    <m/>
    <m/>
    <m/>
    <m/>
    <m/>
    <x v="3"/>
    <x v="4"/>
    <m/>
    <m/>
    <m/>
    <m/>
    <m/>
    <m/>
    <m/>
    <m/>
    <m/>
    <m/>
    <m/>
    <m/>
    <m/>
    <m/>
    <m/>
    <m/>
    <m/>
    <m/>
    <m/>
    <m/>
    <m/>
    <m/>
    <m/>
    <m/>
    <m/>
    <m/>
    <m/>
    <m/>
    <m/>
    <m/>
    <s v="no test"/>
    <s v="no test"/>
    <s v="No Test"/>
    <n v="0"/>
    <n v="0"/>
    <n v="0"/>
    <n v="0"/>
    <n v="0"/>
    <n v="0"/>
    <n v="0"/>
    <n v="0"/>
    <n v="0"/>
    <n v="0"/>
    <n v="0"/>
    <n v="0"/>
    <n v="0"/>
    <n v="0"/>
    <n v="0"/>
    <n v="0"/>
    <n v="1"/>
    <n v="130"/>
    <n v="1"/>
    <n v="1"/>
    <n v="0"/>
    <n v="0"/>
    <n v="0"/>
    <n v="0"/>
    <n v="0"/>
    <n v="0"/>
    <n v="7"/>
    <n v="7"/>
    <n v="1"/>
    <n v="0"/>
    <n v="0"/>
    <n v="0"/>
    <n v="0"/>
    <n v="0"/>
    <n v="0"/>
    <n v="0"/>
    <n v="1"/>
    <n v="0"/>
    <n v="0"/>
    <n v="0"/>
    <n v="0"/>
    <n v="0"/>
    <n v="0"/>
    <n v="0"/>
    <s v="No"/>
    <s v=""/>
    <n v="0"/>
    <n v="0"/>
    <n v="0"/>
    <n v="0"/>
    <n v="0"/>
    <n v="0"/>
    <n v="0"/>
    <s v="uncovered"/>
    <x v="0"/>
    <x v="0"/>
    <x v="0"/>
    <n v="0"/>
    <s v="not available"/>
    <s v="MMR015CMP090"/>
    <x v="1"/>
    <x v="1"/>
    <n v="33"/>
    <n v="130"/>
  </r>
  <r>
    <x v="0"/>
    <x v="4"/>
    <x v="3"/>
    <m/>
    <x v="1"/>
    <x v="14"/>
    <x v="1"/>
    <x v="150"/>
    <n v="62"/>
    <n v="144"/>
    <m/>
    <m/>
    <m/>
    <m/>
    <m/>
    <m/>
    <m/>
    <m/>
    <m/>
    <m/>
    <m/>
    <m/>
    <m/>
    <m/>
    <m/>
    <m/>
    <m/>
    <m/>
    <m/>
    <m/>
    <m/>
    <m/>
    <m/>
    <m/>
    <m/>
    <m/>
    <m/>
    <m/>
    <m/>
    <m/>
    <m/>
    <m/>
    <m/>
    <m/>
    <m/>
    <m/>
    <m/>
    <m/>
    <m/>
    <m/>
    <x v="3"/>
    <x v="4"/>
    <m/>
    <m/>
    <m/>
    <m/>
    <m/>
    <m/>
    <m/>
    <m/>
    <m/>
    <m/>
    <m/>
    <m/>
    <m/>
    <m/>
    <m/>
    <m/>
    <m/>
    <m/>
    <m/>
    <m/>
    <m/>
    <m/>
    <m/>
    <m/>
    <m/>
    <m/>
    <m/>
    <m/>
    <m/>
    <m/>
    <s v="no test"/>
    <s v="no test"/>
    <s v="No Test"/>
    <n v="0"/>
    <n v="0"/>
    <n v="0"/>
    <n v="0"/>
    <n v="0"/>
    <n v="0"/>
    <n v="0"/>
    <n v="0"/>
    <n v="0"/>
    <n v="0"/>
    <n v="0"/>
    <n v="0"/>
    <n v="0"/>
    <n v="0"/>
    <n v="0"/>
    <n v="0"/>
    <n v="1"/>
    <n v="144"/>
    <n v="1"/>
    <n v="1"/>
    <n v="0"/>
    <n v="0"/>
    <n v="0"/>
    <n v="0"/>
    <n v="0"/>
    <n v="0"/>
    <n v="7"/>
    <n v="7"/>
    <n v="1"/>
    <n v="0"/>
    <n v="0"/>
    <n v="0"/>
    <n v="0"/>
    <n v="0"/>
    <n v="0"/>
    <n v="0"/>
    <n v="1"/>
    <n v="0"/>
    <n v="0"/>
    <n v="0"/>
    <n v="0"/>
    <n v="0"/>
    <n v="0"/>
    <n v="0"/>
    <s v="No"/>
    <s v=""/>
    <n v="0"/>
    <n v="0"/>
    <n v="0"/>
    <n v="0"/>
    <n v="0"/>
    <n v="0"/>
    <n v="0"/>
    <s v="uncovered"/>
    <x v="0"/>
    <x v="0"/>
    <x v="0"/>
    <n v="0"/>
    <s v="not available"/>
    <s v="MMR015CMP091"/>
    <x v="1"/>
    <x v="1"/>
    <n v="62"/>
    <n v="144"/>
  </r>
  <r>
    <x v="0"/>
    <x v="4"/>
    <x v="3"/>
    <m/>
    <x v="1"/>
    <x v="14"/>
    <x v="1"/>
    <x v="151"/>
    <n v="20"/>
    <n v="61"/>
    <m/>
    <m/>
    <m/>
    <m/>
    <m/>
    <m/>
    <m/>
    <m/>
    <m/>
    <m/>
    <m/>
    <m/>
    <m/>
    <m/>
    <m/>
    <m/>
    <m/>
    <m/>
    <m/>
    <m/>
    <m/>
    <m/>
    <m/>
    <m/>
    <m/>
    <m/>
    <m/>
    <m/>
    <m/>
    <m/>
    <m/>
    <m/>
    <m/>
    <m/>
    <m/>
    <m/>
    <m/>
    <m/>
    <m/>
    <m/>
    <x v="3"/>
    <x v="4"/>
    <m/>
    <m/>
    <m/>
    <m/>
    <m/>
    <m/>
    <m/>
    <m/>
    <m/>
    <m/>
    <m/>
    <m/>
    <m/>
    <m/>
    <m/>
    <m/>
    <m/>
    <m/>
    <m/>
    <m/>
    <m/>
    <m/>
    <m/>
    <m/>
    <m/>
    <m/>
    <m/>
    <m/>
    <m/>
    <m/>
    <s v="no test"/>
    <s v="no test"/>
    <s v="No Test"/>
    <n v="0"/>
    <n v="0"/>
    <n v="0"/>
    <n v="0"/>
    <n v="0"/>
    <n v="0"/>
    <n v="0"/>
    <n v="0"/>
    <n v="0"/>
    <n v="0"/>
    <n v="0"/>
    <n v="0"/>
    <n v="0"/>
    <n v="0"/>
    <n v="0"/>
    <n v="0"/>
    <n v="1"/>
    <n v="61"/>
    <n v="1"/>
    <n v="1"/>
    <n v="0"/>
    <n v="0"/>
    <n v="0"/>
    <n v="0"/>
    <n v="0"/>
    <n v="0"/>
    <n v="3"/>
    <n v="3"/>
    <n v="1"/>
    <n v="0"/>
    <n v="0"/>
    <n v="0"/>
    <n v="0"/>
    <n v="0"/>
    <n v="0"/>
    <n v="0"/>
    <n v="1"/>
    <n v="0"/>
    <n v="0"/>
    <n v="0"/>
    <n v="0"/>
    <n v="0"/>
    <n v="0"/>
    <n v="0"/>
    <s v="No"/>
    <s v=""/>
    <n v="0"/>
    <n v="0"/>
    <n v="0"/>
    <n v="0"/>
    <n v="0"/>
    <n v="0"/>
    <n v="0"/>
    <s v="uncovered"/>
    <x v="0"/>
    <x v="0"/>
    <x v="0"/>
    <n v="0"/>
    <s v="not available"/>
    <s v="MMR015CMP092"/>
    <x v="1"/>
    <x v="1"/>
    <n v="20"/>
    <n v="61"/>
  </r>
  <r>
    <x v="0"/>
    <x v="15"/>
    <x v="12"/>
    <s v="Luxemburg MoFA"/>
    <x v="1"/>
    <x v="18"/>
    <x v="1"/>
    <x v="152"/>
    <n v="270"/>
    <n v="1414"/>
    <d v="2022-08-01T00:00:00"/>
    <d v="2023-04-30T00:00:00"/>
    <m/>
    <m/>
    <m/>
    <m/>
    <m/>
    <m/>
    <m/>
    <m/>
    <m/>
    <m/>
    <m/>
    <m/>
    <m/>
    <m/>
    <n v="18"/>
    <m/>
    <m/>
    <m/>
    <m/>
    <m/>
    <m/>
    <m/>
    <m/>
    <m/>
    <m/>
    <m/>
    <m/>
    <m/>
    <m/>
    <m/>
    <m/>
    <m/>
    <m/>
    <m/>
    <m/>
    <m/>
    <m/>
    <m/>
    <x v="2"/>
    <x v="1"/>
    <m/>
    <m/>
    <m/>
    <m/>
    <m/>
    <m/>
    <m/>
    <m/>
    <m/>
    <m/>
    <m/>
    <m/>
    <m/>
    <m/>
    <m/>
    <m/>
    <m/>
    <m/>
    <m/>
    <m/>
    <m/>
    <m/>
    <m/>
    <m/>
    <m/>
    <m/>
    <m/>
    <m/>
    <m/>
    <m/>
    <s v="no test"/>
    <s v="no test"/>
    <s v="No Test"/>
    <n v="0"/>
    <n v="0"/>
    <n v="18"/>
    <n v="0"/>
    <n v="0"/>
    <n v="0"/>
    <n v="0"/>
    <n v="0.84865629420084865"/>
    <n v="0.84865629420084865"/>
    <n v="0.84865629420084865"/>
    <n v="1200"/>
    <n v="0"/>
    <n v="0"/>
    <n v="0.84865629420084865"/>
    <n v="1200"/>
    <n v="2.4"/>
    <n v="0.15134370579915135"/>
    <n v="214"/>
    <n v="0.60000000000000009"/>
    <n v="3"/>
    <n v="0"/>
    <n v="0"/>
    <n v="0"/>
    <n v="0"/>
    <n v="0"/>
    <n v="0"/>
    <n v="71"/>
    <n v="71"/>
    <n v="1"/>
    <n v="0"/>
    <n v="0"/>
    <n v="0"/>
    <n v="0"/>
    <n v="0"/>
    <n v="0"/>
    <n v="0"/>
    <n v="1"/>
    <n v="0"/>
    <n v="0"/>
    <n v="0"/>
    <n v="0"/>
    <n v="0"/>
    <n v="0"/>
    <n v="0"/>
    <s v="No"/>
    <s v=""/>
    <n v="0"/>
    <n v="0"/>
    <n v="0"/>
    <n v="0"/>
    <n v="0"/>
    <n v="0"/>
    <s v="Yes"/>
    <s v="KBC-NSS"/>
    <x v="0"/>
    <x v="1"/>
    <x v="0"/>
    <n v="24.08738"/>
    <n v="98.115809999999996"/>
    <s v="MMR015CMP065"/>
    <x v="0"/>
    <x v="0"/>
    <n v="307"/>
    <n v="1581"/>
  </r>
  <r>
    <x v="0"/>
    <x v="4"/>
    <x v="3"/>
    <m/>
    <x v="1"/>
    <x v="22"/>
    <x v="1"/>
    <x v="153"/>
    <n v="43"/>
    <n v="157"/>
    <m/>
    <m/>
    <m/>
    <m/>
    <m/>
    <m/>
    <m/>
    <m/>
    <m/>
    <m/>
    <m/>
    <m/>
    <m/>
    <m/>
    <m/>
    <m/>
    <m/>
    <m/>
    <m/>
    <m/>
    <m/>
    <m/>
    <m/>
    <m/>
    <m/>
    <m/>
    <m/>
    <m/>
    <m/>
    <m/>
    <m/>
    <m/>
    <m/>
    <m/>
    <m/>
    <m/>
    <m/>
    <m/>
    <m/>
    <m/>
    <x v="3"/>
    <x v="4"/>
    <m/>
    <m/>
    <m/>
    <m/>
    <m/>
    <m/>
    <m/>
    <m/>
    <m/>
    <m/>
    <m/>
    <m/>
    <m/>
    <m/>
    <m/>
    <m/>
    <m/>
    <m/>
    <m/>
    <m/>
    <m/>
    <m/>
    <m/>
    <m/>
    <m/>
    <m/>
    <m/>
    <m/>
    <m/>
    <m/>
    <s v="no test"/>
    <s v="no test"/>
    <s v="No Test"/>
    <n v="0"/>
    <n v="0"/>
    <n v="0"/>
    <n v="0"/>
    <n v="0"/>
    <n v="0"/>
    <n v="0"/>
    <n v="0"/>
    <n v="0"/>
    <n v="0"/>
    <n v="0"/>
    <n v="0"/>
    <n v="0"/>
    <n v="0"/>
    <n v="0"/>
    <n v="0"/>
    <n v="1"/>
    <n v="157"/>
    <n v="1"/>
    <n v="1"/>
    <n v="0"/>
    <n v="0"/>
    <n v="0"/>
    <n v="0"/>
    <n v="0"/>
    <n v="0"/>
    <n v="8"/>
    <n v="8"/>
    <n v="1"/>
    <n v="0"/>
    <n v="0"/>
    <n v="0"/>
    <n v="0"/>
    <n v="0"/>
    <n v="0"/>
    <n v="0"/>
    <n v="1"/>
    <n v="0"/>
    <n v="0"/>
    <n v="0"/>
    <n v="0"/>
    <n v="0"/>
    <n v="0"/>
    <n v="0"/>
    <s v="No"/>
    <s v=""/>
    <n v="0"/>
    <n v="0"/>
    <n v="0"/>
    <n v="0"/>
    <n v="0"/>
    <n v="0"/>
    <n v="0"/>
    <s v="uncovered"/>
    <x v="0"/>
    <x v="0"/>
    <x v="0"/>
    <n v="0"/>
    <s v="not available"/>
    <s v="MMR015CMP094"/>
    <x v="1"/>
    <x v="1"/>
    <n v="43"/>
    <n v="157"/>
  </r>
  <r>
    <x v="0"/>
    <x v="4"/>
    <x v="3"/>
    <m/>
    <x v="1"/>
    <x v="14"/>
    <x v="1"/>
    <x v="154"/>
    <n v="18"/>
    <n v="92"/>
    <m/>
    <m/>
    <m/>
    <m/>
    <m/>
    <m/>
    <m/>
    <m/>
    <m/>
    <m/>
    <m/>
    <m/>
    <m/>
    <m/>
    <m/>
    <m/>
    <m/>
    <m/>
    <m/>
    <m/>
    <m/>
    <m/>
    <m/>
    <m/>
    <m/>
    <m/>
    <m/>
    <m/>
    <m/>
    <m/>
    <m/>
    <m/>
    <m/>
    <m/>
    <m/>
    <m/>
    <m/>
    <m/>
    <m/>
    <m/>
    <x v="3"/>
    <x v="4"/>
    <m/>
    <m/>
    <m/>
    <m/>
    <m/>
    <m/>
    <m/>
    <m/>
    <m/>
    <m/>
    <m/>
    <m/>
    <m/>
    <m/>
    <m/>
    <m/>
    <m/>
    <m/>
    <m/>
    <m/>
    <m/>
    <m/>
    <m/>
    <m/>
    <m/>
    <m/>
    <m/>
    <m/>
    <m/>
    <m/>
    <s v="no test"/>
    <s v="no test"/>
    <s v="No Test"/>
    <n v="0"/>
    <n v="0"/>
    <n v="0"/>
    <n v="0"/>
    <n v="0"/>
    <n v="0"/>
    <n v="0"/>
    <n v="0"/>
    <n v="0"/>
    <n v="0"/>
    <n v="0"/>
    <n v="0"/>
    <n v="0"/>
    <n v="0"/>
    <n v="0"/>
    <n v="0"/>
    <n v="1"/>
    <n v="92"/>
    <n v="1"/>
    <n v="1"/>
    <n v="0"/>
    <n v="0"/>
    <n v="0"/>
    <n v="0"/>
    <n v="0"/>
    <n v="0"/>
    <n v="5"/>
    <n v="5"/>
    <n v="1"/>
    <n v="0"/>
    <n v="0"/>
    <n v="0"/>
    <n v="0"/>
    <n v="0"/>
    <n v="0"/>
    <n v="0"/>
    <n v="1"/>
    <n v="0"/>
    <n v="0"/>
    <n v="0"/>
    <n v="0"/>
    <n v="0"/>
    <n v="0"/>
    <n v="0"/>
    <s v="No"/>
    <s v=""/>
    <n v="0"/>
    <n v="0"/>
    <n v="0"/>
    <n v="0"/>
    <n v="0"/>
    <n v="0"/>
    <n v="0"/>
    <s v="uncovered"/>
    <x v="0"/>
    <x v="0"/>
    <x v="0"/>
    <n v="0"/>
    <s v="not available"/>
    <s v="MMR015CMP095"/>
    <x v="1"/>
    <x v="1"/>
    <n v="18"/>
    <n v="92"/>
  </r>
  <r>
    <x v="0"/>
    <x v="4"/>
    <x v="3"/>
    <m/>
    <x v="1"/>
    <x v="14"/>
    <x v="1"/>
    <x v="155"/>
    <n v="7"/>
    <n v="30"/>
    <m/>
    <m/>
    <m/>
    <m/>
    <m/>
    <m/>
    <m/>
    <m/>
    <m/>
    <m/>
    <m/>
    <m/>
    <m/>
    <m/>
    <m/>
    <m/>
    <m/>
    <m/>
    <m/>
    <m/>
    <m/>
    <m/>
    <m/>
    <m/>
    <m/>
    <m/>
    <m/>
    <m/>
    <m/>
    <m/>
    <m/>
    <m/>
    <m/>
    <m/>
    <m/>
    <m/>
    <m/>
    <m/>
    <m/>
    <m/>
    <x v="3"/>
    <x v="4"/>
    <m/>
    <m/>
    <m/>
    <m/>
    <m/>
    <m/>
    <m/>
    <m/>
    <m/>
    <m/>
    <m/>
    <m/>
    <m/>
    <m/>
    <m/>
    <m/>
    <m/>
    <m/>
    <m/>
    <m/>
    <m/>
    <m/>
    <m/>
    <m/>
    <m/>
    <m/>
    <m/>
    <m/>
    <m/>
    <m/>
    <s v="no test"/>
    <s v="no test"/>
    <s v="No Test"/>
    <n v="0"/>
    <n v="0"/>
    <n v="0"/>
    <n v="0"/>
    <n v="0"/>
    <n v="0"/>
    <n v="0"/>
    <n v="0"/>
    <n v="0"/>
    <n v="0"/>
    <n v="0"/>
    <n v="0"/>
    <n v="0"/>
    <n v="0"/>
    <n v="0"/>
    <n v="0"/>
    <n v="1"/>
    <n v="30"/>
    <n v="1"/>
    <n v="1"/>
    <n v="0"/>
    <n v="0"/>
    <n v="0"/>
    <n v="0"/>
    <n v="0"/>
    <n v="0"/>
    <n v="2"/>
    <n v="2"/>
    <n v="1"/>
    <n v="0"/>
    <n v="0"/>
    <n v="0"/>
    <n v="0"/>
    <n v="0"/>
    <n v="0"/>
    <n v="0"/>
    <n v="1"/>
    <n v="0"/>
    <n v="0"/>
    <n v="0"/>
    <n v="0"/>
    <n v="0"/>
    <n v="0"/>
    <n v="0"/>
    <s v="No"/>
    <s v=""/>
    <n v="0"/>
    <n v="0"/>
    <n v="0"/>
    <n v="0"/>
    <n v="0"/>
    <n v="0"/>
    <n v="0"/>
    <s v="uncovered"/>
    <x v="0"/>
    <x v="0"/>
    <x v="0"/>
    <n v="0"/>
    <s v="not available"/>
    <s v="MMR015CMP096"/>
    <x v="1"/>
    <x v="1"/>
    <n v="7"/>
    <n v="30"/>
  </r>
  <r>
    <x v="0"/>
    <x v="4"/>
    <x v="3"/>
    <m/>
    <x v="1"/>
    <x v="18"/>
    <x v="1"/>
    <x v="156"/>
    <n v="102"/>
    <n v="328"/>
    <m/>
    <m/>
    <m/>
    <m/>
    <m/>
    <m/>
    <m/>
    <m/>
    <m/>
    <m/>
    <m/>
    <m/>
    <m/>
    <m/>
    <m/>
    <m/>
    <m/>
    <m/>
    <m/>
    <m/>
    <m/>
    <m/>
    <m/>
    <m/>
    <m/>
    <m/>
    <m/>
    <m/>
    <m/>
    <m/>
    <m/>
    <m/>
    <m/>
    <m/>
    <m/>
    <m/>
    <m/>
    <m/>
    <m/>
    <m/>
    <x v="3"/>
    <x v="4"/>
    <m/>
    <m/>
    <m/>
    <m/>
    <m/>
    <m/>
    <m/>
    <m/>
    <m/>
    <m/>
    <m/>
    <m/>
    <m/>
    <m/>
    <m/>
    <m/>
    <m/>
    <m/>
    <m/>
    <m/>
    <m/>
    <m/>
    <m/>
    <m/>
    <m/>
    <m/>
    <m/>
    <m/>
    <m/>
    <m/>
    <s v="no test"/>
    <s v="no test"/>
    <s v="No Test"/>
    <n v="0"/>
    <n v="0"/>
    <n v="0"/>
    <n v="0"/>
    <n v="0"/>
    <n v="0"/>
    <n v="0"/>
    <n v="0"/>
    <n v="0"/>
    <n v="0"/>
    <n v="0"/>
    <n v="0"/>
    <n v="0"/>
    <n v="0"/>
    <n v="0"/>
    <n v="0"/>
    <n v="1"/>
    <n v="328"/>
    <n v="1"/>
    <n v="1"/>
    <n v="0"/>
    <n v="0"/>
    <n v="0"/>
    <n v="0"/>
    <n v="0"/>
    <n v="0"/>
    <n v="16"/>
    <n v="16"/>
    <n v="1"/>
    <n v="0"/>
    <n v="0"/>
    <n v="0"/>
    <n v="0"/>
    <n v="0"/>
    <n v="0"/>
    <n v="0"/>
    <n v="1"/>
    <n v="0"/>
    <n v="0"/>
    <n v="0"/>
    <n v="0"/>
    <n v="0"/>
    <n v="0"/>
    <n v="0"/>
    <s v="No"/>
    <s v=""/>
    <n v="0"/>
    <n v="0"/>
    <n v="0"/>
    <n v="0"/>
    <n v="0"/>
    <n v="0"/>
    <n v="0"/>
    <n v="0"/>
    <x v="0"/>
    <x v="0"/>
    <x v="0"/>
    <n v="0"/>
    <n v="0"/>
    <s v="MMR015CMP084"/>
    <x v="1"/>
    <x v="1"/>
    <n v="102"/>
    <n v="328"/>
  </r>
  <r>
    <x v="0"/>
    <x v="4"/>
    <x v="3"/>
    <m/>
    <x v="0"/>
    <x v="4"/>
    <x v="1"/>
    <x v="157"/>
    <n v="61"/>
    <n v="294"/>
    <m/>
    <m/>
    <m/>
    <m/>
    <m/>
    <m/>
    <m/>
    <m/>
    <m/>
    <m/>
    <m/>
    <m/>
    <m/>
    <m/>
    <m/>
    <m/>
    <m/>
    <m/>
    <m/>
    <m/>
    <m/>
    <m/>
    <m/>
    <m/>
    <m/>
    <m/>
    <m/>
    <m/>
    <m/>
    <m/>
    <m/>
    <m/>
    <m/>
    <m/>
    <m/>
    <m/>
    <m/>
    <m/>
    <m/>
    <m/>
    <x v="3"/>
    <x v="4"/>
    <m/>
    <m/>
    <m/>
    <m/>
    <m/>
    <m/>
    <m/>
    <m/>
    <m/>
    <m/>
    <m/>
    <m/>
    <m/>
    <m/>
    <m/>
    <m/>
    <m/>
    <m/>
    <m/>
    <m/>
    <m/>
    <m/>
    <m/>
    <m/>
    <m/>
    <m/>
    <m/>
    <m/>
    <m/>
    <m/>
    <s v="no test"/>
    <s v="no test"/>
    <s v="No Test"/>
    <n v="0"/>
    <n v="0"/>
    <n v="0"/>
    <n v="0"/>
    <n v="0"/>
    <n v="0"/>
    <n v="0"/>
    <n v="0"/>
    <n v="0"/>
    <n v="0"/>
    <n v="0"/>
    <n v="0"/>
    <n v="0"/>
    <n v="0"/>
    <n v="0"/>
    <n v="0"/>
    <n v="1"/>
    <n v="294"/>
    <n v="1"/>
    <n v="1"/>
    <n v="0"/>
    <n v="0"/>
    <n v="0"/>
    <n v="0"/>
    <n v="0"/>
    <n v="0"/>
    <n v="15"/>
    <n v="15"/>
    <n v="1"/>
    <n v="0"/>
    <n v="0"/>
    <n v="0"/>
    <n v="0"/>
    <n v="0"/>
    <n v="0"/>
    <n v="0"/>
    <n v="1"/>
    <n v="0"/>
    <n v="0"/>
    <n v="0"/>
    <n v="0"/>
    <n v="0"/>
    <n v="0"/>
    <n v="0"/>
    <s v="No"/>
    <s v=""/>
    <n v="0"/>
    <n v="0"/>
    <n v="0"/>
    <n v="0"/>
    <n v="0"/>
    <n v="0"/>
    <n v="0"/>
    <s v="Uncovered  "/>
    <x v="0"/>
    <x v="0"/>
    <x v="0"/>
    <n v="25.2057"/>
    <n v="97.262200000000007"/>
    <s v="MMR001CMP290"/>
    <x v="1"/>
    <x v="1"/>
    <n v="61"/>
    <n v="294"/>
  </r>
  <r>
    <x v="0"/>
    <x v="6"/>
    <x v="5"/>
    <s v="ECHO 2739"/>
    <x v="0"/>
    <x v="6"/>
    <x v="0"/>
    <x v="158"/>
    <n v="46"/>
    <n v="263"/>
    <s v="13-8-2021, 6-1-2020"/>
    <s v="30-6-2022, 30.4.2021"/>
    <m/>
    <m/>
    <m/>
    <m/>
    <s v="Yes"/>
    <n v="4"/>
    <m/>
    <n v="1"/>
    <m/>
    <m/>
    <n v="2"/>
    <m/>
    <m/>
    <m/>
    <m/>
    <m/>
    <m/>
    <m/>
    <m/>
    <m/>
    <n v="1"/>
    <m/>
    <m/>
    <m/>
    <m/>
    <m/>
    <m/>
    <m/>
    <m/>
    <m/>
    <n v="5"/>
    <m/>
    <m/>
    <m/>
    <m/>
    <m/>
    <m/>
    <m/>
    <x v="0"/>
    <x v="0"/>
    <m/>
    <m/>
    <m/>
    <m/>
    <m/>
    <m/>
    <n v="2"/>
    <m/>
    <m/>
    <n v="2"/>
    <m/>
    <m/>
    <m/>
    <m/>
    <m/>
    <m/>
    <m/>
    <m/>
    <m/>
    <m/>
    <m/>
    <m/>
    <m/>
    <m/>
    <m/>
    <m/>
    <m/>
    <m/>
    <m/>
    <m/>
    <s v="no test"/>
    <s v="no test"/>
    <s v="No Test"/>
    <n v="1"/>
    <n v="2"/>
    <n v="0"/>
    <n v="0"/>
    <n v="0"/>
    <n v="0"/>
    <n v="0"/>
    <n v="1"/>
    <n v="1"/>
    <n v="1"/>
    <n v="263"/>
    <n v="0"/>
    <n v="0"/>
    <n v="1"/>
    <n v="263"/>
    <n v="0.52600000000000002"/>
    <n v="0"/>
    <n v="0"/>
    <n v="0.47399999999999998"/>
    <n v="1"/>
    <n v="5"/>
    <n v="0.38022813688212925"/>
    <n v="100"/>
    <n v="0"/>
    <n v="0"/>
    <n v="0"/>
    <n v="13"/>
    <n v="8"/>
    <n v="0.6197718631178708"/>
    <n v="0"/>
    <n v="0"/>
    <n v="0"/>
    <n v="0"/>
    <n v="0"/>
    <n v="0"/>
    <n v="0"/>
    <n v="1"/>
    <n v="0"/>
    <n v="0"/>
    <n v="0"/>
    <n v="2"/>
    <n v="40"/>
    <n v="0"/>
    <n v="200"/>
    <s v="No"/>
    <s v=""/>
    <n v="0"/>
    <n v="0"/>
    <n v="0"/>
    <n v="0"/>
    <n v="0"/>
    <n v="0"/>
    <n v="0"/>
    <n v="0"/>
    <x v="0"/>
    <x v="1"/>
    <x v="0"/>
    <n v="0"/>
    <n v="0"/>
    <n v="0"/>
    <x v="0"/>
    <x v="0"/>
    <n v="0"/>
    <n v="0"/>
  </r>
  <r>
    <x v="0"/>
    <x v="7"/>
    <x v="6"/>
    <s v="ECHO 2739"/>
    <x v="0"/>
    <x v="6"/>
    <x v="1"/>
    <x v="159"/>
    <n v="85"/>
    <n v="255"/>
    <d v="2022-04-01T00:00:00"/>
    <d v="2023-03-31T00:00:00"/>
    <m/>
    <m/>
    <n v="1"/>
    <m/>
    <s v="Yes"/>
    <n v="3"/>
    <n v="3"/>
    <n v="1"/>
    <m/>
    <m/>
    <m/>
    <m/>
    <m/>
    <m/>
    <n v="1"/>
    <m/>
    <m/>
    <m/>
    <m/>
    <m/>
    <n v="2"/>
    <m/>
    <n v="1"/>
    <n v="1"/>
    <n v="6"/>
    <n v="5"/>
    <m/>
    <m/>
    <m/>
    <m/>
    <n v="9"/>
    <m/>
    <m/>
    <m/>
    <n v="2"/>
    <n v="12"/>
    <n v="16"/>
    <m/>
    <x v="0"/>
    <x v="0"/>
    <m/>
    <m/>
    <m/>
    <m/>
    <n v="2"/>
    <m/>
    <n v="7"/>
    <m/>
    <m/>
    <n v="1"/>
    <m/>
    <n v="1"/>
    <n v="1"/>
    <m/>
    <m/>
    <s v="No"/>
    <n v="2"/>
    <n v="0.8"/>
    <m/>
    <n v="0.66"/>
    <n v="1"/>
    <n v="8"/>
    <n v="1"/>
    <m/>
    <m/>
    <m/>
    <m/>
    <m/>
    <m/>
    <m/>
    <n v="1"/>
    <n v="0.83333333333333337"/>
    <s v="Tested"/>
    <n v="1"/>
    <n v="0"/>
    <n v="1"/>
    <n v="0"/>
    <n v="0"/>
    <n v="0"/>
    <n v="0"/>
    <n v="1"/>
    <n v="1"/>
    <n v="1"/>
    <n v="255"/>
    <n v="0"/>
    <n v="0"/>
    <n v="1"/>
    <n v="255"/>
    <n v="0.51"/>
    <n v="0"/>
    <n v="0"/>
    <n v="0.49"/>
    <n v="1"/>
    <n v="9"/>
    <n v="0.71372549019607845"/>
    <n v="182"/>
    <n v="240"/>
    <n v="0"/>
    <n v="0"/>
    <n v="13"/>
    <n v="4"/>
    <n v="0.28627450980392155"/>
    <n v="0"/>
    <n v="255"/>
    <n v="0"/>
    <n v="0"/>
    <n v="0"/>
    <n v="255"/>
    <n v="1"/>
    <n v="0"/>
    <n v="1"/>
    <n v="0"/>
    <n v="0"/>
    <n v="7"/>
    <n v="85"/>
    <n v="0"/>
    <n v="255"/>
    <s v="No"/>
    <n v="3.1372549019607843E-2"/>
    <n v="168.3"/>
    <n v="255"/>
    <n v="255"/>
    <n v="255"/>
    <n v="0"/>
    <n v="0"/>
    <s v="Yes"/>
    <s v="KBC-BMO"/>
    <x v="0"/>
    <x v="1"/>
    <x v="0"/>
    <n v="24.200972"/>
    <n v="97.718582999999995"/>
    <s v="MMR001CMP071"/>
    <x v="0"/>
    <x v="0"/>
    <n v="43"/>
    <n v="255"/>
  </r>
  <r>
    <x v="0"/>
    <x v="6"/>
    <x v="5"/>
    <s v="ECHO 2739"/>
    <x v="0"/>
    <x v="6"/>
    <x v="1"/>
    <x v="160"/>
    <n v="68"/>
    <n v="426"/>
    <m/>
    <m/>
    <m/>
    <m/>
    <n v="1"/>
    <m/>
    <s v="Yes"/>
    <n v="5"/>
    <n v="6"/>
    <m/>
    <m/>
    <m/>
    <n v="1"/>
    <m/>
    <m/>
    <m/>
    <n v="1"/>
    <m/>
    <m/>
    <m/>
    <m/>
    <m/>
    <n v="1"/>
    <m/>
    <m/>
    <m/>
    <m/>
    <m/>
    <m/>
    <m/>
    <m/>
    <m/>
    <n v="6"/>
    <m/>
    <m/>
    <m/>
    <m/>
    <m/>
    <m/>
    <m/>
    <x v="0"/>
    <x v="0"/>
    <m/>
    <n v="1"/>
    <m/>
    <m/>
    <n v="6"/>
    <m/>
    <n v="3"/>
    <m/>
    <m/>
    <n v="1"/>
    <m/>
    <m/>
    <n v="1"/>
    <m/>
    <m/>
    <m/>
    <m/>
    <m/>
    <m/>
    <n v="0.92"/>
    <n v="0.92"/>
    <m/>
    <m/>
    <m/>
    <m/>
    <m/>
    <m/>
    <m/>
    <m/>
    <m/>
    <s v="no test"/>
    <s v="no test"/>
    <s v="No Test"/>
    <n v="0"/>
    <n v="1"/>
    <n v="1"/>
    <n v="0"/>
    <n v="0"/>
    <n v="0"/>
    <n v="0"/>
    <n v="1"/>
    <n v="0.74334898278560257"/>
    <n v="1"/>
    <n v="426"/>
    <n v="0"/>
    <n v="0"/>
    <n v="1"/>
    <n v="426"/>
    <n v="0.85199999999999998"/>
    <n v="0"/>
    <n v="0"/>
    <n v="0.14800000000000002"/>
    <n v="1"/>
    <n v="6"/>
    <n v="0.29577464788732394"/>
    <n v="126"/>
    <n v="0"/>
    <n v="0"/>
    <n v="0"/>
    <n v="21"/>
    <n v="15"/>
    <n v="0.70422535211267601"/>
    <n v="0"/>
    <n v="426"/>
    <n v="0"/>
    <n v="0"/>
    <n v="0"/>
    <n v="426"/>
    <n v="1"/>
    <n v="0"/>
    <n v="1"/>
    <n v="0"/>
    <n v="0"/>
    <n v="3"/>
    <n v="60"/>
    <n v="0"/>
    <n v="300"/>
    <s v="No"/>
    <s v=""/>
    <n v="391.92"/>
    <n v="391.92"/>
    <n v="0"/>
    <n v="391.92"/>
    <n v="0"/>
    <n v="0"/>
    <s v="Yes"/>
    <s v="KMSS-BMO"/>
    <x v="0"/>
    <x v="1"/>
    <x v="0"/>
    <n v="24.205417000000001"/>
    <n v="97.724566999999993"/>
    <s v="MMR001CMP069"/>
    <x v="0"/>
    <x v="0"/>
    <n v="81"/>
    <n v="451"/>
  </r>
  <r>
    <x v="0"/>
    <x v="7"/>
    <x v="6"/>
    <s v="ECHO 2739"/>
    <x v="0"/>
    <x v="6"/>
    <x v="1"/>
    <x v="161"/>
    <n v="240"/>
    <n v="1422"/>
    <d v="2022-04-01T00:00:00"/>
    <d v="2023-03-31T00:00:00"/>
    <m/>
    <m/>
    <n v="4"/>
    <m/>
    <s v="Yes"/>
    <n v="12"/>
    <n v="10"/>
    <n v="5"/>
    <m/>
    <m/>
    <n v="3"/>
    <m/>
    <m/>
    <m/>
    <n v="4"/>
    <m/>
    <m/>
    <m/>
    <m/>
    <m/>
    <n v="4"/>
    <m/>
    <n v="7"/>
    <n v="7"/>
    <n v="36"/>
    <n v="36"/>
    <m/>
    <m/>
    <m/>
    <m/>
    <n v="40"/>
    <m/>
    <m/>
    <m/>
    <n v="7"/>
    <n v="43"/>
    <n v="82"/>
    <m/>
    <x v="0"/>
    <x v="0"/>
    <m/>
    <m/>
    <m/>
    <m/>
    <n v="3"/>
    <m/>
    <n v="3"/>
    <m/>
    <m/>
    <n v="6"/>
    <m/>
    <m/>
    <n v="4"/>
    <m/>
    <m/>
    <s v="No"/>
    <n v="2"/>
    <n v="0.8"/>
    <m/>
    <n v="1"/>
    <n v="1"/>
    <n v="51"/>
    <n v="0.8"/>
    <m/>
    <m/>
    <m/>
    <m/>
    <m/>
    <m/>
    <m/>
    <n v="1"/>
    <n v="1"/>
    <s v="Tested"/>
    <n v="5"/>
    <n v="3"/>
    <n v="4"/>
    <n v="0"/>
    <n v="0"/>
    <n v="0"/>
    <n v="0"/>
    <n v="1"/>
    <n v="1"/>
    <n v="1"/>
    <n v="1422"/>
    <n v="0"/>
    <n v="0"/>
    <n v="1"/>
    <n v="1422"/>
    <n v="2.8439999999999999"/>
    <n v="0"/>
    <n v="0"/>
    <n v="0.15600000000000014"/>
    <n v="3"/>
    <n v="40"/>
    <n v="0.56469760900140642"/>
    <n v="803"/>
    <n v="860"/>
    <n v="0"/>
    <n v="0"/>
    <n v="71"/>
    <n v="31"/>
    <n v="0.43530239099859358"/>
    <n v="0"/>
    <n v="1422"/>
    <n v="0"/>
    <n v="0"/>
    <n v="0"/>
    <n v="1422"/>
    <n v="1"/>
    <n v="0"/>
    <n v="1"/>
    <n v="0"/>
    <n v="0"/>
    <n v="3"/>
    <n v="60"/>
    <n v="0"/>
    <n v="300"/>
    <s v="No"/>
    <n v="3.5864978902953586E-2"/>
    <n v="1422"/>
    <n v="1422"/>
    <n v="1137.6000000000001"/>
    <n v="1422"/>
    <n v="0"/>
    <n v="0"/>
    <s v="Yes"/>
    <s v="KBC-BMO"/>
    <x v="0"/>
    <x v="1"/>
    <x v="0"/>
    <n v="24.200433"/>
    <n v="97.717133000000004"/>
    <s v="MMR001CMP070"/>
    <x v="0"/>
    <x v="0"/>
    <n v="243"/>
    <n v="1420"/>
  </r>
  <r>
    <x v="0"/>
    <x v="6"/>
    <x v="5"/>
    <s v="ECHO 2739"/>
    <x v="0"/>
    <x v="6"/>
    <x v="1"/>
    <x v="162"/>
    <n v="127"/>
    <n v="741"/>
    <m/>
    <m/>
    <m/>
    <m/>
    <m/>
    <m/>
    <s v="Yes"/>
    <n v="3"/>
    <n v="3"/>
    <m/>
    <m/>
    <m/>
    <n v="3"/>
    <m/>
    <m/>
    <m/>
    <m/>
    <m/>
    <m/>
    <m/>
    <m/>
    <m/>
    <n v="1"/>
    <m/>
    <m/>
    <m/>
    <m/>
    <m/>
    <m/>
    <m/>
    <m/>
    <m/>
    <n v="50"/>
    <m/>
    <m/>
    <m/>
    <m/>
    <m/>
    <m/>
    <m/>
    <x v="0"/>
    <x v="0"/>
    <m/>
    <m/>
    <m/>
    <m/>
    <m/>
    <m/>
    <n v="8"/>
    <m/>
    <m/>
    <n v="7"/>
    <m/>
    <m/>
    <m/>
    <m/>
    <m/>
    <m/>
    <m/>
    <m/>
    <m/>
    <m/>
    <m/>
    <m/>
    <m/>
    <m/>
    <m/>
    <m/>
    <m/>
    <m/>
    <m/>
    <m/>
    <s v="no test"/>
    <s v="no test"/>
    <s v="No Test"/>
    <n v="0"/>
    <n v="3"/>
    <n v="0"/>
    <n v="0"/>
    <n v="0"/>
    <n v="0"/>
    <n v="0"/>
    <n v="1"/>
    <n v="1"/>
    <n v="1"/>
    <n v="741"/>
    <n v="0"/>
    <n v="0"/>
    <n v="1"/>
    <n v="741"/>
    <n v="1.482"/>
    <n v="0"/>
    <n v="0"/>
    <n v="0"/>
    <n v="1"/>
    <n v="50"/>
    <n v="1"/>
    <n v="741"/>
    <n v="0"/>
    <n v="0"/>
    <n v="0"/>
    <n v="37"/>
    <n v="0"/>
    <n v="0"/>
    <n v="0"/>
    <n v="0"/>
    <n v="0"/>
    <n v="0"/>
    <n v="0"/>
    <n v="0"/>
    <n v="0"/>
    <n v="1"/>
    <n v="0"/>
    <n v="0"/>
    <n v="0"/>
    <n v="8"/>
    <n v="127"/>
    <n v="0"/>
    <n v="741"/>
    <s v="No"/>
    <s v=""/>
    <n v="0"/>
    <n v="0"/>
    <n v="0"/>
    <n v="0"/>
    <n v="0"/>
    <n v="0"/>
    <s v="Yes"/>
    <s v="KMSS-BMO"/>
    <x v="0"/>
    <x v="1"/>
    <x v="0"/>
    <n v="24.245100000000001"/>
    <n v="97.325019999999995"/>
    <s v="MMR001CMP062"/>
    <x v="0"/>
    <x v="0"/>
    <n v="83"/>
    <n v="427"/>
  </r>
  <r>
    <x v="0"/>
    <x v="7"/>
    <x v="6"/>
    <s v="ECHO 2739"/>
    <x v="0"/>
    <x v="6"/>
    <x v="0"/>
    <x v="163"/>
    <n v="96"/>
    <n v="512"/>
    <d v="2022-04-01T00:00:00"/>
    <d v="2023-03-31T00:00:00"/>
    <m/>
    <m/>
    <n v="2"/>
    <m/>
    <s v="Yes"/>
    <n v="5"/>
    <n v="4"/>
    <n v="1"/>
    <m/>
    <m/>
    <n v="1"/>
    <m/>
    <m/>
    <m/>
    <m/>
    <m/>
    <m/>
    <m/>
    <m/>
    <m/>
    <n v="2"/>
    <m/>
    <n v="2"/>
    <n v="2"/>
    <n v="15"/>
    <n v="15"/>
    <m/>
    <m/>
    <m/>
    <m/>
    <n v="28"/>
    <m/>
    <m/>
    <m/>
    <n v="4"/>
    <n v="42"/>
    <n v="43"/>
    <m/>
    <x v="0"/>
    <x v="0"/>
    <m/>
    <n v="1"/>
    <m/>
    <m/>
    <n v="3"/>
    <m/>
    <n v="8"/>
    <m/>
    <m/>
    <n v="4"/>
    <m/>
    <n v="1"/>
    <n v="1"/>
    <n v="96"/>
    <n v="100"/>
    <s v="No"/>
    <n v="3"/>
    <n v="0.8"/>
    <m/>
    <n v="1"/>
    <n v="1"/>
    <m/>
    <m/>
    <m/>
    <m/>
    <m/>
    <m/>
    <m/>
    <m/>
    <m/>
    <n v="1"/>
    <n v="1"/>
    <s v="Tested"/>
    <n v="1"/>
    <n v="1"/>
    <n v="0"/>
    <n v="0"/>
    <n v="0"/>
    <n v="0"/>
    <n v="0"/>
    <n v="1"/>
    <n v="0.9765625"/>
    <n v="1"/>
    <n v="512"/>
    <n v="0"/>
    <n v="0"/>
    <n v="1"/>
    <n v="512"/>
    <n v="1.024"/>
    <n v="0"/>
    <n v="0"/>
    <n v="0"/>
    <n v="1"/>
    <n v="28"/>
    <n v="1"/>
    <n v="512"/>
    <n v="512"/>
    <n v="0"/>
    <n v="0"/>
    <n v="26"/>
    <n v="0"/>
    <n v="0"/>
    <n v="0"/>
    <n v="512"/>
    <n v="512"/>
    <n v="100"/>
    <n v="512"/>
    <n v="512"/>
    <n v="1"/>
    <n v="0"/>
    <n v="1"/>
    <n v="1"/>
    <n v="1"/>
    <n v="8"/>
    <n v="96"/>
    <n v="0"/>
    <n v="512"/>
    <s v="No"/>
    <s v=""/>
    <n v="512"/>
    <n v="512"/>
    <n v="0"/>
    <n v="512"/>
    <n v="0"/>
    <n v="0"/>
    <n v="0"/>
    <n v="0"/>
    <x v="0"/>
    <x v="1"/>
    <x v="0"/>
    <n v="0"/>
    <n v="0"/>
    <n v="0"/>
    <x v="0"/>
    <x v="0"/>
    <n v="0"/>
    <n v="0"/>
  </r>
  <r>
    <x v="0"/>
    <x v="6"/>
    <x v="5"/>
    <s v="ECHO 2739"/>
    <x v="0"/>
    <x v="6"/>
    <x v="1"/>
    <x v="164"/>
    <n v="86"/>
    <n v="424"/>
    <s v="13-8-2021, 6-1-2020"/>
    <s v="30-6-2022, 30.4.2021"/>
    <m/>
    <m/>
    <m/>
    <m/>
    <s v="Yes"/>
    <n v="2"/>
    <n v="5"/>
    <n v="2"/>
    <m/>
    <m/>
    <m/>
    <m/>
    <m/>
    <m/>
    <m/>
    <m/>
    <m/>
    <m/>
    <m/>
    <m/>
    <n v="1"/>
    <m/>
    <m/>
    <m/>
    <m/>
    <m/>
    <m/>
    <m/>
    <m/>
    <m/>
    <n v="6"/>
    <m/>
    <m/>
    <m/>
    <m/>
    <m/>
    <m/>
    <m/>
    <x v="0"/>
    <x v="0"/>
    <m/>
    <m/>
    <m/>
    <m/>
    <m/>
    <m/>
    <m/>
    <m/>
    <m/>
    <n v="1"/>
    <m/>
    <m/>
    <m/>
    <m/>
    <m/>
    <m/>
    <m/>
    <m/>
    <m/>
    <m/>
    <m/>
    <m/>
    <m/>
    <m/>
    <m/>
    <m/>
    <m/>
    <m/>
    <m/>
    <m/>
    <s v="no test"/>
    <s v="no test"/>
    <s v="No Test"/>
    <n v="2"/>
    <n v="0"/>
    <n v="0"/>
    <n v="0"/>
    <n v="0"/>
    <n v="0"/>
    <n v="0"/>
    <n v="1"/>
    <n v="1"/>
    <n v="1"/>
    <n v="424"/>
    <n v="0"/>
    <n v="0"/>
    <n v="1"/>
    <n v="424"/>
    <n v="0.84799999999999998"/>
    <n v="0"/>
    <n v="0"/>
    <n v="0.15200000000000002"/>
    <n v="1"/>
    <n v="6"/>
    <n v="0.28301886792452829"/>
    <n v="120"/>
    <n v="0"/>
    <n v="0"/>
    <n v="0"/>
    <n v="21"/>
    <n v="15"/>
    <n v="0.71698113207547176"/>
    <n v="0"/>
    <n v="0"/>
    <n v="0"/>
    <n v="0"/>
    <n v="0"/>
    <n v="0"/>
    <n v="0"/>
    <n v="1"/>
    <n v="0"/>
    <n v="0"/>
    <n v="0"/>
    <n v="0"/>
    <n v="0"/>
    <n v="0"/>
    <n v="0"/>
    <s v="No"/>
    <s v=""/>
    <n v="0"/>
    <n v="0"/>
    <n v="0"/>
    <n v="0"/>
    <n v="0"/>
    <n v="0"/>
    <s v="Yes"/>
    <s v="KBC-BMO"/>
    <x v="0"/>
    <x v="1"/>
    <x v="0"/>
    <n v="24.250689999999999"/>
    <n v="97.344359999999995"/>
    <s v="MMR001CMP056"/>
    <x v="0"/>
    <x v="0"/>
    <n v="416"/>
    <n v="1936"/>
  </r>
  <r>
    <x v="0"/>
    <x v="7"/>
    <x v="6"/>
    <s v="ECHO 2739"/>
    <x v="0"/>
    <x v="6"/>
    <x v="1"/>
    <x v="165"/>
    <n v="44"/>
    <n v="297"/>
    <d v="2022-04-01T00:00:00"/>
    <d v="2023-03-31T00:00:00"/>
    <m/>
    <m/>
    <n v="1"/>
    <m/>
    <s v="Yes"/>
    <n v="3"/>
    <n v="4"/>
    <n v="3"/>
    <m/>
    <m/>
    <n v="1"/>
    <m/>
    <m/>
    <m/>
    <m/>
    <m/>
    <m/>
    <m/>
    <m/>
    <m/>
    <n v="1"/>
    <m/>
    <n v="1"/>
    <n v="1"/>
    <n v="9"/>
    <n v="9"/>
    <m/>
    <m/>
    <m/>
    <m/>
    <n v="13"/>
    <m/>
    <m/>
    <m/>
    <n v="3"/>
    <n v="12"/>
    <n v="16"/>
    <m/>
    <x v="0"/>
    <x v="0"/>
    <m/>
    <m/>
    <m/>
    <m/>
    <n v="3"/>
    <m/>
    <n v="8"/>
    <m/>
    <m/>
    <n v="3"/>
    <m/>
    <m/>
    <n v="1"/>
    <m/>
    <m/>
    <s v="No"/>
    <n v="2"/>
    <n v="0.8"/>
    <m/>
    <n v="1"/>
    <n v="1"/>
    <n v="9"/>
    <n v="0.9"/>
    <m/>
    <m/>
    <m/>
    <m/>
    <m/>
    <m/>
    <m/>
    <n v="1"/>
    <n v="1"/>
    <s v="Tested"/>
    <n v="3"/>
    <n v="1"/>
    <n v="0"/>
    <n v="0"/>
    <n v="0"/>
    <n v="0"/>
    <n v="0"/>
    <n v="1"/>
    <n v="1"/>
    <n v="1"/>
    <n v="297"/>
    <n v="0"/>
    <n v="0"/>
    <n v="1"/>
    <n v="297"/>
    <n v="0.59399999999999997"/>
    <n v="0"/>
    <n v="0"/>
    <n v="0.40600000000000003"/>
    <n v="1"/>
    <n v="13"/>
    <n v="0.88552188552188549"/>
    <n v="263"/>
    <n v="240"/>
    <n v="0"/>
    <n v="0"/>
    <n v="15"/>
    <n v="2"/>
    <n v="0.11447811447811451"/>
    <n v="0"/>
    <n v="297"/>
    <n v="0"/>
    <n v="0"/>
    <n v="0"/>
    <n v="297"/>
    <n v="1"/>
    <n v="0"/>
    <n v="1"/>
    <n v="0"/>
    <n v="0"/>
    <n v="8"/>
    <n v="44"/>
    <n v="0"/>
    <n v="297"/>
    <s v="No"/>
    <n v="3.0303030303030304E-2"/>
    <n v="297"/>
    <n v="297"/>
    <n v="267.3"/>
    <n v="297"/>
    <n v="0"/>
    <n v="0"/>
    <s v="Yes"/>
    <s v="KBC-BMO"/>
    <x v="0"/>
    <x v="1"/>
    <x v="0"/>
    <n v="24.205417000000001"/>
    <n v="97.724483000000006"/>
    <s v="MMR001CMP072"/>
    <x v="0"/>
    <x v="0"/>
    <n v="48"/>
    <n v="293"/>
  </r>
  <r>
    <x v="0"/>
    <x v="7"/>
    <x v="6"/>
    <s v="ECHO 2739"/>
    <x v="0"/>
    <x v="6"/>
    <x v="1"/>
    <x v="166"/>
    <n v="44"/>
    <n v="266"/>
    <d v="2022-04-01T00:00:00"/>
    <d v="2023-03-31T00:00:00"/>
    <m/>
    <m/>
    <n v="2"/>
    <m/>
    <s v="Yes"/>
    <n v="4"/>
    <n v="6"/>
    <n v="2"/>
    <m/>
    <m/>
    <n v="1"/>
    <m/>
    <m/>
    <m/>
    <n v="1"/>
    <m/>
    <m/>
    <m/>
    <m/>
    <m/>
    <n v="1"/>
    <m/>
    <n v="1"/>
    <n v="1"/>
    <n v="6"/>
    <n v="6"/>
    <m/>
    <m/>
    <m/>
    <m/>
    <n v="16"/>
    <m/>
    <m/>
    <m/>
    <n v="1"/>
    <n v="14"/>
    <n v="16"/>
    <m/>
    <x v="0"/>
    <x v="0"/>
    <m/>
    <m/>
    <m/>
    <m/>
    <m/>
    <m/>
    <n v="3"/>
    <m/>
    <m/>
    <n v="1"/>
    <m/>
    <m/>
    <n v="1"/>
    <m/>
    <m/>
    <s v="No"/>
    <n v="2"/>
    <n v="0.8"/>
    <m/>
    <n v="1"/>
    <n v="1"/>
    <n v="8"/>
    <n v="1"/>
    <m/>
    <m/>
    <m/>
    <m/>
    <m/>
    <m/>
    <m/>
    <n v="1"/>
    <n v="1"/>
    <s v="Tested"/>
    <n v="2"/>
    <n v="1"/>
    <n v="1"/>
    <n v="0"/>
    <n v="0"/>
    <n v="0"/>
    <n v="0"/>
    <n v="1"/>
    <n v="1"/>
    <n v="1"/>
    <n v="266"/>
    <n v="0"/>
    <n v="0"/>
    <n v="1"/>
    <n v="266"/>
    <n v="0.53200000000000003"/>
    <n v="0"/>
    <n v="0"/>
    <n v="0.46799999999999997"/>
    <n v="1"/>
    <n v="16"/>
    <n v="1"/>
    <n v="266"/>
    <n v="266"/>
    <n v="0"/>
    <n v="0"/>
    <n v="13"/>
    <n v="0"/>
    <n v="0"/>
    <n v="0"/>
    <n v="266"/>
    <n v="0"/>
    <n v="0"/>
    <n v="0"/>
    <n v="266"/>
    <n v="1"/>
    <n v="0"/>
    <n v="1"/>
    <n v="0"/>
    <n v="0"/>
    <n v="3"/>
    <n v="44"/>
    <n v="0"/>
    <n v="266"/>
    <s v="No"/>
    <n v="3.007518796992481E-2"/>
    <n v="266"/>
    <n v="266"/>
    <n v="266"/>
    <n v="266"/>
    <n v="0"/>
    <n v="0"/>
    <s v="Yes"/>
    <s v="KBC-BMO"/>
    <x v="0"/>
    <x v="1"/>
    <x v="0"/>
    <n v="24.207332999999998"/>
    <n v="97.710864000000001"/>
    <s v="MMR001CMP073"/>
    <x v="0"/>
    <x v="0"/>
    <n v="52"/>
    <n v="299"/>
  </r>
  <r>
    <x v="0"/>
    <x v="6"/>
    <x v="5"/>
    <s v="USAID/HOPE-94"/>
    <x v="0"/>
    <x v="4"/>
    <x v="2"/>
    <x v="167"/>
    <n v="134"/>
    <n v="709"/>
    <s v="13-8-2021, 6-1-2020"/>
    <s v="30-6-2022, 30.4.2021"/>
    <m/>
    <m/>
    <m/>
    <m/>
    <s v="No"/>
    <m/>
    <m/>
    <m/>
    <m/>
    <m/>
    <m/>
    <m/>
    <m/>
    <m/>
    <n v="1"/>
    <m/>
    <m/>
    <m/>
    <m/>
    <m/>
    <m/>
    <m/>
    <m/>
    <m/>
    <m/>
    <m/>
    <m/>
    <m/>
    <m/>
    <m/>
    <m/>
    <m/>
    <m/>
    <m/>
    <m/>
    <m/>
    <m/>
    <m/>
    <x v="0"/>
    <x v="3"/>
    <m/>
    <m/>
    <m/>
    <m/>
    <m/>
    <m/>
    <n v="8"/>
    <m/>
    <m/>
    <n v="3"/>
    <m/>
    <m/>
    <m/>
    <m/>
    <m/>
    <m/>
    <m/>
    <m/>
    <m/>
    <m/>
    <m/>
    <m/>
    <m/>
    <m/>
    <m/>
    <m/>
    <m/>
    <m/>
    <m/>
    <m/>
    <s v="no test"/>
    <s v="no test"/>
    <s v="No Test"/>
    <n v="0"/>
    <n v="0"/>
    <n v="1"/>
    <n v="0"/>
    <n v="0"/>
    <n v="0"/>
    <n v="0"/>
    <n v="9.4029149036201229E-2"/>
    <n v="9.4029149036201229E-2"/>
    <n v="9.4029149036201229E-2"/>
    <n v="66.666666666666671"/>
    <n v="0"/>
    <n v="0"/>
    <n v="9.4029149036201229E-2"/>
    <n v="66.666666666666671"/>
    <n v="0.13333333333333333"/>
    <n v="0.90597085096379881"/>
    <n v="642.33333333333337"/>
    <n v="0.8666666666666667"/>
    <n v="1"/>
    <n v="0"/>
    <n v="0"/>
    <n v="0"/>
    <n v="0"/>
    <n v="0"/>
    <n v="0"/>
    <n v="35"/>
    <n v="35"/>
    <n v="1"/>
    <n v="0"/>
    <n v="0"/>
    <n v="0"/>
    <n v="0"/>
    <n v="0"/>
    <n v="0"/>
    <n v="0"/>
    <n v="1"/>
    <n v="0"/>
    <n v="0"/>
    <n v="0"/>
    <n v="8"/>
    <n v="134"/>
    <n v="0"/>
    <n v="709"/>
    <s v="No"/>
    <s v=""/>
    <n v="0"/>
    <n v="0"/>
    <n v="0"/>
    <n v="0"/>
    <n v="0"/>
    <n v="0"/>
    <n v="0"/>
    <n v="0"/>
    <x v="0"/>
    <x v="1"/>
    <x v="1"/>
    <n v="0"/>
    <n v="0"/>
    <n v="0"/>
    <x v="0"/>
    <x v="0"/>
    <n v="0"/>
    <n v="0"/>
  </r>
  <r>
    <x v="0"/>
    <x v="2"/>
    <x v="0"/>
    <s v="UNICEF"/>
    <x v="0"/>
    <x v="1"/>
    <x v="1"/>
    <x v="168"/>
    <n v="58"/>
    <n v="322"/>
    <d v="2022-09-07T00:00:00"/>
    <d v="2023-09-06T00:00:00"/>
    <m/>
    <n v="1"/>
    <m/>
    <m/>
    <s v="Yes"/>
    <n v="1"/>
    <n v="2"/>
    <n v="3"/>
    <m/>
    <m/>
    <m/>
    <m/>
    <m/>
    <m/>
    <m/>
    <m/>
    <m/>
    <m/>
    <m/>
    <m/>
    <m/>
    <n v="2"/>
    <m/>
    <m/>
    <m/>
    <m/>
    <m/>
    <m/>
    <m/>
    <m/>
    <n v="7"/>
    <m/>
    <m/>
    <m/>
    <m/>
    <m/>
    <m/>
    <n v="7"/>
    <x v="0"/>
    <x v="3"/>
    <m/>
    <m/>
    <m/>
    <m/>
    <m/>
    <m/>
    <n v="3"/>
    <m/>
    <m/>
    <n v="2"/>
    <m/>
    <m/>
    <m/>
    <m/>
    <m/>
    <m/>
    <m/>
    <m/>
    <m/>
    <m/>
    <m/>
    <m/>
    <m/>
    <m/>
    <m/>
    <m/>
    <m/>
    <m/>
    <m/>
    <m/>
    <s v="no test"/>
    <s v="no test"/>
    <s v="No Test"/>
    <n v="3"/>
    <n v="0"/>
    <n v="0"/>
    <n v="0"/>
    <n v="0"/>
    <n v="0"/>
    <n v="0"/>
    <n v="1"/>
    <n v="1"/>
    <n v="1"/>
    <n v="322"/>
    <n v="0"/>
    <n v="0"/>
    <n v="1"/>
    <n v="322"/>
    <n v="0.64400000000000002"/>
    <n v="0"/>
    <n v="0"/>
    <n v="0.35599999999999998"/>
    <n v="1"/>
    <n v="7"/>
    <n v="0.43478260869565216"/>
    <n v="140"/>
    <n v="0"/>
    <n v="0"/>
    <n v="0"/>
    <n v="16"/>
    <n v="9"/>
    <n v="0.56521739130434789"/>
    <n v="0"/>
    <n v="0"/>
    <n v="0"/>
    <n v="0"/>
    <n v="0"/>
    <n v="0"/>
    <n v="0"/>
    <n v="1"/>
    <n v="0"/>
    <n v="0"/>
    <n v="0"/>
    <n v="3"/>
    <n v="58"/>
    <n v="0"/>
    <n v="300"/>
    <s v="No"/>
    <s v=""/>
    <n v="0"/>
    <n v="0"/>
    <n v="0"/>
    <n v="0"/>
    <n v="0"/>
    <n v="0"/>
    <s v="Yes"/>
    <s v="KBC-MYT"/>
    <x v="0"/>
    <x v="1"/>
    <x v="0"/>
    <n v="25.360463124999999"/>
    <n v="97.4113064583333"/>
    <s v="MMR001CMP016"/>
    <x v="0"/>
    <x v="0"/>
    <n v="58"/>
    <n v="320"/>
  </r>
  <r>
    <x v="0"/>
    <x v="12"/>
    <x v="0"/>
    <s v="UNICEF, SIDA"/>
    <x v="0"/>
    <x v="1"/>
    <x v="1"/>
    <x v="169"/>
    <n v="87"/>
    <n v="506"/>
    <d v="2022-09-07T00:00:00"/>
    <d v="2023-09-06T00:00:00"/>
    <m/>
    <n v="2"/>
    <m/>
    <m/>
    <s v="Yes"/>
    <n v="2"/>
    <n v="3"/>
    <n v="2"/>
    <m/>
    <m/>
    <n v="3"/>
    <m/>
    <m/>
    <m/>
    <m/>
    <m/>
    <m/>
    <m/>
    <m/>
    <m/>
    <m/>
    <n v="3"/>
    <m/>
    <m/>
    <m/>
    <m/>
    <m/>
    <m/>
    <m/>
    <m/>
    <n v="34"/>
    <m/>
    <m/>
    <m/>
    <m/>
    <m/>
    <m/>
    <n v="34"/>
    <x v="0"/>
    <x v="3"/>
    <m/>
    <m/>
    <m/>
    <m/>
    <m/>
    <m/>
    <n v="3"/>
    <m/>
    <m/>
    <n v="2"/>
    <m/>
    <m/>
    <m/>
    <m/>
    <m/>
    <m/>
    <m/>
    <m/>
    <m/>
    <m/>
    <m/>
    <m/>
    <m/>
    <m/>
    <m/>
    <m/>
    <m/>
    <m/>
    <m/>
    <m/>
    <s v="no test"/>
    <s v="no test"/>
    <s v="No Test"/>
    <n v="2"/>
    <n v="3"/>
    <n v="0"/>
    <n v="0"/>
    <n v="0"/>
    <n v="0"/>
    <n v="0"/>
    <n v="1"/>
    <n v="1"/>
    <n v="1"/>
    <n v="506"/>
    <n v="0"/>
    <n v="0"/>
    <n v="1"/>
    <n v="506"/>
    <n v="1.012"/>
    <n v="0"/>
    <n v="0"/>
    <n v="0"/>
    <n v="1"/>
    <n v="34"/>
    <n v="1"/>
    <n v="506"/>
    <n v="0"/>
    <n v="0"/>
    <n v="0"/>
    <n v="25"/>
    <n v="0"/>
    <n v="0"/>
    <n v="0"/>
    <n v="0"/>
    <n v="0"/>
    <n v="0"/>
    <n v="0"/>
    <n v="0"/>
    <n v="0"/>
    <n v="1"/>
    <n v="0"/>
    <n v="0"/>
    <n v="0"/>
    <n v="3"/>
    <n v="60"/>
    <n v="0"/>
    <n v="300"/>
    <s v="No"/>
    <s v=""/>
    <n v="0"/>
    <n v="0"/>
    <n v="0"/>
    <n v="0"/>
    <n v="0"/>
    <n v="0"/>
    <s v="Yes"/>
    <s v="KBC-MYT"/>
    <x v="0"/>
    <x v="1"/>
    <x v="0"/>
    <n v="25.428910999999999"/>
    <n v="97.418694000000002"/>
    <s v="MMR001CMP008"/>
    <x v="0"/>
    <x v="0"/>
    <n v="88"/>
    <n v="515"/>
  </r>
  <r>
    <x v="0"/>
    <x v="2"/>
    <x v="0"/>
    <s v="UNICEF"/>
    <x v="0"/>
    <x v="1"/>
    <x v="1"/>
    <x v="170"/>
    <n v="72"/>
    <n v="320"/>
    <d v="2022-09-07T00:00:00"/>
    <d v="2023-09-06T00:00:00"/>
    <m/>
    <n v="1"/>
    <m/>
    <m/>
    <s v="Yes"/>
    <n v="2"/>
    <n v="2"/>
    <n v="2"/>
    <m/>
    <m/>
    <n v="2"/>
    <m/>
    <m/>
    <m/>
    <m/>
    <m/>
    <m/>
    <m/>
    <m/>
    <m/>
    <m/>
    <n v="3"/>
    <m/>
    <m/>
    <m/>
    <m/>
    <m/>
    <m/>
    <m/>
    <m/>
    <n v="15"/>
    <m/>
    <m/>
    <m/>
    <m/>
    <m/>
    <m/>
    <n v="15"/>
    <x v="0"/>
    <x v="0"/>
    <m/>
    <m/>
    <m/>
    <m/>
    <m/>
    <m/>
    <n v="1"/>
    <m/>
    <m/>
    <n v="1"/>
    <m/>
    <m/>
    <m/>
    <m/>
    <m/>
    <m/>
    <m/>
    <m/>
    <m/>
    <m/>
    <m/>
    <m/>
    <m/>
    <m/>
    <m/>
    <m/>
    <m/>
    <m/>
    <m/>
    <m/>
    <s v="no test"/>
    <s v="no test"/>
    <s v="No Test"/>
    <n v="2"/>
    <n v="2"/>
    <n v="0"/>
    <n v="0"/>
    <n v="0"/>
    <n v="0"/>
    <n v="0"/>
    <n v="1"/>
    <n v="1"/>
    <n v="1"/>
    <n v="320"/>
    <n v="0"/>
    <n v="0"/>
    <n v="1"/>
    <n v="320"/>
    <n v="0.64"/>
    <n v="0"/>
    <n v="0"/>
    <n v="0.36"/>
    <n v="1"/>
    <n v="15"/>
    <n v="0.9375"/>
    <n v="300"/>
    <n v="0"/>
    <n v="0"/>
    <n v="0"/>
    <n v="16"/>
    <n v="1"/>
    <n v="6.25E-2"/>
    <n v="0"/>
    <n v="0"/>
    <n v="0"/>
    <n v="0"/>
    <n v="0"/>
    <n v="0"/>
    <n v="0"/>
    <n v="1"/>
    <n v="0"/>
    <n v="0"/>
    <n v="0"/>
    <n v="1"/>
    <n v="20"/>
    <n v="0"/>
    <n v="100"/>
    <s v="No"/>
    <s v=""/>
    <n v="0"/>
    <n v="0"/>
    <n v="0"/>
    <n v="0"/>
    <n v="0"/>
    <n v="0"/>
    <s v="Yes"/>
    <s v="KBC-MYT"/>
    <x v="0"/>
    <x v="1"/>
    <x v="0"/>
    <n v="25.422194000000001"/>
    <n v="97.394547000000003"/>
    <s v="MMR001CMP002"/>
    <x v="0"/>
    <x v="0"/>
    <n v="76"/>
    <n v="328"/>
  </r>
  <r>
    <x v="0"/>
    <x v="12"/>
    <x v="0"/>
    <s v="UNICEF, SIDA"/>
    <x v="0"/>
    <x v="1"/>
    <x v="1"/>
    <x v="171"/>
    <n v="111"/>
    <n v="595"/>
    <d v="2022-09-07T00:00:00"/>
    <d v="2023-09-06T00:00:00"/>
    <m/>
    <n v="2"/>
    <m/>
    <m/>
    <s v="Yes"/>
    <n v="2"/>
    <n v="2"/>
    <n v="2"/>
    <m/>
    <m/>
    <n v="3"/>
    <m/>
    <m/>
    <m/>
    <m/>
    <m/>
    <m/>
    <m/>
    <m/>
    <m/>
    <m/>
    <n v="2"/>
    <m/>
    <m/>
    <m/>
    <m/>
    <m/>
    <m/>
    <m/>
    <m/>
    <n v="13"/>
    <m/>
    <m/>
    <m/>
    <m/>
    <m/>
    <m/>
    <n v="13"/>
    <x v="0"/>
    <x v="0"/>
    <m/>
    <m/>
    <m/>
    <m/>
    <m/>
    <m/>
    <n v="7"/>
    <m/>
    <m/>
    <n v="4"/>
    <m/>
    <n v="1"/>
    <m/>
    <m/>
    <m/>
    <m/>
    <m/>
    <m/>
    <m/>
    <m/>
    <m/>
    <m/>
    <m/>
    <m/>
    <m/>
    <m/>
    <m/>
    <m/>
    <m/>
    <m/>
    <s v="no test"/>
    <s v="no test"/>
    <s v="No Test"/>
    <n v="2"/>
    <n v="3"/>
    <n v="0"/>
    <n v="0"/>
    <n v="0"/>
    <n v="0"/>
    <n v="0"/>
    <n v="1"/>
    <n v="1"/>
    <n v="1"/>
    <n v="595"/>
    <n v="0"/>
    <n v="0"/>
    <n v="1"/>
    <n v="595"/>
    <n v="1.19"/>
    <n v="0"/>
    <n v="0"/>
    <n v="0"/>
    <n v="1"/>
    <n v="13"/>
    <n v="0.43697478991596639"/>
    <n v="260"/>
    <n v="0"/>
    <n v="0"/>
    <n v="0"/>
    <n v="30"/>
    <n v="17"/>
    <n v="0.56302521008403361"/>
    <n v="0"/>
    <n v="500"/>
    <n v="0"/>
    <n v="0"/>
    <n v="0"/>
    <n v="500"/>
    <n v="0.84033613445378152"/>
    <n v="0.15966386554621848"/>
    <n v="0.84033613445378152"/>
    <n v="0"/>
    <n v="0"/>
    <n v="7"/>
    <n v="111"/>
    <n v="0"/>
    <n v="595"/>
    <s v="No"/>
    <s v=""/>
    <n v="0"/>
    <n v="0"/>
    <n v="0"/>
    <n v="0"/>
    <n v="0"/>
    <n v="0"/>
    <s v="Yes"/>
    <s v="KBC-MYT"/>
    <x v="0"/>
    <x v="1"/>
    <x v="0"/>
    <n v="25.412313000000001"/>
    <n v="97.399628000000007"/>
    <s v="MMR001CMP006"/>
    <x v="0"/>
    <x v="0"/>
    <n v="111"/>
    <n v="569"/>
  </r>
  <r>
    <x v="0"/>
    <x v="12"/>
    <x v="0"/>
    <s v="SIDA"/>
    <x v="0"/>
    <x v="1"/>
    <x v="1"/>
    <x v="172"/>
    <n v="104"/>
    <n v="629"/>
    <d v="2022-09-07T00:00:00"/>
    <d v="2023-09-06T00:00:00"/>
    <m/>
    <n v="2"/>
    <m/>
    <m/>
    <s v="Yes"/>
    <n v="2"/>
    <n v="2"/>
    <n v="3"/>
    <m/>
    <m/>
    <n v="2"/>
    <m/>
    <m/>
    <m/>
    <m/>
    <m/>
    <m/>
    <m/>
    <m/>
    <m/>
    <m/>
    <n v="2"/>
    <m/>
    <m/>
    <m/>
    <m/>
    <m/>
    <m/>
    <m/>
    <m/>
    <n v="17"/>
    <m/>
    <m/>
    <m/>
    <m/>
    <m/>
    <m/>
    <n v="17"/>
    <x v="0"/>
    <x v="0"/>
    <m/>
    <m/>
    <m/>
    <m/>
    <m/>
    <m/>
    <n v="3"/>
    <m/>
    <m/>
    <n v="2"/>
    <m/>
    <m/>
    <m/>
    <m/>
    <m/>
    <m/>
    <m/>
    <m/>
    <m/>
    <m/>
    <m/>
    <m/>
    <m/>
    <m/>
    <m/>
    <m/>
    <m/>
    <m/>
    <m/>
    <m/>
    <s v="no test"/>
    <s v="no test"/>
    <s v="No Test"/>
    <n v="3"/>
    <n v="2"/>
    <n v="0"/>
    <n v="0"/>
    <n v="0"/>
    <n v="0"/>
    <n v="0"/>
    <n v="1"/>
    <n v="1"/>
    <n v="1"/>
    <n v="629"/>
    <n v="0"/>
    <n v="0"/>
    <n v="1"/>
    <n v="629"/>
    <n v="1.258"/>
    <n v="0"/>
    <n v="0"/>
    <n v="0"/>
    <n v="1"/>
    <n v="17"/>
    <n v="0.54054054054054057"/>
    <n v="340"/>
    <n v="0"/>
    <n v="0"/>
    <n v="0"/>
    <n v="31"/>
    <n v="14"/>
    <n v="0.45945945945945943"/>
    <n v="0"/>
    <n v="0"/>
    <n v="0"/>
    <n v="0"/>
    <n v="0"/>
    <n v="0"/>
    <n v="0"/>
    <n v="1"/>
    <n v="0"/>
    <n v="0"/>
    <n v="0"/>
    <n v="3"/>
    <n v="60"/>
    <n v="0"/>
    <n v="300"/>
    <s v="No"/>
    <s v=""/>
    <n v="0"/>
    <n v="0"/>
    <n v="0"/>
    <n v="0"/>
    <n v="0"/>
    <n v="0"/>
    <s v="Yes"/>
    <s v="KBC-MYT"/>
    <x v="0"/>
    <x v="1"/>
    <x v="0"/>
    <n v="25.440928"/>
    <n v="97.419403000000003"/>
    <s v="MMR001CMP009"/>
    <x v="0"/>
    <x v="0"/>
    <n v="107"/>
    <n v="637"/>
  </r>
  <r>
    <x v="0"/>
    <x v="2"/>
    <x v="0"/>
    <s v="UNICEF"/>
    <x v="0"/>
    <x v="1"/>
    <x v="1"/>
    <x v="173"/>
    <n v="99"/>
    <n v="543"/>
    <d v="2022-09-07T00:00:00"/>
    <d v="2023-09-06T00:00:00"/>
    <m/>
    <n v="1"/>
    <m/>
    <m/>
    <s v="Yes"/>
    <n v="2"/>
    <n v="2"/>
    <n v="2"/>
    <m/>
    <m/>
    <n v="3"/>
    <m/>
    <m/>
    <m/>
    <m/>
    <m/>
    <m/>
    <m/>
    <m/>
    <m/>
    <m/>
    <n v="2"/>
    <m/>
    <m/>
    <m/>
    <m/>
    <m/>
    <m/>
    <m/>
    <m/>
    <n v="11"/>
    <m/>
    <m/>
    <m/>
    <m/>
    <m/>
    <m/>
    <n v="11"/>
    <x v="0"/>
    <x v="0"/>
    <m/>
    <m/>
    <m/>
    <m/>
    <m/>
    <m/>
    <n v="3"/>
    <m/>
    <m/>
    <n v="2"/>
    <m/>
    <n v="1"/>
    <m/>
    <m/>
    <m/>
    <m/>
    <m/>
    <m/>
    <m/>
    <m/>
    <m/>
    <m/>
    <m/>
    <m/>
    <m/>
    <m/>
    <m/>
    <m/>
    <m/>
    <m/>
    <s v="no test"/>
    <s v="no test"/>
    <s v="No Test"/>
    <n v="2"/>
    <n v="3"/>
    <n v="0"/>
    <n v="0"/>
    <n v="0"/>
    <n v="0"/>
    <n v="0"/>
    <n v="1"/>
    <n v="1"/>
    <n v="1"/>
    <n v="543"/>
    <n v="0"/>
    <n v="0"/>
    <n v="1"/>
    <n v="543"/>
    <n v="1.0860000000000001"/>
    <n v="0"/>
    <n v="0"/>
    <n v="0"/>
    <n v="1"/>
    <n v="11"/>
    <n v="0.40515653775322286"/>
    <n v="220"/>
    <n v="0"/>
    <n v="0"/>
    <n v="0"/>
    <n v="27"/>
    <n v="16"/>
    <n v="0.59484346224677709"/>
    <n v="0"/>
    <n v="500"/>
    <n v="0"/>
    <n v="0"/>
    <n v="0"/>
    <n v="500"/>
    <n v="0.92081031307550643"/>
    <n v="7.9189686924493574E-2"/>
    <n v="0.92081031307550643"/>
    <n v="0"/>
    <n v="0"/>
    <n v="3"/>
    <n v="60"/>
    <n v="0"/>
    <n v="300"/>
    <s v="No"/>
    <s v=""/>
    <n v="0"/>
    <n v="0"/>
    <n v="0"/>
    <n v="0"/>
    <n v="0"/>
    <n v="0"/>
    <s v="Yes"/>
    <s v="KBC-MYT"/>
    <x v="0"/>
    <x v="1"/>
    <x v="0"/>
    <n v="25.415482000000001"/>
    <n v="97.386718999999999"/>
    <s v="MMR001CMP001"/>
    <x v="0"/>
    <x v="0"/>
    <n v="99"/>
    <n v="550"/>
  </r>
  <r>
    <x v="0"/>
    <x v="2"/>
    <x v="0"/>
    <s v="UNICEF"/>
    <x v="0"/>
    <x v="1"/>
    <x v="1"/>
    <x v="174"/>
    <n v="32"/>
    <n v="169"/>
    <d v="2022-09-07T00:00:00"/>
    <d v="2023-09-06T00:00:00"/>
    <m/>
    <n v="1"/>
    <m/>
    <m/>
    <s v="Yes"/>
    <n v="2"/>
    <n v="2"/>
    <n v="3"/>
    <m/>
    <m/>
    <n v="4"/>
    <m/>
    <m/>
    <m/>
    <m/>
    <m/>
    <m/>
    <m/>
    <m/>
    <m/>
    <m/>
    <n v="3"/>
    <m/>
    <m/>
    <m/>
    <m/>
    <m/>
    <m/>
    <m/>
    <m/>
    <n v="5"/>
    <m/>
    <m/>
    <m/>
    <m/>
    <m/>
    <m/>
    <n v="5"/>
    <x v="0"/>
    <x v="0"/>
    <m/>
    <m/>
    <m/>
    <m/>
    <m/>
    <m/>
    <n v="1"/>
    <m/>
    <m/>
    <n v="3"/>
    <m/>
    <m/>
    <m/>
    <m/>
    <m/>
    <m/>
    <m/>
    <m/>
    <m/>
    <m/>
    <m/>
    <m/>
    <m/>
    <m/>
    <m/>
    <m/>
    <m/>
    <m/>
    <m/>
    <m/>
    <s v="no test"/>
    <s v="no test"/>
    <s v="No Test"/>
    <n v="3"/>
    <n v="4"/>
    <n v="0"/>
    <n v="0"/>
    <n v="0"/>
    <n v="0"/>
    <n v="0"/>
    <n v="1"/>
    <n v="1"/>
    <n v="1"/>
    <n v="169"/>
    <n v="0"/>
    <n v="0"/>
    <n v="1"/>
    <n v="169"/>
    <n v="0.33800000000000002"/>
    <n v="0"/>
    <n v="0"/>
    <n v="0.66199999999999992"/>
    <n v="1"/>
    <n v="5"/>
    <n v="0.59171597633136097"/>
    <n v="100"/>
    <n v="0"/>
    <n v="0"/>
    <n v="0"/>
    <n v="8"/>
    <n v="3"/>
    <n v="0.40828402366863903"/>
    <n v="0"/>
    <n v="0"/>
    <n v="0"/>
    <n v="0"/>
    <n v="0"/>
    <n v="0"/>
    <n v="0"/>
    <n v="1"/>
    <n v="0"/>
    <n v="0"/>
    <n v="0"/>
    <n v="1"/>
    <n v="20"/>
    <n v="0"/>
    <n v="100"/>
    <s v="No"/>
    <s v=""/>
    <n v="0"/>
    <n v="0"/>
    <n v="0"/>
    <n v="0"/>
    <n v="0"/>
    <n v="0"/>
    <s v="Yes"/>
    <s v="KBC-MYT"/>
    <x v="0"/>
    <x v="1"/>
    <x v="0"/>
    <n v="25.404752999999999"/>
    <n v="97.377662999999998"/>
    <s v="MMR001CMP003"/>
    <x v="0"/>
    <x v="0"/>
    <n v="32"/>
    <n v="171"/>
  </r>
  <r>
    <x v="0"/>
    <x v="2"/>
    <x v="0"/>
    <s v="UNICEF"/>
    <x v="0"/>
    <x v="1"/>
    <x v="1"/>
    <x v="175"/>
    <n v="47"/>
    <n v="241"/>
    <d v="2022-09-07T00:00:00"/>
    <d v="2023-09-06T00:00:00"/>
    <m/>
    <n v="1"/>
    <m/>
    <m/>
    <s v="Yes"/>
    <n v="2"/>
    <n v="3"/>
    <n v="2"/>
    <m/>
    <m/>
    <n v="1"/>
    <m/>
    <m/>
    <m/>
    <m/>
    <m/>
    <m/>
    <m/>
    <m/>
    <m/>
    <m/>
    <n v="3"/>
    <m/>
    <m/>
    <m/>
    <m/>
    <m/>
    <m/>
    <m/>
    <m/>
    <n v="13"/>
    <m/>
    <m/>
    <m/>
    <m/>
    <m/>
    <m/>
    <n v="13"/>
    <x v="0"/>
    <x v="0"/>
    <m/>
    <m/>
    <m/>
    <m/>
    <m/>
    <m/>
    <n v="1"/>
    <m/>
    <m/>
    <n v="1"/>
    <m/>
    <m/>
    <m/>
    <m/>
    <m/>
    <m/>
    <m/>
    <m/>
    <m/>
    <m/>
    <m/>
    <m/>
    <m/>
    <m/>
    <m/>
    <m/>
    <m/>
    <m/>
    <m/>
    <m/>
    <s v="no test"/>
    <s v="no test"/>
    <s v="No Test"/>
    <n v="2"/>
    <n v="1"/>
    <n v="0"/>
    <n v="0"/>
    <n v="0"/>
    <n v="0"/>
    <n v="0"/>
    <n v="1"/>
    <n v="1"/>
    <n v="1"/>
    <n v="241"/>
    <n v="0"/>
    <n v="0"/>
    <n v="1"/>
    <n v="241"/>
    <n v="0.48199999999999998"/>
    <n v="0"/>
    <n v="0"/>
    <n v="0.51800000000000002"/>
    <n v="1"/>
    <n v="13"/>
    <n v="1"/>
    <n v="241"/>
    <n v="0"/>
    <n v="0"/>
    <n v="0"/>
    <n v="12"/>
    <n v="0"/>
    <n v="0"/>
    <n v="0"/>
    <n v="0"/>
    <n v="0"/>
    <n v="0"/>
    <n v="0"/>
    <n v="0"/>
    <n v="0"/>
    <n v="1"/>
    <n v="0"/>
    <n v="0"/>
    <n v="0"/>
    <n v="1"/>
    <n v="20"/>
    <n v="0"/>
    <n v="100"/>
    <s v="No"/>
    <s v=""/>
    <n v="0"/>
    <n v="0"/>
    <n v="0"/>
    <n v="0"/>
    <n v="0"/>
    <n v="0"/>
    <s v="Yes"/>
    <s v="KBC-MYT"/>
    <x v="0"/>
    <x v="1"/>
    <x v="0"/>
    <n v="25.437125999999999"/>
    <n v="97.387276"/>
    <s v="MMR001CMP005"/>
    <x v="0"/>
    <x v="0"/>
    <n v="47"/>
    <n v="240"/>
  </r>
  <r>
    <x v="0"/>
    <x v="2"/>
    <x v="0"/>
    <s v="UNICEF"/>
    <x v="0"/>
    <x v="1"/>
    <x v="1"/>
    <x v="176"/>
    <n v="156"/>
    <n v="973"/>
    <d v="2022-09-07T00:00:00"/>
    <d v="2023-09-06T00:00:00"/>
    <m/>
    <n v="2"/>
    <m/>
    <m/>
    <s v="Yes"/>
    <n v="2"/>
    <n v="3"/>
    <n v="2"/>
    <m/>
    <m/>
    <n v="3"/>
    <m/>
    <m/>
    <m/>
    <m/>
    <m/>
    <m/>
    <m/>
    <m/>
    <m/>
    <m/>
    <n v="4"/>
    <m/>
    <m/>
    <m/>
    <m/>
    <m/>
    <m/>
    <m/>
    <m/>
    <n v="28"/>
    <m/>
    <m/>
    <m/>
    <m/>
    <m/>
    <m/>
    <n v="10"/>
    <x v="0"/>
    <x v="0"/>
    <m/>
    <m/>
    <m/>
    <m/>
    <m/>
    <m/>
    <n v="3"/>
    <m/>
    <m/>
    <n v="2"/>
    <m/>
    <n v="1"/>
    <m/>
    <m/>
    <m/>
    <m/>
    <m/>
    <m/>
    <m/>
    <m/>
    <m/>
    <m/>
    <m/>
    <m/>
    <m/>
    <m/>
    <m/>
    <m/>
    <m/>
    <m/>
    <s v="no test"/>
    <s v="no test"/>
    <s v="No Test"/>
    <n v="2"/>
    <n v="3"/>
    <n v="0"/>
    <n v="0"/>
    <n v="0"/>
    <n v="0"/>
    <n v="0"/>
    <n v="1"/>
    <n v="1"/>
    <n v="1"/>
    <n v="973"/>
    <n v="0"/>
    <n v="0"/>
    <n v="1"/>
    <n v="973"/>
    <n v="1.946"/>
    <n v="0"/>
    <n v="0"/>
    <n v="5.4000000000000048E-2"/>
    <n v="2"/>
    <n v="28"/>
    <n v="0.57553956834532372"/>
    <n v="560"/>
    <n v="0"/>
    <n v="0"/>
    <n v="0"/>
    <n v="49"/>
    <n v="21"/>
    <n v="0.42446043165467628"/>
    <n v="0"/>
    <n v="500"/>
    <n v="0"/>
    <n v="0"/>
    <n v="0"/>
    <n v="500"/>
    <n v="0.51387461459403905"/>
    <n v="0.48612538540596095"/>
    <n v="0.51387461459403905"/>
    <n v="0"/>
    <n v="0"/>
    <n v="3"/>
    <n v="60"/>
    <n v="0"/>
    <n v="300"/>
    <s v="No"/>
    <s v=""/>
    <n v="0"/>
    <n v="0"/>
    <n v="0"/>
    <n v="0"/>
    <n v="0"/>
    <n v="0"/>
    <s v="Yes"/>
    <s v="KBC-MYT"/>
    <x v="0"/>
    <x v="1"/>
    <x v="0"/>
    <n v="25.480989999999998"/>
    <n v="97.431079999999994"/>
    <s v="MMR001CMP263"/>
    <x v="0"/>
    <x v="0"/>
    <n v="197"/>
    <n v="981"/>
  </r>
  <r>
    <x v="0"/>
    <x v="2"/>
    <x v="0"/>
    <s v="MHF,UNICEF"/>
    <x v="0"/>
    <x v="12"/>
    <x v="1"/>
    <x v="177"/>
    <n v="386"/>
    <n v="1397"/>
    <d v="2022-09-07T00:00:00"/>
    <d v="2023-09-06T00:00:00"/>
    <m/>
    <m/>
    <m/>
    <m/>
    <m/>
    <n v="19"/>
    <n v="55"/>
    <n v="13"/>
    <m/>
    <m/>
    <n v="1"/>
    <m/>
    <m/>
    <m/>
    <m/>
    <m/>
    <m/>
    <m/>
    <m/>
    <m/>
    <m/>
    <m/>
    <m/>
    <m/>
    <m/>
    <m/>
    <m/>
    <m/>
    <m/>
    <m/>
    <n v="5"/>
    <m/>
    <m/>
    <m/>
    <m/>
    <m/>
    <m/>
    <m/>
    <x v="0"/>
    <x v="2"/>
    <m/>
    <m/>
    <n v="50"/>
    <m/>
    <m/>
    <m/>
    <n v="1"/>
    <m/>
    <m/>
    <n v="3"/>
    <m/>
    <m/>
    <m/>
    <m/>
    <m/>
    <m/>
    <m/>
    <m/>
    <m/>
    <m/>
    <m/>
    <m/>
    <m/>
    <m/>
    <m/>
    <m/>
    <m/>
    <m/>
    <m/>
    <m/>
    <s v="no test"/>
    <s v="no test"/>
    <s v="No Test"/>
    <n v="13"/>
    <n v="1"/>
    <n v="0"/>
    <n v="0"/>
    <n v="0"/>
    <n v="0"/>
    <n v="0"/>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n v="0"/>
    <n v="0"/>
    <n v="0"/>
    <s v="uncovered"/>
    <x v="0"/>
    <x v="0"/>
    <x v="1"/>
    <n v="24.590350000000001"/>
    <n v="96.95626"/>
    <s v="MMR001CMP273"/>
    <x v="0"/>
    <x v="0"/>
    <n v="292"/>
    <n v="1299"/>
  </r>
  <r>
    <x v="0"/>
    <x v="2"/>
    <x v="0"/>
    <s v="UNICEF"/>
    <x v="0"/>
    <x v="10"/>
    <x v="1"/>
    <x v="178"/>
    <n v="116"/>
    <n v="673"/>
    <d v="2022-09-07T00:00:00"/>
    <d v="2023-09-06T00:00:00"/>
    <m/>
    <n v="2"/>
    <m/>
    <m/>
    <s v="Yes"/>
    <n v="3"/>
    <n v="1"/>
    <n v="27"/>
    <n v="12"/>
    <m/>
    <m/>
    <m/>
    <m/>
    <m/>
    <m/>
    <m/>
    <m/>
    <m/>
    <m/>
    <m/>
    <m/>
    <m/>
    <m/>
    <m/>
    <m/>
    <m/>
    <m/>
    <m/>
    <m/>
    <m/>
    <n v="65"/>
    <n v="15"/>
    <m/>
    <m/>
    <m/>
    <m/>
    <m/>
    <m/>
    <x v="0"/>
    <x v="0"/>
    <m/>
    <n v="2"/>
    <m/>
    <m/>
    <m/>
    <m/>
    <n v="3"/>
    <m/>
    <m/>
    <n v="2"/>
    <m/>
    <n v="1"/>
    <m/>
    <m/>
    <m/>
    <m/>
    <m/>
    <m/>
    <m/>
    <m/>
    <m/>
    <m/>
    <m/>
    <m/>
    <m/>
    <m/>
    <m/>
    <m/>
    <m/>
    <m/>
    <s v="no test"/>
    <s v="no test"/>
    <s v="No Test"/>
    <n v="15"/>
    <n v="0"/>
    <n v="0"/>
    <n v="0"/>
    <n v="0"/>
    <n v="0"/>
    <n v="0"/>
    <n v="1"/>
    <n v="1"/>
    <n v="1"/>
    <n v="673"/>
    <n v="0"/>
    <n v="0"/>
    <n v="1"/>
    <n v="673"/>
    <n v="1.3460000000000001"/>
    <n v="0"/>
    <n v="0"/>
    <n v="0"/>
    <n v="1"/>
    <n v="80"/>
    <n v="1"/>
    <n v="673"/>
    <n v="0"/>
    <n v="0"/>
    <n v="0"/>
    <n v="34"/>
    <n v="0"/>
    <n v="0"/>
    <n v="0"/>
    <n v="500"/>
    <n v="0"/>
    <n v="0"/>
    <n v="0"/>
    <n v="500"/>
    <n v="0.74294205052005946"/>
    <n v="0.25705794947994054"/>
    <n v="0.74294205052005946"/>
    <n v="0"/>
    <n v="0"/>
    <n v="3"/>
    <n v="60"/>
    <n v="0"/>
    <n v="300"/>
    <s v="No"/>
    <s v=""/>
    <n v="0"/>
    <n v="0"/>
    <n v="0"/>
    <n v="0"/>
    <n v="0"/>
    <n v="0"/>
    <s v="Yes"/>
    <s v="KBC-MYT"/>
    <x v="0"/>
    <x v="1"/>
    <x v="1"/>
    <n v="26.569633"/>
    <n v="97.745480999999998"/>
    <s v="MMR001CMP238"/>
    <x v="0"/>
    <x v="0"/>
    <n v="123"/>
    <n v="646"/>
  </r>
  <r>
    <x v="0"/>
    <x v="2"/>
    <x v="0"/>
    <s v="UNICEF"/>
    <x v="0"/>
    <x v="10"/>
    <x v="1"/>
    <x v="179"/>
    <n v="71"/>
    <n v="362"/>
    <d v="2022-09-07T00:00:00"/>
    <d v="2023-09-06T00:00:00"/>
    <m/>
    <n v="2"/>
    <m/>
    <m/>
    <s v="Yes"/>
    <n v="3"/>
    <n v="2"/>
    <n v="16"/>
    <n v="8"/>
    <m/>
    <m/>
    <m/>
    <m/>
    <m/>
    <m/>
    <m/>
    <m/>
    <m/>
    <m/>
    <m/>
    <m/>
    <m/>
    <m/>
    <m/>
    <m/>
    <m/>
    <m/>
    <m/>
    <m/>
    <m/>
    <n v="73"/>
    <n v="23"/>
    <m/>
    <m/>
    <m/>
    <m/>
    <m/>
    <m/>
    <x v="0"/>
    <x v="0"/>
    <m/>
    <n v="24"/>
    <n v="5"/>
    <n v="5"/>
    <m/>
    <m/>
    <n v="1"/>
    <m/>
    <m/>
    <n v="1"/>
    <m/>
    <m/>
    <m/>
    <m/>
    <m/>
    <m/>
    <m/>
    <m/>
    <m/>
    <m/>
    <m/>
    <m/>
    <m/>
    <m/>
    <m/>
    <m/>
    <m/>
    <m/>
    <m/>
    <m/>
    <s v="no test"/>
    <s v="no test"/>
    <s v="No Test"/>
    <n v="8"/>
    <n v="0"/>
    <n v="0"/>
    <n v="0"/>
    <n v="0"/>
    <n v="0"/>
    <n v="0"/>
    <n v="1"/>
    <n v="1"/>
    <n v="1"/>
    <n v="362"/>
    <n v="0"/>
    <n v="0"/>
    <n v="1"/>
    <n v="362"/>
    <n v="0.72399999999999998"/>
    <n v="0"/>
    <n v="0"/>
    <n v="0.27600000000000002"/>
    <n v="1"/>
    <n v="96"/>
    <n v="1"/>
    <n v="362"/>
    <n v="0"/>
    <n v="0"/>
    <n v="250"/>
    <n v="18"/>
    <n v="0"/>
    <n v="0"/>
    <n v="0"/>
    <n v="0"/>
    <n v="0"/>
    <n v="0"/>
    <n v="0"/>
    <n v="0"/>
    <n v="0"/>
    <n v="1"/>
    <n v="0"/>
    <n v="0"/>
    <n v="0"/>
    <n v="1"/>
    <n v="20"/>
    <n v="0"/>
    <n v="100"/>
    <s v="No"/>
    <s v=""/>
    <n v="0"/>
    <n v="0"/>
    <n v="0"/>
    <n v="0"/>
    <n v="0"/>
    <n v="250"/>
    <s v="Yes"/>
    <s v="KBC-MYT"/>
    <x v="0"/>
    <x v="1"/>
    <x v="1"/>
    <n v="26.548506"/>
    <n v="97.75609"/>
    <s v="MMR001CMP239"/>
    <x v="0"/>
    <x v="0"/>
    <n v="68"/>
    <n v="355"/>
  </r>
  <r>
    <x v="0"/>
    <x v="2"/>
    <x v="0"/>
    <s v="UNICEF"/>
    <x v="0"/>
    <x v="9"/>
    <x v="1"/>
    <x v="180"/>
    <n v="96"/>
    <n v="413"/>
    <d v="2022-09-07T00:00:00"/>
    <d v="2023-09-06T00:00:00"/>
    <m/>
    <n v="2"/>
    <m/>
    <m/>
    <s v="Yes"/>
    <n v="2"/>
    <n v="2"/>
    <n v="4"/>
    <m/>
    <m/>
    <n v="3"/>
    <m/>
    <m/>
    <m/>
    <m/>
    <m/>
    <m/>
    <m/>
    <m/>
    <m/>
    <m/>
    <m/>
    <m/>
    <m/>
    <m/>
    <m/>
    <m/>
    <m/>
    <m/>
    <m/>
    <n v="30"/>
    <n v="30"/>
    <m/>
    <m/>
    <m/>
    <m/>
    <m/>
    <m/>
    <x v="1"/>
    <x v="2"/>
    <m/>
    <m/>
    <m/>
    <m/>
    <m/>
    <m/>
    <n v="3"/>
    <m/>
    <n v="5"/>
    <n v="3"/>
    <m/>
    <m/>
    <m/>
    <m/>
    <m/>
    <m/>
    <m/>
    <m/>
    <m/>
    <m/>
    <m/>
    <m/>
    <m/>
    <m/>
    <m/>
    <m/>
    <m/>
    <m/>
    <m/>
    <m/>
    <s v="no test"/>
    <s v="no test"/>
    <s v="No Test"/>
    <n v="4"/>
    <n v="3"/>
    <n v="0"/>
    <n v="0"/>
    <n v="0"/>
    <n v="0"/>
    <n v="0"/>
    <n v="1"/>
    <n v="1"/>
    <n v="1"/>
    <n v="413"/>
    <n v="0"/>
    <n v="0"/>
    <n v="1"/>
    <n v="413"/>
    <n v="0.82599999999999996"/>
    <n v="0"/>
    <n v="0"/>
    <n v="0.17400000000000004"/>
    <n v="1"/>
    <n v="60"/>
    <n v="1"/>
    <n v="413"/>
    <n v="0"/>
    <n v="0"/>
    <n v="0"/>
    <n v="21"/>
    <n v="0"/>
    <n v="0"/>
    <n v="0"/>
    <n v="0"/>
    <n v="0"/>
    <n v="0"/>
    <n v="0"/>
    <n v="0"/>
    <n v="0"/>
    <n v="1"/>
    <n v="0"/>
    <n v="0"/>
    <n v="0"/>
    <n v="3"/>
    <n v="60"/>
    <n v="0"/>
    <n v="300"/>
    <s v="No"/>
    <s v=""/>
    <n v="0"/>
    <n v="0"/>
    <n v="0"/>
    <n v="0"/>
    <n v="0"/>
    <n v="0"/>
    <s v="Yes"/>
    <s v="KBC-MYT"/>
    <x v="0"/>
    <x v="1"/>
    <x v="0"/>
    <n v="26.356223"/>
    <n v="96.721439000000004"/>
    <s v="MMR001CMP253"/>
    <x v="0"/>
    <x v="0"/>
    <n v="110"/>
    <n v="486"/>
  </r>
  <r>
    <x v="0"/>
    <x v="12"/>
    <x v="0"/>
    <s v="UNICEF, SIDA"/>
    <x v="0"/>
    <x v="4"/>
    <x v="1"/>
    <x v="181"/>
    <n v="138"/>
    <n v="856"/>
    <d v="2022-09-07T00:00:00"/>
    <d v="2023-09-06T00:00:00"/>
    <m/>
    <n v="2"/>
    <m/>
    <m/>
    <s v="Yes"/>
    <n v="2"/>
    <n v="3"/>
    <n v="2"/>
    <m/>
    <m/>
    <m/>
    <m/>
    <m/>
    <m/>
    <n v="2"/>
    <m/>
    <m/>
    <m/>
    <m/>
    <m/>
    <m/>
    <m/>
    <m/>
    <m/>
    <m/>
    <m/>
    <m/>
    <m/>
    <m/>
    <m/>
    <n v="50"/>
    <n v="62"/>
    <m/>
    <m/>
    <m/>
    <m/>
    <m/>
    <n v="50"/>
    <x v="0"/>
    <x v="0"/>
    <m/>
    <m/>
    <m/>
    <m/>
    <m/>
    <m/>
    <n v="8"/>
    <m/>
    <m/>
    <n v="2"/>
    <m/>
    <m/>
    <n v="2"/>
    <m/>
    <m/>
    <m/>
    <m/>
    <m/>
    <m/>
    <m/>
    <m/>
    <m/>
    <m/>
    <m/>
    <m/>
    <m/>
    <m/>
    <m/>
    <m/>
    <m/>
    <s v="no test"/>
    <s v="no test"/>
    <s v="No Test"/>
    <n v="2"/>
    <n v="0"/>
    <n v="2"/>
    <n v="0"/>
    <n v="0"/>
    <n v="0"/>
    <n v="0"/>
    <n v="1"/>
    <n v="0.73987538940809972"/>
    <n v="1"/>
    <n v="856"/>
    <n v="0"/>
    <n v="0"/>
    <n v="1"/>
    <n v="856"/>
    <n v="1.712"/>
    <n v="0"/>
    <n v="0"/>
    <n v="0.28800000000000003"/>
    <n v="2"/>
    <n v="112"/>
    <n v="1"/>
    <n v="856"/>
    <n v="0"/>
    <n v="0"/>
    <n v="0"/>
    <n v="43"/>
    <n v="0"/>
    <n v="0"/>
    <n v="0"/>
    <n v="856"/>
    <n v="0"/>
    <n v="0"/>
    <n v="0"/>
    <n v="856"/>
    <n v="1"/>
    <n v="0"/>
    <n v="1"/>
    <n v="0"/>
    <n v="0"/>
    <n v="8"/>
    <n v="138"/>
    <n v="0"/>
    <n v="800"/>
    <s v="No"/>
    <s v=""/>
    <n v="0"/>
    <n v="0"/>
    <n v="0"/>
    <n v="0"/>
    <n v="0"/>
    <n v="0"/>
    <s v="Yes"/>
    <s v="KBC-MYT"/>
    <x v="0"/>
    <x v="1"/>
    <x v="1"/>
    <n v="25.200333000000001"/>
    <n v="97.807182999999995"/>
    <s v="MMR001CMP115"/>
    <x v="0"/>
    <x v="0"/>
    <n v="138"/>
    <n v="891"/>
  </r>
  <r>
    <x v="0"/>
    <x v="2"/>
    <x v="0"/>
    <s v="UNICEF"/>
    <x v="0"/>
    <x v="4"/>
    <x v="1"/>
    <x v="182"/>
    <n v="27"/>
    <n v="140"/>
    <d v="2022-09-07T00:00:00"/>
    <d v="2023-09-06T00:00:00"/>
    <m/>
    <n v="1"/>
    <m/>
    <m/>
    <s v="Yes"/>
    <n v="3"/>
    <n v="4"/>
    <n v="2"/>
    <m/>
    <m/>
    <n v="1"/>
    <m/>
    <m/>
    <m/>
    <m/>
    <m/>
    <m/>
    <m/>
    <m/>
    <m/>
    <m/>
    <n v="3"/>
    <m/>
    <m/>
    <m/>
    <m/>
    <m/>
    <m/>
    <m/>
    <m/>
    <n v="6"/>
    <m/>
    <m/>
    <m/>
    <m/>
    <m/>
    <m/>
    <n v="6"/>
    <x v="0"/>
    <x v="0"/>
    <m/>
    <m/>
    <m/>
    <m/>
    <m/>
    <m/>
    <n v="8"/>
    <m/>
    <m/>
    <n v="3"/>
    <m/>
    <m/>
    <n v="1"/>
    <m/>
    <m/>
    <m/>
    <m/>
    <m/>
    <m/>
    <m/>
    <m/>
    <m/>
    <m/>
    <m/>
    <m/>
    <m/>
    <m/>
    <m/>
    <m/>
    <m/>
    <s v="no test"/>
    <s v="no test"/>
    <s v="No Test"/>
    <n v="2"/>
    <n v="1"/>
    <n v="0"/>
    <n v="0"/>
    <n v="0"/>
    <n v="0"/>
    <n v="0"/>
    <n v="1"/>
    <n v="1"/>
    <n v="1"/>
    <n v="140"/>
    <n v="0"/>
    <n v="0"/>
    <n v="1"/>
    <n v="140"/>
    <n v="0.28000000000000003"/>
    <n v="0"/>
    <n v="0"/>
    <n v="0.72"/>
    <n v="1"/>
    <n v="6"/>
    <n v="0.8571428571428571"/>
    <n v="120"/>
    <n v="0"/>
    <n v="0"/>
    <n v="0"/>
    <n v="7"/>
    <n v="1"/>
    <n v="0.1428571428571429"/>
    <n v="0"/>
    <n v="140"/>
    <n v="0"/>
    <n v="0"/>
    <n v="0"/>
    <n v="140"/>
    <n v="1"/>
    <n v="0"/>
    <n v="1"/>
    <n v="0"/>
    <n v="0"/>
    <n v="8"/>
    <n v="27"/>
    <n v="0"/>
    <n v="140"/>
    <s v="No"/>
    <s v=""/>
    <n v="0"/>
    <n v="0"/>
    <n v="0"/>
    <n v="0"/>
    <n v="0"/>
    <n v="0"/>
    <s v="Yes"/>
    <s v="KBC-MYT"/>
    <x v="0"/>
    <x v="1"/>
    <x v="0"/>
    <n v="25.356632000000001"/>
    <n v="97.451965000000001"/>
    <s v="MMR001CMP027"/>
    <x v="0"/>
    <x v="0"/>
    <n v="40"/>
    <n v="242"/>
  </r>
  <r>
    <x v="0"/>
    <x v="12"/>
    <x v="0"/>
    <s v="UNICEF,SIDA"/>
    <x v="0"/>
    <x v="4"/>
    <x v="1"/>
    <x v="183"/>
    <n v="428"/>
    <n v="1342"/>
    <d v="2022-09-07T00:00:00"/>
    <d v="2023-09-06T00:00:00"/>
    <m/>
    <n v="6"/>
    <m/>
    <m/>
    <s v="Yes"/>
    <n v="3"/>
    <n v="2"/>
    <n v="1"/>
    <m/>
    <m/>
    <m/>
    <m/>
    <m/>
    <m/>
    <m/>
    <m/>
    <m/>
    <m/>
    <m/>
    <m/>
    <m/>
    <m/>
    <m/>
    <m/>
    <m/>
    <m/>
    <m/>
    <m/>
    <m/>
    <m/>
    <n v="407"/>
    <m/>
    <m/>
    <m/>
    <m/>
    <m/>
    <m/>
    <m/>
    <x v="0"/>
    <x v="0"/>
    <n v="3"/>
    <m/>
    <m/>
    <m/>
    <m/>
    <m/>
    <n v="177"/>
    <m/>
    <n v="12"/>
    <n v="6"/>
    <m/>
    <n v="1"/>
    <n v="5"/>
    <m/>
    <m/>
    <m/>
    <m/>
    <m/>
    <m/>
    <m/>
    <m/>
    <m/>
    <m/>
    <m/>
    <m/>
    <m/>
    <m/>
    <m/>
    <m/>
    <m/>
    <s v="no test"/>
    <s v="no test"/>
    <s v="No Test"/>
    <n v="1"/>
    <n v="0"/>
    <n v="0"/>
    <n v="0"/>
    <n v="0"/>
    <n v="0"/>
    <n v="0"/>
    <n v="0.29806259314456035"/>
    <n v="0.18628912071535023"/>
    <n v="0.29806259314456035"/>
    <n v="400"/>
    <n v="0"/>
    <n v="0"/>
    <n v="0.29806259314456035"/>
    <n v="400"/>
    <n v="0.8"/>
    <n v="0.70193740685543959"/>
    <n v="941.99999999999989"/>
    <n v="2.2000000000000002"/>
    <n v="3"/>
    <n v="407"/>
    <n v="1"/>
    <n v="1342"/>
    <n v="0"/>
    <n v="0"/>
    <n v="0"/>
    <n v="224"/>
    <n v="0"/>
    <n v="0"/>
    <n v="0"/>
    <n v="1342"/>
    <n v="0"/>
    <n v="0"/>
    <n v="0"/>
    <n v="1342"/>
    <n v="1"/>
    <n v="0"/>
    <n v="1"/>
    <n v="0"/>
    <n v="0"/>
    <n v="177"/>
    <n v="428"/>
    <n v="0"/>
    <n v="1342"/>
    <s v="No"/>
    <s v=""/>
    <n v="0"/>
    <n v="0"/>
    <n v="0"/>
    <n v="0"/>
    <n v="0"/>
    <n v="0"/>
    <s v="Yes"/>
    <s v="KMSS-MYT"/>
    <x v="2"/>
    <x v="1"/>
    <x v="1"/>
    <n v="24.980250000000002"/>
    <n v="97.715230000000005"/>
    <s v="MMR001CMP119"/>
    <x v="0"/>
    <x v="0"/>
    <n v="421"/>
    <n v="1668"/>
  </r>
  <r>
    <x v="0"/>
    <x v="2"/>
    <x v="0"/>
    <s v="UNICEF"/>
    <x v="0"/>
    <x v="4"/>
    <x v="1"/>
    <x v="184"/>
    <n v="530"/>
    <n v="2973"/>
    <d v="2022-09-07T00:00:00"/>
    <d v="2023-09-06T00:00:00"/>
    <m/>
    <n v="5"/>
    <m/>
    <m/>
    <s v="Yes"/>
    <n v="3"/>
    <n v="4"/>
    <n v="13"/>
    <m/>
    <m/>
    <n v="2"/>
    <m/>
    <m/>
    <m/>
    <m/>
    <m/>
    <m/>
    <m/>
    <m/>
    <m/>
    <m/>
    <n v="9"/>
    <m/>
    <m/>
    <m/>
    <m/>
    <m/>
    <m/>
    <m/>
    <m/>
    <n v="130"/>
    <m/>
    <m/>
    <m/>
    <m/>
    <m/>
    <m/>
    <n v="130"/>
    <x v="0"/>
    <x v="0"/>
    <m/>
    <m/>
    <m/>
    <m/>
    <m/>
    <m/>
    <n v="7"/>
    <m/>
    <m/>
    <n v="7"/>
    <m/>
    <n v="2"/>
    <n v="4"/>
    <m/>
    <m/>
    <m/>
    <m/>
    <m/>
    <m/>
    <m/>
    <m/>
    <m/>
    <m/>
    <m/>
    <m/>
    <m/>
    <m/>
    <m/>
    <m/>
    <m/>
    <s v="no test"/>
    <s v="no test"/>
    <s v="No Test"/>
    <n v="13"/>
    <n v="2"/>
    <n v="0"/>
    <n v="0"/>
    <n v="0"/>
    <n v="0"/>
    <n v="0"/>
    <n v="1"/>
    <n v="1"/>
    <n v="1"/>
    <n v="2973"/>
    <n v="0"/>
    <n v="0"/>
    <n v="1"/>
    <n v="2973"/>
    <n v="5.9459999999999997"/>
    <n v="0"/>
    <n v="0"/>
    <n v="5.400000000000027E-2"/>
    <n v="6"/>
    <n v="130"/>
    <n v="0.87453750420450727"/>
    <n v="2600"/>
    <n v="0"/>
    <n v="0"/>
    <n v="0"/>
    <n v="149"/>
    <n v="19"/>
    <n v="0.12546249579549273"/>
    <n v="0"/>
    <n v="2973"/>
    <n v="0"/>
    <n v="0"/>
    <n v="0"/>
    <n v="2973"/>
    <n v="1"/>
    <n v="0"/>
    <n v="1"/>
    <n v="0"/>
    <n v="0"/>
    <n v="7"/>
    <n v="140"/>
    <n v="0"/>
    <n v="700"/>
    <s v="No"/>
    <s v=""/>
    <n v="0"/>
    <n v="0"/>
    <n v="0"/>
    <n v="0"/>
    <n v="0"/>
    <n v="0"/>
    <s v="Yes"/>
    <s v="KBC-MYT"/>
    <x v="0"/>
    <x v="1"/>
    <x v="0"/>
    <n v="25.4118005797101"/>
    <n v="97.434855869565197"/>
    <s v="MMR001CMP040"/>
    <x v="0"/>
    <x v="0"/>
    <n v="530"/>
    <n v="2930"/>
  </r>
  <r>
    <x v="0"/>
    <x v="2"/>
    <x v="0"/>
    <s v="UNICEF"/>
    <x v="0"/>
    <x v="4"/>
    <x v="1"/>
    <x v="185"/>
    <n v="55"/>
    <n v="198"/>
    <d v="2022-09-07T00:00:00"/>
    <d v="2023-09-06T00:00:00"/>
    <m/>
    <n v="1"/>
    <m/>
    <m/>
    <s v="Yes"/>
    <n v="1"/>
    <n v="3"/>
    <n v="1"/>
    <m/>
    <m/>
    <m/>
    <m/>
    <m/>
    <m/>
    <m/>
    <m/>
    <m/>
    <m/>
    <m/>
    <m/>
    <m/>
    <n v="2"/>
    <m/>
    <m/>
    <m/>
    <m/>
    <m/>
    <m/>
    <m/>
    <m/>
    <n v="10"/>
    <m/>
    <m/>
    <m/>
    <m/>
    <m/>
    <m/>
    <n v="10"/>
    <x v="0"/>
    <x v="0"/>
    <m/>
    <m/>
    <m/>
    <m/>
    <m/>
    <m/>
    <n v="7"/>
    <m/>
    <m/>
    <n v="4"/>
    <m/>
    <n v="1"/>
    <m/>
    <m/>
    <m/>
    <m/>
    <m/>
    <m/>
    <m/>
    <m/>
    <m/>
    <m/>
    <m/>
    <m/>
    <m/>
    <m/>
    <m/>
    <m/>
    <m/>
    <m/>
    <s v="no test"/>
    <s v="no test"/>
    <s v="No Test"/>
    <n v="1"/>
    <n v="0"/>
    <n v="0"/>
    <n v="0"/>
    <n v="0"/>
    <n v="0"/>
    <n v="0"/>
    <n v="1"/>
    <n v="1"/>
    <n v="1"/>
    <n v="198"/>
    <n v="0"/>
    <n v="0"/>
    <n v="1"/>
    <n v="198"/>
    <n v="0.39600000000000002"/>
    <n v="0"/>
    <n v="0"/>
    <n v="0.60399999999999998"/>
    <n v="1"/>
    <n v="10"/>
    <n v="1"/>
    <n v="198"/>
    <n v="0"/>
    <n v="0"/>
    <n v="0"/>
    <n v="10"/>
    <n v="0"/>
    <n v="0"/>
    <n v="0"/>
    <n v="198"/>
    <n v="0"/>
    <n v="0"/>
    <n v="0"/>
    <n v="198"/>
    <n v="1"/>
    <n v="0"/>
    <n v="1"/>
    <n v="0"/>
    <n v="0"/>
    <n v="7"/>
    <n v="55"/>
    <n v="0"/>
    <n v="198"/>
    <s v="No"/>
    <s v=""/>
    <n v="0"/>
    <n v="0"/>
    <n v="0"/>
    <n v="0"/>
    <n v="0"/>
    <n v="0"/>
    <s v="Yes"/>
    <s v="KBC-MYT"/>
    <x v="0"/>
    <x v="1"/>
    <x v="0"/>
    <n v="25.409612685185198"/>
    <n v="97.426536944444507"/>
    <s v="MMR001CMP039"/>
    <x v="0"/>
    <x v="0"/>
    <n v="57"/>
    <n v="291"/>
  </r>
  <r>
    <x v="0"/>
    <x v="12"/>
    <x v="0"/>
    <s v="UNICEF,SIDA"/>
    <x v="0"/>
    <x v="4"/>
    <x v="1"/>
    <x v="186"/>
    <n v="171"/>
    <n v="1059"/>
    <d v="2022-09-07T00:00:00"/>
    <d v="2023-09-06T00:00:00"/>
    <m/>
    <n v="3"/>
    <m/>
    <m/>
    <s v="Yes"/>
    <n v="3"/>
    <n v="2"/>
    <n v="3"/>
    <m/>
    <m/>
    <m/>
    <m/>
    <m/>
    <m/>
    <n v="4"/>
    <m/>
    <m/>
    <m/>
    <m/>
    <m/>
    <m/>
    <m/>
    <m/>
    <m/>
    <m/>
    <m/>
    <m/>
    <m/>
    <m/>
    <m/>
    <n v="170"/>
    <m/>
    <m/>
    <m/>
    <m/>
    <m/>
    <m/>
    <n v="150"/>
    <x v="0"/>
    <x v="0"/>
    <m/>
    <m/>
    <m/>
    <m/>
    <m/>
    <m/>
    <n v="25"/>
    <m/>
    <n v="5"/>
    <m/>
    <m/>
    <n v="1"/>
    <n v="2"/>
    <m/>
    <m/>
    <m/>
    <m/>
    <m/>
    <m/>
    <m/>
    <m/>
    <m/>
    <m/>
    <m/>
    <m/>
    <m/>
    <m/>
    <m/>
    <m/>
    <m/>
    <s v="no test"/>
    <s v="no test"/>
    <s v="No Test"/>
    <n v="3"/>
    <n v="0"/>
    <n v="4"/>
    <n v="0"/>
    <n v="0"/>
    <n v="0"/>
    <n v="0"/>
    <n v="1"/>
    <n v="0.96002518098835388"/>
    <n v="1"/>
    <n v="1059"/>
    <n v="0"/>
    <n v="0"/>
    <n v="1"/>
    <n v="1059"/>
    <n v="2.1179999999999999"/>
    <n v="0"/>
    <n v="0"/>
    <n v="0"/>
    <n v="2"/>
    <n v="170"/>
    <n v="0.80264400377714828"/>
    <n v="850"/>
    <n v="0"/>
    <n v="0"/>
    <n v="0"/>
    <n v="177"/>
    <n v="7"/>
    <n v="0.19735599622285172"/>
    <n v="0"/>
    <n v="1059"/>
    <n v="0"/>
    <n v="0"/>
    <n v="0"/>
    <n v="1059"/>
    <n v="1"/>
    <n v="0"/>
    <n v="1"/>
    <n v="0"/>
    <n v="0"/>
    <n v="25"/>
    <n v="171"/>
    <n v="0"/>
    <n v="1059"/>
    <s v="No"/>
    <s v=""/>
    <n v="0"/>
    <n v="0"/>
    <n v="0"/>
    <n v="0"/>
    <n v="0"/>
    <n v="0"/>
    <s v="Yes"/>
    <s v="KBC-MYT"/>
    <x v="2"/>
    <x v="1"/>
    <x v="1"/>
    <n v="24.831944"/>
    <n v="97.751389000000003"/>
    <s v="MMR001CMP120"/>
    <x v="0"/>
    <x v="0"/>
    <n v="166"/>
    <n v="967"/>
  </r>
  <r>
    <x v="0"/>
    <x v="2"/>
    <x v="0"/>
    <s v="UNICEF"/>
    <x v="0"/>
    <x v="4"/>
    <x v="1"/>
    <x v="187"/>
    <n v="37"/>
    <n v="193"/>
    <d v="2022-09-07T00:00:00"/>
    <d v="2023-09-06T00:00:00"/>
    <m/>
    <n v="1"/>
    <m/>
    <m/>
    <s v="Yes"/>
    <n v="3"/>
    <n v="3"/>
    <n v="2"/>
    <m/>
    <m/>
    <m/>
    <m/>
    <m/>
    <m/>
    <m/>
    <m/>
    <m/>
    <m/>
    <m/>
    <m/>
    <m/>
    <n v="1"/>
    <m/>
    <m/>
    <m/>
    <m/>
    <m/>
    <m/>
    <m/>
    <m/>
    <n v="14"/>
    <m/>
    <m/>
    <m/>
    <m/>
    <m/>
    <m/>
    <n v="10"/>
    <x v="0"/>
    <x v="0"/>
    <m/>
    <m/>
    <m/>
    <m/>
    <m/>
    <m/>
    <n v="1"/>
    <m/>
    <m/>
    <n v="3"/>
    <m/>
    <n v="1"/>
    <n v="1"/>
    <m/>
    <m/>
    <m/>
    <m/>
    <m/>
    <m/>
    <m/>
    <m/>
    <m/>
    <m/>
    <m/>
    <m/>
    <m/>
    <m/>
    <m/>
    <m/>
    <m/>
    <s v="no test"/>
    <s v="no test"/>
    <s v="No Test"/>
    <n v="2"/>
    <n v="0"/>
    <n v="0"/>
    <n v="0"/>
    <n v="0"/>
    <n v="0"/>
    <n v="0"/>
    <n v="1"/>
    <n v="1"/>
    <n v="1"/>
    <n v="193"/>
    <n v="0"/>
    <n v="0"/>
    <n v="1"/>
    <n v="193"/>
    <n v="0.38600000000000001"/>
    <n v="0"/>
    <n v="0"/>
    <n v="0.61399999999999999"/>
    <n v="1"/>
    <n v="14"/>
    <n v="1"/>
    <n v="193"/>
    <n v="0"/>
    <n v="0"/>
    <n v="0"/>
    <n v="10"/>
    <n v="0"/>
    <n v="0"/>
    <n v="0"/>
    <n v="193"/>
    <n v="0"/>
    <n v="0"/>
    <n v="0"/>
    <n v="193"/>
    <n v="1"/>
    <n v="0"/>
    <n v="1"/>
    <n v="0"/>
    <n v="0"/>
    <n v="1"/>
    <n v="20"/>
    <n v="0"/>
    <n v="100"/>
    <s v="No"/>
    <s v=""/>
    <n v="0"/>
    <n v="0"/>
    <n v="0"/>
    <n v="0"/>
    <n v="0"/>
    <n v="0"/>
    <s v="Yes"/>
    <s v="KBC-MYT"/>
    <x v="0"/>
    <x v="1"/>
    <x v="0"/>
    <n v="25.351724999999998"/>
    <n v="97.438432380952406"/>
    <s v="MMR001CMP025"/>
    <x v="0"/>
    <x v="0"/>
    <n v="73"/>
    <n v="365"/>
  </r>
  <r>
    <x v="0"/>
    <x v="12"/>
    <x v="0"/>
    <s v="UNICEF,SIDA"/>
    <x v="0"/>
    <x v="4"/>
    <x v="1"/>
    <x v="188"/>
    <n v="286"/>
    <n v="1438"/>
    <d v="2022-09-07T00:00:00"/>
    <d v="2023-09-06T00:00:00"/>
    <m/>
    <n v="5"/>
    <m/>
    <m/>
    <s v="Yes"/>
    <n v="9"/>
    <n v="6"/>
    <m/>
    <m/>
    <m/>
    <n v="5"/>
    <m/>
    <m/>
    <m/>
    <m/>
    <m/>
    <m/>
    <m/>
    <m/>
    <m/>
    <m/>
    <m/>
    <m/>
    <m/>
    <m/>
    <m/>
    <m/>
    <m/>
    <m/>
    <m/>
    <n v="413"/>
    <m/>
    <m/>
    <m/>
    <m/>
    <m/>
    <m/>
    <n v="413"/>
    <x v="0"/>
    <x v="0"/>
    <m/>
    <m/>
    <m/>
    <m/>
    <m/>
    <m/>
    <n v="315"/>
    <m/>
    <n v="5"/>
    <n v="1"/>
    <m/>
    <n v="1"/>
    <n v="3"/>
    <m/>
    <m/>
    <m/>
    <m/>
    <m/>
    <m/>
    <m/>
    <m/>
    <m/>
    <m/>
    <m/>
    <m/>
    <m/>
    <m/>
    <m/>
    <m/>
    <m/>
    <s v="no test"/>
    <s v="no test"/>
    <s v="No Test"/>
    <n v="0"/>
    <n v="5"/>
    <n v="0"/>
    <n v="0"/>
    <n v="0"/>
    <n v="0"/>
    <n v="0"/>
    <n v="1"/>
    <n v="0.86926286509040329"/>
    <n v="1"/>
    <n v="1438"/>
    <n v="0"/>
    <n v="0"/>
    <n v="1"/>
    <n v="1438"/>
    <n v="2.8759999999999999"/>
    <n v="0"/>
    <n v="0"/>
    <n v="0.12400000000000011"/>
    <n v="3"/>
    <n v="413"/>
    <n v="1"/>
    <n v="1438"/>
    <n v="0"/>
    <n v="0"/>
    <n v="0"/>
    <n v="72"/>
    <n v="0"/>
    <n v="0"/>
    <n v="0"/>
    <n v="1438"/>
    <n v="0"/>
    <n v="0"/>
    <n v="0"/>
    <n v="1438"/>
    <n v="1"/>
    <n v="0"/>
    <n v="1"/>
    <n v="0"/>
    <n v="0"/>
    <n v="315"/>
    <n v="286"/>
    <n v="0"/>
    <n v="1438"/>
    <s v="No"/>
    <s v=""/>
    <n v="0"/>
    <n v="0"/>
    <n v="0"/>
    <n v="0"/>
    <n v="0"/>
    <n v="0"/>
    <s v="Yes"/>
    <s v="KBC-MYT"/>
    <x v="0"/>
    <x v="1"/>
    <x v="1"/>
    <n v="25.418084"/>
    <n v="98.025662999999994"/>
    <s v="MMR001CMP249"/>
    <x v="0"/>
    <x v="0"/>
    <n v="380"/>
    <n v="1878"/>
  </r>
  <r>
    <x v="0"/>
    <x v="2"/>
    <x v="0"/>
    <s v="UNICEF"/>
    <x v="0"/>
    <x v="4"/>
    <x v="1"/>
    <x v="189"/>
    <n v="206"/>
    <n v="1050"/>
    <d v="2022-09-07T00:00:00"/>
    <d v="2023-09-06T00:00:00"/>
    <m/>
    <n v="1"/>
    <m/>
    <m/>
    <s v="Yes"/>
    <n v="2"/>
    <n v="3"/>
    <m/>
    <m/>
    <m/>
    <m/>
    <m/>
    <m/>
    <m/>
    <m/>
    <m/>
    <m/>
    <m/>
    <m/>
    <m/>
    <m/>
    <m/>
    <m/>
    <m/>
    <m/>
    <m/>
    <m/>
    <m/>
    <m/>
    <m/>
    <n v="158"/>
    <m/>
    <m/>
    <m/>
    <m/>
    <m/>
    <m/>
    <n v="158"/>
    <x v="0"/>
    <x v="0"/>
    <m/>
    <m/>
    <m/>
    <m/>
    <m/>
    <m/>
    <n v="7"/>
    <m/>
    <m/>
    <n v="4"/>
    <m/>
    <n v="2"/>
    <n v="1"/>
    <m/>
    <m/>
    <m/>
    <m/>
    <m/>
    <m/>
    <m/>
    <m/>
    <m/>
    <m/>
    <m/>
    <m/>
    <m/>
    <m/>
    <m/>
    <m/>
    <m/>
    <s v="no test"/>
    <s v="no test"/>
    <s v="No Test"/>
    <n v="0"/>
    <n v="0"/>
    <n v="0"/>
    <n v="0"/>
    <n v="0"/>
    <n v="0"/>
    <n v="0"/>
    <n v="0"/>
    <n v="0"/>
    <n v="0"/>
    <n v="0"/>
    <n v="0"/>
    <n v="0"/>
    <n v="0"/>
    <n v="0"/>
    <n v="0"/>
    <n v="1"/>
    <n v="1050"/>
    <n v="2"/>
    <n v="2"/>
    <n v="158"/>
    <n v="1"/>
    <n v="1050"/>
    <n v="0"/>
    <n v="0"/>
    <n v="0"/>
    <n v="53"/>
    <n v="0"/>
    <n v="0"/>
    <n v="0"/>
    <n v="1050"/>
    <n v="0"/>
    <n v="0"/>
    <n v="0"/>
    <n v="1050"/>
    <n v="1"/>
    <n v="0"/>
    <n v="1"/>
    <n v="0"/>
    <n v="0"/>
    <n v="7"/>
    <n v="140"/>
    <n v="0"/>
    <n v="700"/>
    <s v="No"/>
    <s v=""/>
    <n v="0"/>
    <n v="0"/>
    <n v="0"/>
    <n v="0"/>
    <n v="0"/>
    <n v="0"/>
    <s v="Yes"/>
    <s v="KBC-MYT"/>
    <x v="0"/>
    <x v="1"/>
    <x v="0"/>
    <n v="25.418084"/>
    <n v="98.025662999999994"/>
    <s v="MMR001CMP041"/>
    <x v="0"/>
    <x v="0"/>
    <n v="216"/>
    <n v="1190"/>
  </r>
  <r>
    <x v="0"/>
    <x v="17"/>
    <x v="14"/>
    <s v="(UNICEF,SIDA), ANCHOR"/>
    <x v="0"/>
    <x v="4"/>
    <x v="1"/>
    <x v="190"/>
    <n v="55"/>
    <n v="253"/>
    <s v="9/7/2022,1-1-2023"/>
    <s v="9/6/2023,12-31-2023"/>
    <m/>
    <n v="1"/>
    <n v="1"/>
    <m/>
    <s v="Yes"/>
    <n v="3"/>
    <n v="6"/>
    <n v="2"/>
    <m/>
    <m/>
    <m/>
    <n v="1"/>
    <m/>
    <m/>
    <m/>
    <m/>
    <m/>
    <m/>
    <m/>
    <m/>
    <m/>
    <n v="3"/>
    <m/>
    <m/>
    <m/>
    <m/>
    <n v="1"/>
    <m/>
    <m/>
    <s v="need for water taste  "/>
    <n v="9"/>
    <m/>
    <m/>
    <n v="1"/>
    <n v="1"/>
    <n v="6"/>
    <m/>
    <n v="6"/>
    <x v="0"/>
    <x v="0"/>
    <m/>
    <m/>
    <m/>
    <m/>
    <n v="1"/>
    <s v="မိလ္လာစုပ်ထုတ်ရန် အခက်အခဲဖြစ်"/>
    <n v="10"/>
    <n v="2"/>
    <m/>
    <n v="2"/>
    <m/>
    <n v="1"/>
    <n v="2"/>
    <m/>
    <m/>
    <m/>
    <n v="1"/>
    <n v="0.89"/>
    <m/>
    <n v="0.99"/>
    <n v="1"/>
    <n v="80"/>
    <n v="0.99"/>
    <m/>
    <m/>
    <m/>
    <m/>
    <m/>
    <m/>
    <m/>
    <s v="no test"/>
    <s v="no test"/>
    <s v="No Test"/>
    <n v="2"/>
    <n v="1"/>
    <n v="0"/>
    <n v="0"/>
    <n v="0"/>
    <n v="0"/>
    <n v="0"/>
    <n v="1"/>
    <n v="1"/>
    <n v="1"/>
    <n v="253"/>
    <n v="0"/>
    <n v="0"/>
    <n v="1"/>
    <n v="253"/>
    <n v="0.50600000000000001"/>
    <n v="0"/>
    <n v="0"/>
    <n v="0.49399999999999999"/>
    <n v="1"/>
    <n v="8"/>
    <n v="0.63636363636363635"/>
    <n v="161"/>
    <n v="120"/>
    <n v="0"/>
    <n v="0"/>
    <n v="13"/>
    <n v="4"/>
    <n v="0.36363636363636365"/>
    <n v="0.1111111111111111"/>
    <n v="253"/>
    <n v="0"/>
    <n v="0"/>
    <n v="0"/>
    <n v="253"/>
    <n v="1"/>
    <n v="0"/>
    <n v="1"/>
    <n v="0"/>
    <n v="0"/>
    <n v="8"/>
    <n v="55"/>
    <n v="0"/>
    <n v="253"/>
    <s v="No"/>
    <n v="0.31620553359683795"/>
    <n v="250.47"/>
    <n v="253"/>
    <n v="250.47"/>
    <n v="253"/>
    <n v="0"/>
    <n v="0"/>
    <s v="Yes"/>
    <s v="KBC-MYT"/>
    <x v="0"/>
    <x v="1"/>
    <x v="0"/>
    <n v="25.350989999999999"/>
    <n v="97.442809999999994"/>
    <s v="MMR001CMP269"/>
    <x v="0"/>
    <x v="0"/>
    <n v="81"/>
    <n v="387"/>
  </r>
  <r>
    <x v="0"/>
    <x v="2"/>
    <x v="0"/>
    <s v="MHF"/>
    <x v="0"/>
    <x v="6"/>
    <x v="1"/>
    <x v="191"/>
    <n v="1592"/>
    <n v="8225"/>
    <d v="2022-10-01T00:00:00"/>
    <d v="2023-06-30T00:00:00"/>
    <m/>
    <n v="1"/>
    <m/>
    <m/>
    <s v="Yes"/>
    <n v="8"/>
    <n v="14"/>
    <n v="2"/>
    <m/>
    <m/>
    <n v="2"/>
    <m/>
    <m/>
    <m/>
    <n v="5"/>
    <n v="2"/>
    <m/>
    <m/>
    <n v="3"/>
    <m/>
    <m/>
    <m/>
    <m/>
    <m/>
    <m/>
    <m/>
    <m/>
    <m/>
    <m/>
    <s v="No Comment"/>
    <n v="614"/>
    <m/>
    <m/>
    <n v="5"/>
    <n v="5"/>
    <n v="153"/>
    <n v="171.70627999999999"/>
    <m/>
    <x v="0"/>
    <x v="0"/>
    <m/>
    <m/>
    <m/>
    <m/>
    <m/>
    <s v="NA"/>
    <n v="130"/>
    <n v="60"/>
    <m/>
    <n v="20"/>
    <n v="2"/>
    <m/>
    <n v="14"/>
    <m/>
    <m/>
    <s v="No"/>
    <m/>
    <n v="0.6"/>
    <s v="NA"/>
    <n v="0.7"/>
    <n v="0.8"/>
    <n v="50"/>
    <n v="0.8"/>
    <m/>
    <m/>
    <m/>
    <m/>
    <m/>
    <m/>
    <m/>
    <s v="no test"/>
    <s v="no test"/>
    <s v="No Test"/>
    <n v="2"/>
    <n v="2"/>
    <n v="3"/>
    <n v="0"/>
    <n v="0"/>
    <n v="0"/>
    <n v="0"/>
    <n v="0.24316109422492402"/>
    <n v="0.1458966565349544"/>
    <n v="0.24316109422492402"/>
    <n v="2000"/>
    <n v="9.1185410334346503E-2"/>
    <n v="750"/>
    <n v="0.33434650455927051"/>
    <n v="2750"/>
    <n v="5.5"/>
    <n v="0.66565349544072949"/>
    <n v="5475"/>
    <n v="10.5"/>
    <n v="16"/>
    <n v="609"/>
    <n v="1"/>
    <n v="8225"/>
    <n v="3060"/>
    <n v="0"/>
    <n v="0"/>
    <n v="411"/>
    <n v="0"/>
    <n v="0"/>
    <n v="8.1433224755700327E-3"/>
    <n v="7000"/>
    <n v="0"/>
    <n v="0"/>
    <n v="0"/>
    <n v="7000"/>
    <n v="0.85106382978723405"/>
    <n v="0.14893617021276595"/>
    <n v="0.85106382978723405"/>
    <n v="0"/>
    <n v="0"/>
    <n v="70"/>
    <n v="1400"/>
    <n v="0"/>
    <n v="7000"/>
    <s v="No"/>
    <n v="6.0790273556231003E-3"/>
    <n v="5757.5"/>
    <n v="6580"/>
    <n v="6580"/>
    <n v="6580"/>
    <n v="0"/>
    <n v="0"/>
    <s v="Yes"/>
    <s v="KMSS-MYT"/>
    <x v="0"/>
    <x v="1"/>
    <x v="1"/>
    <n v="24.688338999999999"/>
    <n v="97.568331999999998"/>
    <s v="MMR001CMP121"/>
    <x v="0"/>
    <x v="0"/>
    <m/>
    <m/>
  </r>
  <r>
    <x v="0"/>
    <x v="11"/>
    <x v="9"/>
    <s v="MHF,USAID/HOPE-94"/>
    <x v="0"/>
    <x v="6"/>
    <x v="0"/>
    <x v="192"/>
    <n v="416"/>
    <n v="1936"/>
    <s v="10/1/2022,(13-8-2021, 6-1-2020)"/>
    <s v="6/30/2023, (30-6-2022, 30.4.2021)"/>
    <n v="153"/>
    <m/>
    <m/>
    <m/>
    <s v="Yes"/>
    <n v="2"/>
    <n v="6"/>
    <n v="3"/>
    <n v="1"/>
    <m/>
    <m/>
    <m/>
    <m/>
    <m/>
    <m/>
    <m/>
    <m/>
    <m/>
    <m/>
    <m/>
    <m/>
    <m/>
    <m/>
    <m/>
    <m/>
    <m/>
    <n v="5"/>
    <m/>
    <m/>
    <s v="NA"/>
    <n v="73"/>
    <m/>
    <m/>
    <n v="1"/>
    <n v="1"/>
    <n v="18"/>
    <n v="28.920549999999999"/>
    <m/>
    <x v="0"/>
    <x v="0"/>
    <m/>
    <m/>
    <m/>
    <m/>
    <m/>
    <s v="NA"/>
    <n v="20"/>
    <n v="5"/>
    <m/>
    <n v="2"/>
    <m/>
    <n v="3"/>
    <n v="12"/>
    <m/>
    <m/>
    <s v="Yes"/>
    <n v="1"/>
    <n v="0.3"/>
    <s v="NA"/>
    <n v="0.8"/>
    <n v="0.8"/>
    <n v="20"/>
    <n v="0.8"/>
    <m/>
    <m/>
    <m/>
    <m/>
    <m/>
    <m/>
    <m/>
    <s v="no test"/>
    <s v="no test"/>
    <s v="No Test"/>
    <n v="2"/>
    <n v="0"/>
    <n v="0"/>
    <n v="0"/>
    <n v="0"/>
    <n v="0"/>
    <n v="0"/>
    <n v="0.41322314049586778"/>
    <n v="0.25826446280991733"/>
    <n v="0.41322314049586778"/>
    <n v="800"/>
    <n v="0"/>
    <n v="0"/>
    <n v="0.41322314049586778"/>
    <n v="800"/>
    <n v="1.6"/>
    <n v="0.58677685950413228"/>
    <n v="1136"/>
    <n v="2.4"/>
    <n v="4"/>
    <n v="72"/>
    <n v="0.74380165289256195"/>
    <n v="1440"/>
    <n v="360"/>
    <n v="0"/>
    <n v="0"/>
    <n v="97"/>
    <n v="24"/>
    <n v="0.25619834710743805"/>
    <n v="1.3698630136986301E-2"/>
    <n v="1936"/>
    <n v="0"/>
    <n v="0"/>
    <n v="0"/>
    <n v="1936"/>
    <n v="1"/>
    <n v="0"/>
    <n v="1"/>
    <n v="0"/>
    <n v="0"/>
    <n v="15"/>
    <n v="300"/>
    <n v="5"/>
    <n v="1500"/>
    <s v="Yes"/>
    <n v="1.0330578512396695E-2"/>
    <n v="1548.8000000000002"/>
    <n v="1548.8000000000002"/>
    <n v="1548.8000000000002"/>
    <n v="1548.8000000000002"/>
    <n v="0"/>
    <n v="0"/>
    <n v="0"/>
    <n v="0"/>
    <x v="0"/>
    <x v="1"/>
    <x v="0"/>
    <n v="0"/>
    <n v="0"/>
    <n v="0"/>
    <x v="0"/>
    <x v="0"/>
    <n v="0"/>
    <n v="0"/>
  </r>
  <r>
    <x v="0"/>
    <x v="2"/>
    <x v="0"/>
    <s v="SIDA"/>
    <x v="0"/>
    <x v="7"/>
    <x v="1"/>
    <x v="193"/>
    <n v="365"/>
    <n v="1517"/>
    <d v="2022-12-01T00:00:00"/>
    <d v="2023-03-31T00:00:00"/>
    <m/>
    <m/>
    <m/>
    <m/>
    <s v="Yes"/>
    <n v="4"/>
    <n v="4"/>
    <n v="1"/>
    <m/>
    <n v="1"/>
    <n v="1"/>
    <m/>
    <m/>
    <m/>
    <m/>
    <m/>
    <m/>
    <m/>
    <m/>
    <m/>
    <m/>
    <m/>
    <m/>
    <m/>
    <m/>
    <m/>
    <m/>
    <m/>
    <m/>
    <s v="NA"/>
    <n v="90"/>
    <m/>
    <m/>
    <n v="1"/>
    <m/>
    <n v="79"/>
    <n v="169.43503000000001"/>
    <m/>
    <x v="0"/>
    <x v="0"/>
    <m/>
    <m/>
    <m/>
    <m/>
    <m/>
    <s v="NA"/>
    <n v="25"/>
    <n v="10"/>
    <n v="2"/>
    <n v="2"/>
    <m/>
    <m/>
    <n v="4"/>
    <m/>
    <m/>
    <s v="No"/>
    <m/>
    <n v="0.3"/>
    <s v="NA"/>
    <n v="0.8"/>
    <n v="0.8"/>
    <n v="20"/>
    <n v="0.8"/>
    <m/>
    <m/>
    <m/>
    <m/>
    <m/>
    <m/>
    <m/>
    <s v="no test"/>
    <s v="no test"/>
    <s v="No Test"/>
    <n v="1"/>
    <n v="1"/>
    <n v="0"/>
    <n v="0"/>
    <n v="0"/>
    <n v="0"/>
    <n v="0"/>
    <n v="0.59327620303230055"/>
    <n v="0.32959789057350031"/>
    <n v="0.59327620303230055"/>
    <n v="899.99999999999989"/>
    <n v="0"/>
    <n v="0"/>
    <n v="0.59327620303230055"/>
    <n v="899.99999999999989"/>
    <n v="1.7999999999999998"/>
    <n v="0.40672379696769945"/>
    <n v="617.00000000000011"/>
    <n v="1.2000000000000002"/>
    <n v="3"/>
    <n v="89"/>
    <n v="1"/>
    <n v="1517"/>
    <n v="1517"/>
    <n v="0"/>
    <n v="0"/>
    <n v="76"/>
    <n v="0"/>
    <n v="0"/>
    <n v="1.1111111111111112E-2"/>
    <n v="1517"/>
    <n v="0"/>
    <n v="0"/>
    <n v="0"/>
    <n v="1517"/>
    <n v="1"/>
    <n v="0"/>
    <n v="1"/>
    <n v="0"/>
    <n v="0"/>
    <n v="15"/>
    <n v="300"/>
    <n v="0"/>
    <n v="1500"/>
    <s v="No"/>
    <n v="1.3183915622940013E-2"/>
    <n v="1213.6000000000001"/>
    <n v="1213.6000000000001"/>
    <n v="1213.6000000000001"/>
    <n v="1213.6000000000001"/>
    <n v="0"/>
    <n v="0"/>
    <s v="Yes"/>
    <s v="KBC-BMO"/>
    <x v="0"/>
    <x v="1"/>
    <x v="0"/>
    <n v="23.972453000000002"/>
    <n v="97.225881000000001"/>
    <s v="MMR001CMP218"/>
    <x v="0"/>
    <x v="0"/>
    <n v="365"/>
    <n v="1718"/>
  </r>
  <r>
    <x v="0"/>
    <x v="6"/>
    <x v="5"/>
    <s v="USAID/HOPE-94"/>
    <x v="0"/>
    <x v="4"/>
    <x v="2"/>
    <x v="194"/>
    <n v="546"/>
    <n v="2550"/>
    <s v="13-8-2021, 6-1-2020"/>
    <s v="30-6-2022, 30.4.2021"/>
    <m/>
    <m/>
    <m/>
    <m/>
    <s v="No"/>
    <m/>
    <m/>
    <m/>
    <m/>
    <m/>
    <m/>
    <m/>
    <m/>
    <m/>
    <m/>
    <m/>
    <m/>
    <m/>
    <m/>
    <m/>
    <m/>
    <m/>
    <m/>
    <m/>
    <m/>
    <m/>
    <m/>
    <m/>
    <m/>
    <m/>
    <m/>
    <m/>
    <m/>
    <m/>
    <m/>
    <m/>
    <m/>
    <m/>
    <x v="2"/>
    <x v="1"/>
    <m/>
    <m/>
    <m/>
    <m/>
    <m/>
    <m/>
    <n v="7"/>
    <m/>
    <m/>
    <n v="7"/>
    <m/>
    <m/>
    <m/>
    <m/>
    <m/>
    <m/>
    <m/>
    <m/>
    <m/>
    <m/>
    <m/>
    <m/>
    <m/>
    <m/>
    <m/>
    <m/>
    <m/>
    <m/>
    <m/>
    <m/>
    <s v="no test"/>
    <s v="no test"/>
    <s v="No Test"/>
    <n v="0"/>
    <n v="0"/>
    <n v="0"/>
    <n v="0"/>
    <n v="0"/>
    <n v="0"/>
    <n v="0"/>
    <n v="0"/>
    <n v="0"/>
    <n v="0"/>
    <n v="0"/>
    <n v="0"/>
    <n v="0"/>
    <n v="0"/>
    <n v="0"/>
    <n v="0"/>
    <n v="1"/>
    <n v="2550"/>
    <n v="5"/>
    <n v="5"/>
    <n v="0"/>
    <n v="0"/>
    <n v="0"/>
    <n v="0"/>
    <n v="0"/>
    <n v="0"/>
    <n v="128"/>
    <n v="128"/>
    <n v="1"/>
    <n v="0"/>
    <n v="0"/>
    <n v="0"/>
    <n v="0"/>
    <n v="0"/>
    <n v="0"/>
    <n v="0"/>
    <n v="1"/>
    <n v="0"/>
    <n v="0"/>
    <n v="0"/>
    <n v="7"/>
    <n v="140"/>
    <n v="0"/>
    <n v="700"/>
    <s v="No"/>
    <s v=""/>
    <n v="0"/>
    <n v="0"/>
    <n v="0"/>
    <n v="0"/>
    <n v="0"/>
    <n v="0"/>
    <n v="0"/>
    <n v="0"/>
    <x v="0"/>
    <x v="7"/>
    <x v="1"/>
    <n v="0"/>
    <n v="0"/>
    <n v="0"/>
    <x v="0"/>
    <x v="0"/>
    <n v="0"/>
    <n v="0"/>
  </r>
  <r>
    <x v="0"/>
    <x v="15"/>
    <x v="12"/>
    <s v="Luxemburg MoFA"/>
    <x v="1"/>
    <x v="14"/>
    <x v="1"/>
    <x v="195"/>
    <n v="96"/>
    <n v="469"/>
    <d v="2022-08-01T00:00:00"/>
    <d v="2023-04-30T00:00:00"/>
    <m/>
    <m/>
    <m/>
    <m/>
    <m/>
    <m/>
    <m/>
    <m/>
    <m/>
    <m/>
    <m/>
    <m/>
    <m/>
    <m/>
    <n v="1"/>
    <m/>
    <m/>
    <m/>
    <m/>
    <m/>
    <n v="9"/>
    <m/>
    <m/>
    <m/>
    <m/>
    <m/>
    <m/>
    <m/>
    <m/>
    <m/>
    <m/>
    <m/>
    <m/>
    <m/>
    <m/>
    <m/>
    <m/>
    <m/>
    <x v="2"/>
    <x v="1"/>
    <m/>
    <m/>
    <m/>
    <m/>
    <m/>
    <m/>
    <m/>
    <m/>
    <m/>
    <m/>
    <m/>
    <m/>
    <m/>
    <m/>
    <m/>
    <m/>
    <m/>
    <m/>
    <m/>
    <m/>
    <m/>
    <m/>
    <m/>
    <m/>
    <m/>
    <m/>
    <m/>
    <m/>
    <m/>
    <m/>
    <s v="no test"/>
    <s v="no test"/>
    <s v="No Test"/>
    <n v="0"/>
    <n v="0"/>
    <n v="1"/>
    <n v="0"/>
    <n v="0"/>
    <n v="0"/>
    <n v="0"/>
    <n v="0.14214641080312723"/>
    <n v="0.14214641080312723"/>
    <n v="0.14214641080312723"/>
    <n v="66.666666666666671"/>
    <n v="0"/>
    <n v="0"/>
    <n v="0.14214641080312723"/>
    <n v="66.666666666666671"/>
    <n v="0.13333333333333333"/>
    <n v="0.85785358919687282"/>
    <n v="402.33333333333337"/>
    <n v="0.8666666666666667"/>
    <n v="1"/>
    <n v="0"/>
    <n v="0"/>
    <n v="0"/>
    <n v="0"/>
    <n v="0"/>
    <n v="0"/>
    <n v="23"/>
    <n v="23"/>
    <n v="1"/>
    <n v="0"/>
    <n v="0"/>
    <n v="0"/>
    <n v="0"/>
    <n v="0"/>
    <n v="0"/>
    <n v="0"/>
    <n v="1"/>
    <n v="0"/>
    <n v="0"/>
    <n v="0"/>
    <n v="0"/>
    <n v="0"/>
    <n v="0"/>
    <n v="0"/>
    <s v="No"/>
    <s v=""/>
    <n v="0"/>
    <n v="0"/>
    <n v="0"/>
    <n v="0"/>
    <n v="0"/>
    <n v="0"/>
    <n v="0"/>
    <s v="uncovered"/>
    <x v="0"/>
    <x v="0"/>
    <x v="0"/>
    <n v="0"/>
    <s v="not available"/>
    <s v="MMR015CMP093"/>
    <x v="0"/>
    <x v="0"/>
    <n v="92"/>
    <n v="451"/>
  </r>
  <r>
    <x v="0"/>
    <x v="15"/>
    <x v="12"/>
    <s v="Luxemburg MoFA"/>
    <x v="1"/>
    <x v="23"/>
    <x v="1"/>
    <x v="196"/>
    <n v="37"/>
    <n v="120"/>
    <d v="2022-08-01T00:00:00"/>
    <d v="2023-04-30T00:00:00"/>
    <m/>
    <m/>
    <m/>
    <m/>
    <m/>
    <m/>
    <m/>
    <m/>
    <m/>
    <m/>
    <m/>
    <m/>
    <m/>
    <m/>
    <m/>
    <m/>
    <m/>
    <m/>
    <m/>
    <m/>
    <m/>
    <m/>
    <m/>
    <m/>
    <m/>
    <m/>
    <m/>
    <m/>
    <m/>
    <m/>
    <m/>
    <m/>
    <m/>
    <m/>
    <m/>
    <m/>
    <m/>
    <m/>
    <x v="2"/>
    <x v="1"/>
    <m/>
    <m/>
    <m/>
    <m/>
    <m/>
    <m/>
    <m/>
    <m/>
    <m/>
    <m/>
    <m/>
    <m/>
    <m/>
    <n v="9"/>
    <n v="14"/>
    <s v="Yes"/>
    <m/>
    <m/>
    <m/>
    <m/>
    <m/>
    <m/>
    <m/>
    <m/>
    <m/>
    <m/>
    <m/>
    <m/>
    <m/>
    <m/>
    <s v="no test"/>
    <s v="no test"/>
    <s v="No Test"/>
    <n v="0"/>
    <n v="0"/>
    <n v="0"/>
    <n v="0"/>
    <n v="0"/>
    <n v="0"/>
    <n v="0"/>
    <n v="0"/>
    <n v="0"/>
    <n v="0"/>
    <n v="0"/>
    <n v="0"/>
    <n v="0"/>
    <n v="0"/>
    <n v="0"/>
    <n v="0"/>
    <n v="1"/>
    <n v="120"/>
    <n v="1"/>
    <n v="1"/>
    <n v="0"/>
    <n v="0"/>
    <n v="0"/>
    <n v="0"/>
    <n v="0"/>
    <n v="0"/>
    <n v="6"/>
    <n v="6"/>
    <n v="1"/>
    <n v="0"/>
    <n v="0"/>
    <n v="45"/>
    <n v="14"/>
    <n v="45"/>
    <n v="45"/>
    <n v="0.375"/>
    <n v="0.625"/>
    <n v="0"/>
    <n v="0.97297297297297303"/>
    <n v="0.3783783783783784"/>
    <n v="0"/>
    <n v="0"/>
    <n v="0"/>
    <n v="0"/>
    <s v="No"/>
    <s v=""/>
    <n v="0"/>
    <n v="0"/>
    <n v="0"/>
    <n v="0"/>
    <n v="0"/>
    <n v="0"/>
    <n v="0"/>
    <s v="uncovered"/>
    <x v="0"/>
    <x v="0"/>
    <x v="0"/>
    <n v="22.677008000000001"/>
    <n v="97.314762999999999"/>
    <s v="MMR015CMP062"/>
    <x v="0"/>
    <x v="0"/>
    <n v="37"/>
    <n v="120"/>
  </r>
  <r>
    <x v="0"/>
    <x v="3"/>
    <x v="2"/>
    <s v="ANCHOR"/>
    <x v="0"/>
    <x v="4"/>
    <x v="1"/>
    <x v="197"/>
    <n v="45"/>
    <n v="221"/>
    <d v="2023-01-01T00:00:00"/>
    <d v="2023-12-31T00:00:00"/>
    <m/>
    <m/>
    <n v="1"/>
    <m/>
    <s v="Yes"/>
    <n v="2"/>
    <n v="5"/>
    <n v="1"/>
    <m/>
    <m/>
    <n v="1"/>
    <m/>
    <m/>
    <m/>
    <m/>
    <m/>
    <m/>
    <m/>
    <m/>
    <m/>
    <m/>
    <m/>
    <m/>
    <m/>
    <m/>
    <m/>
    <m/>
    <m/>
    <m/>
    <s v="နွေရာသီရေခမ်း "/>
    <n v="10"/>
    <m/>
    <m/>
    <n v="2"/>
    <m/>
    <m/>
    <m/>
    <m/>
    <x v="0"/>
    <x v="0"/>
    <m/>
    <m/>
    <m/>
    <m/>
    <m/>
    <m/>
    <n v="10"/>
    <m/>
    <m/>
    <n v="2"/>
    <m/>
    <m/>
    <n v="1"/>
    <n v="45"/>
    <m/>
    <m/>
    <n v="1"/>
    <n v="0.5"/>
    <m/>
    <n v="0.98"/>
    <n v="0.9"/>
    <m/>
    <n v="0.99"/>
    <m/>
    <m/>
    <m/>
    <m/>
    <m/>
    <m/>
    <m/>
    <s v="no test"/>
    <s v="no test"/>
    <s v="No Test"/>
    <n v="1"/>
    <n v="1"/>
    <n v="0"/>
    <n v="0"/>
    <n v="0"/>
    <n v="0"/>
    <n v="0"/>
    <n v="1"/>
    <n v="1"/>
    <n v="1"/>
    <n v="221"/>
    <n v="0"/>
    <n v="0"/>
    <n v="1"/>
    <n v="221"/>
    <n v="0.442"/>
    <n v="0"/>
    <n v="0"/>
    <n v="0.55800000000000005"/>
    <n v="1"/>
    <n v="8"/>
    <n v="0.72398190045248867"/>
    <n v="160"/>
    <n v="0"/>
    <n v="0"/>
    <n v="0"/>
    <n v="11"/>
    <n v="1"/>
    <n v="0.27601809954751133"/>
    <n v="0.2"/>
    <n v="221"/>
    <n v="221"/>
    <n v="0"/>
    <n v="221"/>
    <n v="221"/>
    <n v="1"/>
    <n v="0"/>
    <n v="1"/>
    <n v="1"/>
    <n v="0"/>
    <n v="10"/>
    <n v="45"/>
    <n v="0"/>
    <n v="221"/>
    <s v="No"/>
    <s v=""/>
    <n v="216.57999999999998"/>
    <n v="198.9"/>
    <n v="218.79"/>
    <n v="218.79"/>
    <n v="0"/>
    <n v="0"/>
    <s v="Yes"/>
    <s v="Shalom"/>
    <x v="0"/>
    <x v="1"/>
    <x v="0"/>
    <n v="25.345918166666699"/>
    <n v="97.437472666666693"/>
    <s v="MMR001CMP030"/>
    <x v="0"/>
    <x v="0"/>
    <n v="46"/>
    <n v="229"/>
  </r>
  <r>
    <x v="0"/>
    <x v="3"/>
    <x v="2"/>
    <s v="ANCHOR"/>
    <x v="0"/>
    <x v="1"/>
    <x v="1"/>
    <x v="198"/>
    <n v="22"/>
    <n v="82"/>
    <d v="2023-01-01T00:00:00"/>
    <d v="2023-12-31T00:00:00"/>
    <m/>
    <m/>
    <n v="1"/>
    <m/>
    <s v="Yes"/>
    <n v="3"/>
    <n v="2"/>
    <n v="1"/>
    <n v="1"/>
    <n v="1"/>
    <n v="2"/>
    <n v="2"/>
    <n v="1"/>
    <m/>
    <n v="2"/>
    <m/>
    <n v="2"/>
    <m/>
    <m/>
    <m/>
    <m/>
    <n v="1"/>
    <m/>
    <m/>
    <m/>
    <m/>
    <m/>
    <m/>
    <m/>
    <m/>
    <n v="5"/>
    <m/>
    <m/>
    <m/>
    <m/>
    <m/>
    <m/>
    <n v="5"/>
    <x v="0"/>
    <x v="0"/>
    <m/>
    <m/>
    <m/>
    <m/>
    <m/>
    <m/>
    <n v="5"/>
    <m/>
    <n v="2"/>
    <n v="2"/>
    <m/>
    <m/>
    <n v="1"/>
    <m/>
    <m/>
    <s v="Yes"/>
    <n v="1"/>
    <n v="0.5"/>
    <m/>
    <n v="0.75"/>
    <m/>
    <m/>
    <m/>
    <m/>
    <m/>
    <m/>
    <m/>
    <m/>
    <m/>
    <m/>
    <s v="no test"/>
    <s v="no test"/>
    <s v="No Test"/>
    <n v="0"/>
    <n v="3"/>
    <n v="2"/>
    <n v="0"/>
    <n v="0"/>
    <n v="0"/>
    <n v="0"/>
    <n v="1"/>
    <n v="1"/>
    <n v="1"/>
    <n v="82"/>
    <n v="0"/>
    <n v="0"/>
    <n v="1"/>
    <n v="82"/>
    <n v="0.16400000000000001"/>
    <n v="0"/>
    <n v="0"/>
    <n v="0.83599999999999997"/>
    <n v="1"/>
    <n v="5"/>
    <n v="1"/>
    <n v="82"/>
    <n v="0"/>
    <n v="0"/>
    <n v="0"/>
    <n v="4"/>
    <n v="0"/>
    <n v="0"/>
    <n v="0"/>
    <n v="82"/>
    <n v="0"/>
    <n v="0"/>
    <n v="0"/>
    <n v="82"/>
    <n v="1"/>
    <n v="0"/>
    <n v="1"/>
    <n v="0"/>
    <n v="0"/>
    <n v="5"/>
    <n v="22"/>
    <n v="0"/>
    <n v="82"/>
    <s v="No"/>
    <s v=""/>
    <n v="61.5"/>
    <n v="0"/>
    <n v="0"/>
    <n v="61.5"/>
    <n v="0"/>
    <n v="0"/>
    <s v="Yes"/>
    <s v="Shalom"/>
    <x v="0"/>
    <x v="1"/>
    <x v="0"/>
    <n v="25.374343974359"/>
    <n v="97.2843958974359"/>
    <s v="MMR001CMP020"/>
    <x v="0"/>
    <x v="0"/>
    <n v="19"/>
    <n v="81"/>
  </r>
  <r>
    <x v="0"/>
    <x v="3"/>
    <x v="2"/>
    <s v="ANCHOR"/>
    <x v="0"/>
    <x v="1"/>
    <x v="1"/>
    <x v="199"/>
    <n v="18"/>
    <n v="78"/>
    <d v="2023-01-01T00:00:00"/>
    <d v="2023-12-31T00:00:00"/>
    <m/>
    <m/>
    <n v="1"/>
    <m/>
    <s v="Yes"/>
    <n v="2"/>
    <n v="4"/>
    <n v="3"/>
    <n v="1"/>
    <m/>
    <n v="2"/>
    <n v="2"/>
    <n v="1"/>
    <m/>
    <m/>
    <m/>
    <m/>
    <m/>
    <n v="2"/>
    <m/>
    <m/>
    <n v="3"/>
    <m/>
    <m/>
    <m/>
    <m/>
    <n v="4"/>
    <n v="1"/>
    <m/>
    <m/>
    <n v="6"/>
    <m/>
    <s v="Shalom"/>
    <n v="1"/>
    <n v="1"/>
    <m/>
    <m/>
    <m/>
    <x v="0"/>
    <x v="0"/>
    <m/>
    <m/>
    <m/>
    <m/>
    <n v="78"/>
    <m/>
    <n v="4"/>
    <n v="2"/>
    <m/>
    <n v="2"/>
    <m/>
    <m/>
    <n v="1"/>
    <n v="18"/>
    <n v="24"/>
    <s v="Yes"/>
    <n v="1"/>
    <n v="0.8"/>
    <m/>
    <n v="0.8"/>
    <n v="0.8"/>
    <m/>
    <n v="0.8"/>
    <m/>
    <m/>
    <m/>
    <m/>
    <m/>
    <m/>
    <m/>
    <s v="no test"/>
    <s v="no test"/>
    <s v="No Test"/>
    <n v="2"/>
    <n v="3"/>
    <n v="0"/>
    <n v="0"/>
    <n v="0"/>
    <n v="78"/>
    <n v="0"/>
    <n v="1"/>
    <n v="1"/>
    <n v="1"/>
    <n v="78"/>
    <n v="1"/>
    <n v="78"/>
    <n v="1"/>
    <n v="78"/>
    <n v="0.156"/>
    <n v="0"/>
    <n v="0"/>
    <n v="0.84399999999999997"/>
    <n v="1"/>
    <n v="5"/>
    <n v="1"/>
    <n v="78"/>
    <n v="0"/>
    <n v="0"/>
    <n v="0"/>
    <n v="4"/>
    <n v="0"/>
    <n v="0"/>
    <n v="0.16666666666666666"/>
    <n v="78"/>
    <n v="78"/>
    <n v="24"/>
    <n v="78"/>
    <n v="78"/>
    <n v="1"/>
    <n v="0"/>
    <n v="1"/>
    <n v="1"/>
    <n v="1"/>
    <n v="2"/>
    <n v="18"/>
    <n v="4"/>
    <n v="78"/>
    <s v="No"/>
    <s v=""/>
    <n v="62.400000000000006"/>
    <n v="62.400000000000006"/>
    <n v="62.400000000000006"/>
    <n v="62.400000000000006"/>
    <n v="78"/>
    <n v="0"/>
    <s v="Yes"/>
    <s v="Shalom"/>
    <x v="0"/>
    <x v="1"/>
    <x v="0"/>
    <n v="25.371049444444399"/>
    <n v="97.290952037037002"/>
    <s v="MMR001CMP021"/>
    <x v="0"/>
    <x v="0"/>
    <n v="29"/>
    <n v="174"/>
  </r>
  <r>
    <x v="0"/>
    <x v="3"/>
    <x v="2"/>
    <s v="ANCHOR"/>
    <x v="0"/>
    <x v="3"/>
    <x v="1"/>
    <x v="200"/>
    <n v="7"/>
    <n v="24"/>
    <d v="2023-01-01T00:00:00"/>
    <d v="2023-12-31T00:00:00"/>
    <m/>
    <m/>
    <n v="1"/>
    <m/>
    <s v="Yes"/>
    <n v="3"/>
    <n v="4"/>
    <n v="1"/>
    <n v="1"/>
    <m/>
    <n v="1"/>
    <m/>
    <n v="1"/>
    <m/>
    <n v="1"/>
    <m/>
    <n v="1"/>
    <n v="1500"/>
    <n v="1"/>
    <m/>
    <n v="1"/>
    <n v="1"/>
    <m/>
    <m/>
    <m/>
    <m/>
    <m/>
    <m/>
    <m/>
    <m/>
    <n v="3"/>
    <m/>
    <m/>
    <m/>
    <m/>
    <m/>
    <m/>
    <m/>
    <x v="0"/>
    <x v="1"/>
    <m/>
    <m/>
    <m/>
    <m/>
    <m/>
    <m/>
    <n v="2"/>
    <n v="2"/>
    <m/>
    <n v="2"/>
    <m/>
    <n v="1"/>
    <m/>
    <n v="7"/>
    <n v="4"/>
    <s v="No"/>
    <m/>
    <m/>
    <m/>
    <n v="0.75"/>
    <n v="0.75"/>
    <n v="3"/>
    <n v="0.9"/>
    <m/>
    <m/>
    <m/>
    <m/>
    <m/>
    <m/>
    <m/>
    <s v="no test"/>
    <s v="no test"/>
    <s v="No Test"/>
    <n v="0"/>
    <n v="0"/>
    <n v="1"/>
    <n v="1.1111111111111112"/>
    <n v="0"/>
    <n v="0"/>
    <n v="0"/>
    <n v="1"/>
    <n v="1"/>
    <n v="1"/>
    <n v="24"/>
    <n v="1"/>
    <n v="24"/>
    <n v="1"/>
    <n v="24"/>
    <n v="4.8000000000000001E-2"/>
    <n v="0"/>
    <n v="0"/>
    <n v="0.95199999999999996"/>
    <n v="1"/>
    <n v="3"/>
    <n v="1"/>
    <n v="24"/>
    <n v="0"/>
    <n v="0"/>
    <n v="0"/>
    <n v="1"/>
    <n v="0"/>
    <n v="0"/>
    <n v="0"/>
    <n v="24"/>
    <n v="24"/>
    <n v="4"/>
    <n v="24"/>
    <n v="24"/>
    <n v="1"/>
    <n v="0"/>
    <n v="1"/>
    <n v="1"/>
    <n v="0.5714285714285714"/>
    <n v="0"/>
    <n v="0"/>
    <n v="0"/>
    <n v="0"/>
    <s v="No"/>
    <n v="0.125"/>
    <n v="18"/>
    <n v="18"/>
    <n v="21.6"/>
    <n v="21.6"/>
    <n v="0"/>
    <n v="0"/>
    <s v="Yes"/>
    <s v="Shalom"/>
    <x v="0"/>
    <x v="0"/>
    <x v="0"/>
    <n v="25.617998"/>
    <n v="96.339590000000001"/>
    <s v="MMR001CMP192"/>
    <x v="0"/>
    <x v="0"/>
    <n v="7"/>
    <n v="24"/>
  </r>
  <r>
    <x v="0"/>
    <x v="3"/>
    <x v="2"/>
    <s v="ANCHOR"/>
    <x v="0"/>
    <x v="4"/>
    <x v="1"/>
    <x v="201"/>
    <n v="19"/>
    <n v="86"/>
    <d v="2023-01-01T00:00:00"/>
    <d v="2023-12-31T00:00:00"/>
    <n v="13"/>
    <m/>
    <n v="1"/>
    <m/>
    <s v="Yes"/>
    <m/>
    <n v="5"/>
    <n v="1"/>
    <m/>
    <m/>
    <m/>
    <m/>
    <m/>
    <m/>
    <m/>
    <m/>
    <m/>
    <m/>
    <m/>
    <m/>
    <m/>
    <m/>
    <m/>
    <m/>
    <m/>
    <m/>
    <n v="2"/>
    <m/>
    <m/>
    <s v="နွေရာသီရေခမ်း "/>
    <n v="4"/>
    <m/>
    <m/>
    <m/>
    <m/>
    <n v="3"/>
    <m/>
    <m/>
    <x v="0"/>
    <x v="0"/>
    <m/>
    <m/>
    <m/>
    <m/>
    <n v="1"/>
    <m/>
    <n v="2"/>
    <m/>
    <m/>
    <n v="2"/>
    <m/>
    <m/>
    <n v="1"/>
    <n v="19"/>
    <m/>
    <m/>
    <n v="1"/>
    <n v="0.7"/>
    <m/>
    <n v="0.9"/>
    <n v="0.9"/>
    <m/>
    <n v="0.9"/>
    <m/>
    <m/>
    <m/>
    <m/>
    <m/>
    <m/>
    <m/>
    <s v="no test"/>
    <s v="no test"/>
    <s v="No Test"/>
    <n v="1"/>
    <n v="0"/>
    <n v="0"/>
    <n v="0"/>
    <n v="0"/>
    <n v="0"/>
    <n v="0"/>
    <n v="1"/>
    <n v="1"/>
    <n v="1"/>
    <n v="86"/>
    <n v="0"/>
    <n v="0"/>
    <n v="1"/>
    <n v="86"/>
    <n v="0.17199999999999999"/>
    <n v="0"/>
    <n v="0"/>
    <n v="0.82800000000000007"/>
    <n v="1"/>
    <n v="4"/>
    <n v="0.94186046511627908"/>
    <n v="81"/>
    <n v="60"/>
    <n v="0"/>
    <n v="0"/>
    <n v="4"/>
    <n v="0"/>
    <n v="5.8139534883720922E-2"/>
    <n v="0"/>
    <n v="86"/>
    <n v="86"/>
    <n v="0"/>
    <n v="86"/>
    <n v="86"/>
    <n v="1"/>
    <n v="0"/>
    <n v="1"/>
    <n v="1"/>
    <n v="0"/>
    <n v="2"/>
    <n v="19"/>
    <n v="0"/>
    <n v="86"/>
    <s v="Yes"/>
    <s v=""/>
    <n v="77.400000000000006"/>
    <n v="77.400000000000006"/>
    <n v="77.400000000000006"/>
    <n v="77.400000000000006"/>
    <n v="0"/>
    <n v="0"/>
    <s v="Yes"/>
    <s v="Shalom"/>
    <x v="0"/>
    <x v="1"/>
    <x v="0"/>
    <n v="25.351965"/>
    <n v="97.345039"/>
    <s v="MMR001CMP033"/>
    <x v="0"/>
    <x v="0"/>
    <n v="19"/>
    <n v="86"/>
  </r>
  <r>
    <x v="0"/>
    <x v="3"/>
    <x v="2"/>
    <s v="ANCHOR"/>
    <x v="0"/>
    <x v="0"/>
    <x v="1"/>
    <x v="202"/>
    <n v="48"/>
    <n v="213"/>
    <d v="2023-01-01T00:00:00"/>
    <d v="2023-12-31T00:00:00"/>
    <m/>
    <m/>
    <n v="1"/>
    <m/>
    <s v="Yes"/>
    <n v="3"/>
    <n v="3"/>
    <n v="1"/>
    <m/>
    <m/>
    <m/>
    <n v="1"/>
    <m/>
    <m/>
    <m/>
    <m/>
    <m/>
    <m/>
    <m/>
    <m/>
    <m/>
    <m/>
    <m/>
    <m/>
    <n v="2"/>
    <m/>
    <n v="4"/>
    <n v="1"/>
    <m/>
    <s v="ရေတွင်းတွင် ထည့်ရန် ရေမော်တာ အသစ်တစ်လုံး လိုအပ်"/>
    <n v="10"/>
    <m/>
    <s v="SI"/>
    <n v="2"/>
    <n v="2"/>
    <n v="5"/>
    <m/>
    <m/>
    <x v="0"/>
    <x v="2"/>
    <m/>
    <n v="2"/>
    <m/>
    <m/>
    <m/>
    <m/>
    <n v="8"/>
    <m/>
    <m/>
    <n v="3"/>
    <m/>
    <n v="1"/>
    <m/>
    <m/>
    <m/>
    <m/>
    <n v="1"/>
    <n v="0.5"/>
    <s v="သင်တန်းပို့ချပေးစေလို"/>
    <n v="1"/>
    <n v="1"/>
    <n v="100"/>
    <n v="0.3"/>
    <m/>
    <m/>
    <m/>
    <m/>
    <m/>
    <m/>
    <m/>
    <s v="no test"/>
    <n v="0"/>
    <s v="Tested"/>
    <n v="1"/>
    <n v="1"/>
    <n v="0"/>
    <n v="0"/>
    <n v="0"/>
    <n v="213"/>
    <n v="0"/>
    <n v="1"/>
    <n v="1"/>
    <n v="1"/>
    <n v="213"/>
    <n v="0"/>
    <n v="0"/>
    <n v="1"/>
    <n v="213"/>
    <n v="0.42599999999999999"/>
    <n v="0"/>
    <n v="0"/>
    <n v="0.57400000000000007"/>
    <n v="1"/>
    <n v="8"/>
    <n v="0.75117370892018775"/>
    <n v="160"/>
    <n v="100"/>
    <n v="0"/>
    <n v="0"/>
    <n v="11"/>
    <n v="1"/>
    <n v="0.24882629107981225"/>
    <n v="0.2"/>
    <n v="213"/>
    <n v="0"/>
    <n v="0"/>
    <n v="0"/>
    <n v="213"/>
    <n v="1"/>
    <n v="0"/>
    <n v="1"/>
    <n v="0"/>
    <n v="0"/>
    <n v="8"/>
    <n v="48"/>
    <n v="0"/>
    <n v="213"/>
    <s v="No"/>
    <n v="0.46948356807511737"/>
    <n v="213"/>
    <n v="213"/>
    <n v="63.9"/>
    <n v="213"/>
    <n v="213"/>
    <n v="0"/>
    <e v="#N/A"/>
    <e v="#N/A"/>
    <x v="0"/>
    <x v="1"/>
    <x v="0"/>
    <e v="#N/A"/>
    <e v="#N/A"/>
    <e v="#N/A"/>
    <x v="0"/>
    <x v="0"/>
    <e v="#N/A"/>
    <e v="#N/A"/>
  </r>
  <r>
    <x v="0"/>
    <x v="3"/>
    <x v="2"/>
    <s v="ANCHOR"/>
    <x v="0"/>
    <x v="4"/>
    <x v="1"/>
    <x v="203"/>
    <n v="71"/>
    <n v="298"/>
    <d v="2023-01-01T00:00:00"/>
    <d v="2023-12-31T00:00:00"/>
    <m/>
    <m/>
    <n v="1"/>
    <m/>
    <s v="Yes"/>
    <n v="2"/>
    <n v="5"/>
    <n v="1"/>
    <n v="1"/>
    <m/>
    <n v="1"/>
    <m/>
    <m/>
    <m/>
    <m/>
    <m/>
    <m/>
    <m/>
    <m/>
    <m/>
    <m/>
    <m/>
    <m/>
    <m/>
    <m/>
    <m/>
    <m/>
    <m/>
    <n v="3"/>
    <m/>
    <n v="16"/>
    <m/>
    <s v="shalom, ICRC"/>
    <m/>
    <m/>
    <m/>
    <m/>
    <m/>
    <x v="0"/>
    <x v="0"/>
    <n v="1"/>
    <m/>
    <m/>
    <m/>
    <m/>
    <s v="New Latrine လိုအပ်"/>
    <n v="7"/>
    <m/>
    <m/>
    <n v="5"/>
    <m/>
    <m/>
    <n v="1"/>
    <n v="71"/>
    <m/>
    <m/>
    <n v="1"/>
    <n v="0.9"/>
    <m/>
    <n v="0.99"/>
    <n v="0.9"/>
    <n v="100"/>
    <n v="0.8"/>
    <m/>
    <m/>
    <m/>
    <m/>
    <m/>
    <m/>
    <m/>
    <s v="no test"/>
    <s v="no test"/>
    <s v="No Test"/>
    <n v="0"/>
    <n v="1"/>
    <n v="0"/>
    <n v="0"/>
    <n v="0"/>
    <n v="0"/>
    <n v="298"/>
    <n v="1"/>
    <n v="0.83892617449664431"/>
    <n v="1"/>
    <n v="298"/>
    <n v="0"/>
    <n v="0"/>
    <n v="1"/>
    <n v="298"/>
    <n v="0.59599999999999997"/>
    <n v="0"/>
    <n v="0"/>
    <n v="0.40400000000000003"/>
    <n v="1"/>
    <n v="16"/>
    <n v="1"/>
    <n v="298"/>
    <n v="0"/>
    <n v="0"/>
    <n v="0"/>
    <n v="15"/>
    <n v="0"/>
    <n v="0"/>
    <n v="0"/>
    <n v="298"/>
    <n v="298"/>
    <n v="0"/>
    <n v="298"/>
    <n v="298"/>
    <n v="1"/>
    <n v="0"/>
    <n v="1"/>
    <n v="1"/>
    <n v="0"/>
    <n v="7"/>
    <n v="71"/>
    <n v="0"/>
    <n v="298"/>
    <s v="No"/>
    <n v="0.33557046979865773"/>
    <n v="295.02"/>
    <n v="268.2"/>
    <n v="238.4"/>
    <n v="295.02"/>
    <n v="0"/>
    <n v="298"/>
    <s v="Yes"/>
    <s v="Shalom"/>
    <x v="0"/>
    <x v="1"/>
    <x v="0"/>
    <n v="25.3540362037037"/>
    <n v="97.441166388888902"/>
    <s v="MMR001CMP032"/>
    <x v="0"/>
    <x v="0"/>
    <n v="111"/>
    <n v="501"/>
  </r>
  <r>
    <x v="0"/>
    <x v="3"/>
    <x v="2"/>
    <s v="ANCHOR"/>
    <x v="0"/>
    <x v="3"/>
    <x v="1"/>
    <x v="204"/>
    <n v="16"/>
    <n v="72"/>
    <d v="2023-01-01T00:00:00"/>
    <d v="2023-12-31T00:00:00"/>
    <m/>
    <m/>
    <n v="1"/>
    <m/>
    <s v="Yes"/>
    <n v="1"/>
    <n v="2"/>
    <n v="1"/>
    <m/>
    <m/>
    <n v="1"/>
    <m/>
    <m/>
    <m/>
    <n v="1"/>
    <n v="1"/>
    <m/>
    <m/>
    <n v="1"/>
    <m/>
    <m/>
    <m/>
    <m/>
    <m/>
    <m/>
    <m/>
    <n v="1"/>
    <m/>
    <m/>
    <s v="ရေတင်မီးစက်တွင် မီးကြိုးလဲလှယ်ရန်လို"/>
    <n v="2"/>
    <m/>
    <m/>
    <m/>
    <m/>
    <m/>
    <m/>
    <n v="2"/>
    <x v="0"/>
    <x v="0"/>
    <m/>
    <m/>
    <m/>
    <m/>
    <m/>
    <s v="အိမ်သာလုံလောက်မှုမရှိ"/>
    <n v="3"/>
    <n v="1"/>
    <m/>
    <n v="2"/>
    <m/>
    <n v="1"/>
    <m/>
    <n v="16"/>
    <n v="24"/>
    <s v="No"/>
    <m/>
    <n v="1"/>
    <m/>
    <n v="1"/>
    <n v="0.2"/>
    <m/>
    <n v="0.2"/>
    <m/>
    <m/>
    <m/>
    <m/>
    <m/>
    <m/>
    <m/>
    <s v="no test"/>
    <s v="no test"/>
    <s v="No Test"/>
    <n v="1"/>
    <n v="1"/>
    <n v="0"/>
    <n v="0"/>
    <n v="0"/>
    <n v="0"/>
    <n v="0"/>
    <n v="1"/>
    <n v="1"/>
    <n v="1"/>
    <n v="72"/>
    <n v="1"/>
    <n v="72"/>
    <n v="1"/>
    <n v="72"/>
    <n v="0.14399999999999999"/>
    <n v="0"/>
    <n v="0"/>
    <n v="0.85599999999999998"/>
    <n v="1"/>
    <n v="2"/>
    <n v="0.55555555555555558"/>
    <n v="40"/>
    <n v="0"/>
    <n v="0"/>
    <n v="0"/>
    <n v="4"/>
    <n v="2"/>
    <n v="0.44444444444444442"/>
    <n v="0"/>
    <n v="72"/>
    <n v="72"/>
    <n v="24"/>
    <n v="72"/>
    <n v="72"/>
    <n v="1"/>
    <n v="0"/>
    <n v="1"/>
    <n v="1"/>
    <n v="1"/>
    <n v="2"/>
    <n v="16"/>
    <n v="0"/>
    <n v="72"/>
    <s v="No"/>
    <s v=""/>
    <n v="72"/>
    <n v="14.4"/>
    <n v="14.4"/>
    <n v="72"/>
    <n v="0"/>
    <n v="0"/>
    <s v="Yes"/>
    <s v="Shalom"/>
    <x v="0"/>
    <x v="0"/>
    <x v="0"/>
    <n v="25.56551"/>
    <n v="96.279200000000003"/>
    <s v="MMR001CMP182"/>
    <x v="0"/>
    <x v="0"/>
    <n v="16"/>
    <n v="72"/>
  </r>
  <r>
    <x v="0"/>
    <x v="3"/>
    <x v="2"/>
    <s v="ANCHOR"/>
    <x v="0"/>
    <x v="0"/>
    <x v="1"/>
    <x v="205"/>
    <n v="67"/>
    <n v="324"/>
    <d v="2023-01-01T00:00:00"/>
    <d v="2023-12-31T00:00:00"/>
    <m/>
    <m/>
    <n v="1"/>
    <m/>
    <s v="Yes"/>
    <n v="2"/>
    <n v="3"/>
    <m/>
    <m/>
    <m/>
    <m/>
    <m/>
    <m/>
    <m/>
    <m/>
    <m/>
    <m/>
    <m/>
    <m/>
    <m/>
    <m/>
    <m/>
    <m/>
    <m/>
    <m/>
    <m/>
    <n v="1"/>
    <m/>
    <m/>
    <m/>
    <n v="7"/>
    <m/>
    <m/>
    <m/>
    <m/>
    <m/>
    <m/>
    <n v="6"/>
    <x v="0"/>
    <x v="0"/>
    <m/>
    <m/>
    <m/>
    <m/>
    <n v="4"/>
    <m/>
    <n v="1"/>
    <m/>
    <m/>
    <n v="8"/>
    <m/>
    <m/>
    <n v="1"/>
    <m/>
    <m/>
    <m/>
    <m/>
    <n v="0.65"/>
    <m/>
    <n v="0.75"/>
    <n v="0.5"/>
    <m/>
    <n v="0.95"/>
    <m/>
    <m/>
    <m/>
    <m/>
    <m/>
    <m/>
    <m/>
    <s v="no test"/>
    <s v="no test"/>
    <s v="No Test"/>
    <n v="0"/>
    <n v="0"/>
    <n v="0"/>
    <n v="0"/>
    <n v="0"/>
    <n v="0"/>
    <n v="0"/>
    <n v="0"/>
    <n v="0"/>
    <n v="0"/>
    <n v="0"/>
    <n v="0"/>
    <n v="0"/>
    <n v="0"/>
    <n v="0"/>
    <n v="0"/>
    <n v="1"/>
    <n v="324"/>
    <n v="1"/>
    <n v="1"/>
    <n v="7"/>
    <n v="0.44444444444444442"/>
    <n v="144"/>
    <n v="0"/>
    <n v="0"/>
    <n v="0"/>
    <n v="16"/>
    <n v="9"/>
    <n v="0.55555555555555558"/>
    <n v="0"/>
    <n v="324"/>
    <n v="0"/>
    <n v="0"/>
    <n v="0"/>
    <n v="324"/>
    <n v="1"/>
    <n v="0"/>
    <n v="1"/>
    <n v="0"/>
    <n v="0"/>
    <n v="1"/>
    <n v="20"/>
    <n v="0"/>
    <n v="100"/>
    <s v="No"/>
    <s v=""/>
    <n v="243"/>
    <n v="162"/>
    <n v="307.8"/>
    <n v="307.8"/>
    <n v="0"/>
    <n v="0"/>
    <e v="#N/A"/>
    <e v="#N/A"/>
    <x v="0"/>
    <x v="1"/>
    <x v="0"/>
    <e v="#N/A"/>
    <e v="#N/A"/>
    <e v="#N/A"/>
    <x v="0"/>
    <x v="0"/>
    <e v="#N/A"/>
    <e v="#N/A"/>
  </r>
  <r>
    <x v="0"/>
    <x v="3"/>
    <x v="2"/>
    <s v="ANCHOR"/>
    <x v="0"/>
    <x v="1"/>
    <x v="1"/>
    <x v="206"/>
    <n v="16"/>
    <n v="94"/>
    <d v="2023-01-01T00:00:00"/>
    <d v="2023-12-31T00:00:00"/>
    <m/>
    <m/>
    <n v="1"/>
    <m/>
    <s v="Yes"/>
    <n v="2"/>
    <n v="2"/>
    <n v="1"/>
    <n v="1"/>
    <m/>
    <n v="2"/>
    <m/>
    <m/>
    <m/>
    <m/>
    <m/>
    <m/>
    <m/>
    <n v="2"/>
    <m/>
    <m/>
    <m/>
    <m/>
    <m/>
    <m/>
    <m/>
    <n v="3"/>
    <m/>
    <m/>
    <m/>
    <n v="7"/>
    <m/>
    <s v="Chruch"/>
    <m/>
    <m/>
    <m/>
    <m/>
    <n v="7"/>
    <x v="0"/>
    <x v="0"/>
    <m/>
    <m/>
    <m/>
    <m/>
    <n v="3"/>
    <m/>
    <n v="3"/>
    <m/>
    <m/>
    <n v="2"/>
    <m/>
    <n v="1"/>
    <m/>
    <n v="16"/>
    <m/>
    <s v="Yes"/>
    <n v="1"/>
    <n v="1"/>
    <m/>
    <n v="0.9"/>
    <n v="0.9"/>
    <m/>
    <m/>
    <m/>
    <m/>
    <m/>
    <m/>
    <m/>
    <m/>
    <m/>
    <s v="no test"/>
    <s v="no test"/>
    <s v="No Test"/>
    <n v="0"/>
    <n v="2"/>
    <n v="0"/>
    <n v="0"/>
    <n v="0"/>
    <n v="0"/>
    <n v="0"/>
    <n v="1"/>
    <n v="1"/>
    <n v="1"/>
    <n v="94"/>
    <n v="1"/>
    <n v="94"/>
    <n v="1"/>
    <n v="94"/>
    <n v="0.188"/>
    <n v="0"/>
    <n v="0"/>
    <n v="0.81200000000000006"/>
    <n v="1"/>
    <n v="7"/>
    <n v="1"/>
    <n v="94"/>
    <n v="0"/>
    <n v="0"/>
    <n v="0"/>
    <n v="5"/>
    <n v="0"/>
    <n v="0"/>
    <n v="0"/>
    <n v="94"/>
    <n v="94"/>
    <n v="0"/>
    <n v="94"/>
    <n v="94"/>
    <n v="1"/>
    <n v="0"/>
    <n v="1"/>
    <n v="1"/>
    <n v="0"/>
    <n v="3"/>
    <n v="16"/>
    <n v="3"/>
    <n v="94"/>
    <s v="No"/>
    <s v=""/>
    <n v="84.600000000000009"/>
    <n v="84.600000000000009"/>
    <n v="0"/>
    <n v="84.600000000000009"/>
    <n v="0"/>
    <n v="0"/>
    <s v="Yes"/>
    <s v="Shalom"/>
    <x v="0"/>
    <x v="1"/>
    <x v="0"/>
    <n v="25.417733999999999"/>
    <n v="97.389778000000007"/>
    <s v="MMR001CMP004"/>
    <x v="0"/>
    <x v="0"/>
    <n v="18"/>
    <n v="93"/>
  </r>
  <r>
    <x v="0"/>
    <x v="3"/>
    <x v="2"/>
    <s v="ANCHOR"/>
    <x v="0"/>
    <x v="1"/>
    <x v="1"/>
    <x v="207"/>
    <n v="21"/>
    <n v="101"/>
    <d v="2023-01-01T00:00:00"/>
    <d v="2023-12-31T00:00:00"/>
    <m/>
    <m/>
    <n v="1"/>
    <m/>
    <s v="Yes"/>
    <n v="1"/>
    <n v="4"/>
    <n v="1"/>
    <m/>
    <m/>
    <m/>
    <m/>
    <m/>
    <m/>
    <m/>
    <m/>
    <m/>
    <m/>
    <m/>
    <m/>
    <n v="2"/>
    <m/>
    <m/>
    <m/>
    <m/>
    <m/>
    <n v="1"/>
    <n v="1"/>
    <n v="1"/>
    <m/>
    <n v="5"/>
    <m/>
    <s v="Shalom, church"/>
    <m/>
    <m/>
    <m/>
    <m/>
    <m/>
    <x v="0"/>
    <x v="0"/>
    <m/>
    <n v="1"/>
    <m/>
    <m/>
    <m/>
    <m/>
    <n v="5"/>
    <n v="2"/>
    <m/>
    <n v="3"/>
    <m/>
    <m/>
    <n v="1"/>
    <n v="26"/>
    <m/>
    <s v="Yes"/>
    <n v="1"/>
    <n v="0.08"/>
    <s v="hygiene kit Distribution"/>
    <n v="1"/>
    <n v="1"/>
    <m/>
    <n v="1"/>
    <m/>
    <m/>
    <m/>
    <m/>
    <m/>
    <m/>
    <m/>
    <s v="no test"/>
    <s v="no test"/>
    <s v="No Test"/>
    <n v="1"/>
    <n v="0"/>
    <n v="0"/>
    <n v="0"/>
    <n v="0"/>
    <n v="101"/>
    <n v="101"/>
    <n v="1"/>
    <n v="1"/>
    <n v="1"/>
    <n v="101"/>
    <n v="0"/>
    <n v="0"/>
    <n v="1"/>
    <n v="101"/>
    <n v="0.20200000000000001"/>
    <n v="0"/>
    <n v="0"/>
    <n v="0.79800000000000004"/>
    <n v="1"/>
    <n v="5"/>
    <n v="0.99009900990099009"/>
    <n v="100"/>
    <n v="0"/>
    <n v="0"/>
    <n v="0"/>
    <n v="5"/>
    <n v="0"/>
    <n v="9.9009900990099098E-3"/>
    <n v="0"/>
    <n v="101"/>
    <n v="101"/>
    <n v="0"/>
    <n v="101"/>
    <n v="101"/>
    <n v="1"/>
    <n v="0"/>
    <n v="1"/>
    <n v="1"/>
    <n v="0"/>
    <n v="3"/>
    <n v="21"/>
    <n v="1"/>
    <n v="101"/>
    <s v="No"/>
    <s v=""/>
    <n v="101"/>
    <n v="101"/>
    <n v="101"/>
    <n v="101"/>
    <n v="101"/>
    <n v="101"/>
    <s v="Yes"/>
    <s v="Shalom"/>
    <x v="0"/>
    <x v="1"/>
    <x v="0"/>
    <n v="25.423817"/>
    <n v="97.418004999999994"/>
    <s v="MMR001CMP007"/>
    <x v="0"/>
    <x v="0"/>
    <n v="26"/>
    <n v="123"/>
  </r>
  <r>
    <x v="0"/>
    <x v="3"/>
    <x v="2"/>
    <s v="ANCHOR"/>
    <x v="0"/>
    <x v="1"/>
    <x v="1"/>
    <x v="208"/>
    <n v="56"/>
    <n v="268"/>
    <d v="2023-01-01T00:00:00"/>
    <d v="2023-12-31T00:00:00"/>
    <m/>
    <m/>
    <n v="1"/>
    <m/>
    <s v="Yes"/>
    <n v="3"/>
    <n v="3"/>
    <n v="1"/>
    <m/>
    <m/>
    <n v="5"/>
    <m/>
    <m/>
    <m/>
    <m/>
    <m/>
    <m/>
    <m/>
    <m/>
    <m/>
    <n v="2"/>
    <n v="4"/>
    <m/>
    <m/>
    <m/>
    <m/>
    <n v="2"/>
    <n v="2"/>
    <n v="2"/>
    <m/>
    <n v="19"/>
    <m/>
    <m/>
    <m/>
    <m/>
    <n v="3"/>
    <m/>
    <m/>
    <x v="0"/>
    <x v="0"/>
    <m/>
    <n v="1"/>
    <m/>
    <m/>
    <n v="6"/>
    <m/>
    <n v="4"/>
    <m/>
    <m/>
    <n v="4"/>
    <n v="4"/>
    <m/>
    <n v="1"/>
    <m/>
    <m/>
    <s v="Yes"/>
    <n v="1"/>
    <n v="0.6"/>
    <m/>
    <n v="0.6"/>
    <n v="0.7"/>
    <n v="10"/>
    <n v="0.6"/>
    <m/>
    <m/>
    <m/>
    <m/>
    <m/>
    <m/>
    <m/>
    <s v="no test"/>
    <s v="no test"/>
    <s v="No Test"/>
    <n v="1"/>
    <n v="5"/>
    <n v="0"/>
    <n v="0"/>
    <n v="0"/>
    <n v="268"/>
    <n v="268"/>
    <n v="1"/>
    <n v="1"/>
    <n v="1"/>
    <n v="268"/>
    <n v="0"/>
    <n v="0"/>
    <n v="1"/>
    <n v="268"/>
    <n v="0.53600000000000003"/>
    <n v="0"/>
    <n v="0"/>
    <n v="0.46399999999999997"/>
    <n v="1"/>
    <n v="19"/>
    <n v="1"/>
    <n v="268"/>
    <n v="60"/>
    <n v="0"/>
    <n v="0"/>
    <n v="13"/>
    <n v="0"/>
    <n v="0"/>
    <n v="0"/>
    <n v="268"/>
    <n v="0"/>
    <n v="0"/>
    <n v="0"/>
    <n v="268"/>
    <n v="1"/>
    <n v="0"/>
    <n v="1"/>
    <n v="0"/>
    <n v="0"/>
    <n v="4"/>
    <n v="56"/>
    <n v="2"/>
    <n v="268"/>
    <s v="No"/>
    <n v="3.7313432835820892E-2"/>
    <n v="160.79999999999998"/>
    <n v="187.6"/>
    <n v="160.79999999999998"/>
    <n v="187.6"/>
    <n v="268"/>
    <n v="268"/>
    <s v="Yes"/>
    <s v="Shalom"/>
    <x v="0"/>
    <x v="1"/>
    <x v="0"/>
    <n v="25.423209"/>
    <n v="97.379987"/>
    <s v="MMR001CMP023"/>
    <x v="0"/>
    <x v="0"/>
    <n v="56"/>
    <n v="267"/>
  </r>
  <r>
    <x v="0"/>
    <x v="3"/>
    <x v="2"/>
    <s v="ANCHOR"/>
    <x v="0"/>
    <x v="4"/>
    <x v="1"/>
    <x v="209"/>
    <n v="43"/>
    <n v="186"/>
    <d v="2023-01-01T00:00:00"/>
    <d v="2023-12-31T00:00:00"/>
    <m/>
    <m/>
    <n v="1"/>
    <m/>
    <s v="Yes"/>
    <n v="2"/>
    <n v="3"/>
    <n v="1"/>
    <m/>
    <m/>
    <m/>
    <m/>
    <m/>
    <m/>
    <m/>
    <m/>
    <m/>
    <m/>
    <m/>
    <m/>
    <m/>
    <m/>
    <m/>
    <m/>
    <m/>
    <m/>
    <n v="4"/>
    <m/>
    <m/>
    <s v="နွေရာသီရေခမ်း "/>
    <n v="6"/>
    <m/>
    <m/>
    <m/>
    <m/>
    <m/>
    <m/>
    <m/>
    <x v="0"/>
    <x v="0"/>
    <m/>
    <m/>
    <m/>
    <m/>
    <m/>
    <m/>
    <n v="4"/>
    <m/>
    <m/>
    <n v="2"/>
    <m/>
    <m/>
    <n v="1"/>
    <m/>
    <m/>
    <m/>
    <n v="1"/>
    <n v="0.5"/>
    <m/>
    <n v="0.9"/>
    <n v="0.95"/>
    <m/>
    <n v="0.99"/>
    <m/>
    <m/>
    <m/>
    <m/>
    <m/>
    <m/>
    <m/>
    <s v="no test"/>
    <s v="no test"/>
    <s v="No Test"/>
    <n v="1"/>
    <n v="0"/>
    <n v="0"/>
    <n v="0"/>
    <n v="0"/>
    <n v="0"/>
    <n v="0"/>
    <n v="1"/>
    <n v="1"/>
    <n v="1"/>
    <n v="186"/>
    <n v="0"/>
    <n v="0"/>
    <n v="1"/>
    <n v="186"/>
    <n v="0.372"/>
    <n v="0"/>
    <n v="0"/>
    <n v="0.628"/>
    <n v="1"/>
    <n v="6"/>
    <n v="0.64516129032258063"/>
    <n v="120"/>
    <n v="0"/>
    <n v="0"/>
    <n v="0"/>
    <n v="9"/>
    <n v="3"/>
    <n v="0.35483870967741937"/>
    <n v="0"/>
    <n v="186"/>
    <n v="0"/>
    <n v="0"/>
    <n v="0"/>
    <n v="186"/>
    <n v="1"/>
    <n v="0"/>
    <n v="1"/>
    <n v="0"/>
    <n v="0"/>
    <n v="4"/>
    <n v="43"/>
    <n v="0"/>
    <n v="186"/>
    <s v="No"/>
    <s v=""/>
    <n v="167.4"/>
    <n v="176.7"/>
    <n v="184.14"/>
    <n v="184.14"/>
    <n v="0"/>
    <n v="0"/>
    <s v="Yes"/>
    <s v="Shalom"/>
    <x v="0"/>
    <x v="1"/>
    <x v="0"/>
    <n v="25.333683333333301"/>
    <n v="97.428251153846105"/>
    <s v="MMR001CMP037"/>
    <x v="0"/>
    <x v="0"/>
    <n v="43"/>
    <n v="186"/>
  </r>
  <r>
    <x v="0"/>
    <x v="3"/>
    <x v="2"/>
    <s v="ANCHOR"/>
    <x v="0"/>
    <x v="4"/>
    <x v="1"/>
    <x v="210"/>
    <n v="76"/>
    <n v="319"/>
    <d v="2023-01-01T00:00:00"/>
    <d v="2023-12-31T00:00:00"/>
    <m/>
    <m/>
    <n v="1"/>
    <m/>
    <s v="Yes"/>
    <n v="1"/>
    <n v="4"/>
    <n v="2"/>
    <n v="1"/>
    <m/>
    <n v="1"/>
    <m/>
    <m/>
    <m/>
    <m/>
    <m/>
    <m/>
    <m/>
    <m/>
    <m/>
    <m/>
    <m/>
    <m/>
    <m/>
    <m/>
    <m/>
    <n v="1"/>
    <n v="1"/>
    <m/>
    <s v="နွေရာသီရေခမ်း "/>
    <n v="9"/>
    <m/>
    <s v="Shalom"/>
    <m/>
    <m/>
    <m/>
    <m/>
    <m/>
    <x v="0"/>
    <x v="0"/>
    <m/>
    <m/>
    <m/>
    <m/>
    <m/>
    <m/>
    <n v="5"/>
    <m/>
    <m/>
    <n v="3"/>
    <m/>
    <n v="1"/>
    <m/>
    <n v="68"/>
    <m/>
    <s v="Yes"/>
    <n v="1"/>
    <n v="0.5"/>
    <m/>
    <n v="0.96"/>
    <n v="0.9"/>
    <n v="100"/>
    <n v="0.99"/>
    <m/>
    <m/>
    <m/>
    <m/>
    <m/>
    <m/>
    <m/>
    <s v="no test"/>
    <s v="no test"/>
    <s v="No Test"/>
    <n v="1"/>
    <n v="1"/>
    <n v="0"/>
    <n v="0"/>
    <n v="0"/>
    <n v="319"/>
    <n v="0"/>
    <n v="1"/>
    <n v="1"/>
    <n v="1"/>
    <n v="319"/>
    <n v="0"/>
    <n v="0"/>
    <n v="1"/>
    <n v="319"/>
    <n v="0.63800000000000001"/>
    <n v="0"/>
    <n v="0"/>
    <n v="0.36199999999999999"/>
    <n v="1"/>
    <n v="9"/>
    <n v="0.56426332288401249"/>
    <n v="180"/>
    <n v="0"/>
    <n v="0"/>
    <n v="0"/>
    <n v="16"/>
    <n v="7"/>
    <n v="0.43573667711598751"/>
    <n v="0"/>
    <n v="319"/>
    <n v="319"/>
    <n v="0"/>
    <n v="319"/>
    <n v="319"/>
    <n v="1"/>
    <n v="0"/>
    <n v="1"/>
    <n v="1"/>
    <n v="0"/>
    <n v="5"/>
    <n v="76"/>
    <n v="1"/>
    <n v="319"/>
    <s v="No"/>
    <n v="0.31347962382445144"/>
    <n v="306.24"/>
    <n v="287.10000000000002"/>
    <n v="315.81"/>
    <n v="315.81"/>
    <n v="319"/>
    <n v="0"/>
    <s v="Yes"/>
    <s v="Shalom"/>
    <x v="0"/>
    <x v="1"/>
    <x v="0"/>
    <n v="25.351250396825399"/>
    <n v="97.444283730158702"/>
    <s v="MMR001CMP038"/>
    <x v="0"/>
    <x v="0"/>
    <n v="76"/>
    <n v="319"/>
  </r>
  <r>
    <x v="0"/>
    <x v="3"/>
    <x v="2"/>
    <s v="MHF"/>
    <x v="0"/>
    <x v="3"/>
    <x v="1"/>
    <x v="211"/>
    <n v="25"/>
    <n v="133"/>
    <d v="2022-01-01T00:00:00"/>
    <d v="2022-12-31T00:00:00"/>
    <m/>
    <m/>
    <n v="1"/>
    <m/>
    <s v="Yes"/>
    <n v="2"/>
    <n v="2"/>
    <n v="1"/>
    <m/>
    <m/>
    <m/>
    <n v="1"/>
    <m/>
    <m/>
    <n v="2"/>
    <m/>
    <m/>
    <m/>
    <n v="4"/>
    <m/>
    <m/>
    <m/>
    <m/>
    <m/>
    <m/>
    <m/>
    <m/>
    <m/>
    <m/>
    <m/>
    <n v="8"/>
    <n v="4"/>
    <s v="Chruch"/>
    <m/>
    <m/>
    <m/>
    <m/>
    <m/>
    <x v="0"/>
    <x v="0"/>
    <m/>
    <n v="2"/>
    <m/>
    <m/>
    <m/>
    <m/>
    <n v="4"/>
    <m/>
    <m/>
    <n v="2"/>
    <m/>
    <m/>
    <m/>
    <m/>
    <m/>
    <m/>
    <m/>
    <m/>
    <m/>
    <m/>
    <m/>
    <m/>
    <m/>
    <m/>
    <m/>
    <m/>
    <m/>
    <m/>
    <m/>
    <m/>
    <s v="no test"/>
    <s v="no test"/>
    <s v="No Test"/>
    <n v="1"/>
    <n v="1"/>
    <n v="2"/>
    <n v="0"/>
    <n v="0"/>
    <n v="0"/>
    <n v="0"/>
    <n v="1"/>
    <n v="1"/>
    <n v="1"/>
    <n v="133"/>
    <n v="1"/>
    <n v="133"/>
    <n v="1"/>
    <n v="133"/>
    <n v="0.26600000000000001"/>
    <n v="0"/>
    <n v="0"/>
    <n v="0.73399999999999999"/>
    <n v="1"/>
    <n v="12"/>
    <n v="1"/>
    <n v="133"/>
    <n v="0"/>
    <n v="0"/>
    <n v="0"/>
    <n v="7"/>
    <n v="0"/>
    <n v="0"/>
    <n v="0"/>
    <n v="0"/>
    <n v="0"/>
    <n v="0"/>
    <n v="0"/>
    <n v="0"/>
    <n v="0"/>
    <n v="1"/>
    <n v="0"/>
    <n v="0"/>
    <n v="0"/>
    <n v="4"/>
    <n v="25"/>
    <n v="0"/>
    <n v="133"/>
    <s v="No"/>
    <s v=""/>
    <n v="0"/>
    <n v="0"/>
    <n v="0"/>
    <n v="0"/>
    <n v="0"/>
    <n v="0"/>
    <s v="Yes"/>
    <s v="KBC-MYT"/>
    <x v="0"/>
    <x v="1"/>
    <x v="0"/>
    <n v="25.577559999999998"/>
    <n v="96.286680000000004"/>
    <s v="MMR001CMP184"/>
    <x v="0"/>
    <x v="0"/>
    <n v="25"/>
    <n v="133"/>
  </r>
  <r>
    <x v="0"/>
    <x v="3"/>
    <x v="2"/>
    <s v="MHF"/>
    <x v="0"/>
    <x v="3"/>
    <x v="1"/>
    <x v="212"/>
    <n v="16"/>
    <n v="66"/>
    <d v="2022-01-01T00:00:00"/>
    <d v="2022-12-31T00:00:00"/>
    <n v="30"/>
    <m/>
    <m/>
    <m/>
    <s v="Yes"/>
    <n v="2"/>
    <n v="4"/>
    <m/>
    <m/>
    <m/>
    <m/>
    <m/>
    <m/>
    <m/>
    <n v="1"/>
    <m/>
    <m/>
    <m/>
    <n v="2"/>
    <m/>
    <m/>
    <m/>
    <m/>
    <m/>
    <m/>
    <m/>
    <n v="2"/>
    <m/>
    <m/>
    <m/>
    <n v="5"/>
    <m/>
    <m/>
    <m/>
    <m/>
    <m/>
    <m/>
    <m/>
    <x v="0"/>
    <x v="0"/>
    <m/>
    <m/>
    <m/>
    <m/>
    <m/>
    <m/>
    <n v="2"/>
    <m/>
    <m/>
    <n v="2"/>
    <m/>
    <n v="1"/>
    <n v="1"/>
    <m/>
    <m/>
    <m/>
    <m/>
    <m/>
    <m/>
    <m/>
    <m/>
    <m/>
    <m/>
    <m/>
    <m/>
    <m/>
    <m/>
    <m/>
    <m/>
    <m/>
    <s v="no test"/>
    <s v="no test"/>
    <s v="No Test"/>
    <n v="0"/>
    <n v="0"/>
    <n v="1"/>
    <n v="0"/>
    <n v="0"/>
    <n v="0"/>
    <n v="0"/>
    <n v="1"/>
    <n v="1"/>
    <n v="1"/>
    <n v="66"/>
    <n v="1"/>
    <n v="66"/>
    <n v="1"/>
    <n v="66"/>
    <n v="0.13200000000000001"/>
    <n v="0"/>
    <n v="0"/>
    <n v="0.86799999999999999"/>
    <n v="1"/>
    <n v="5"/>
    <n v="1"/>
    <n v="66"/>
    <n v="0"/>
    <n v="0"/>
    <n v="0"/>
    <n v="3"/>
    <n v="0"/>
    <n v="0"/>
    <n v="0"/>
    <n v="66"/>
    <n v="0"/>
    <n v="0"/>
    <n v="0"/>
    <n v="66"/>
    <n v="1"/>
    <n v="0"/>
    <n v="1"/>
    <n v="0"/>
    <n v="0"/>
    <n v="2"/>
    <n v="16"/>
    <n v="0"/>
    <n v="66"/>
    <s v="Yes"/>
    <s v=""/>
    <n v="0"/>
    <n v="0"/>
    <n v="0"/>
    <n v="0"/>
    <n v="0"/>
    <n v="0"/>
    <s v="Yes"/>
    <s v="KBC-MYT"/>
    <x v="0"/>
    <x v="1"/>
    <x v="0"/>
    <n v="25.599250000000001"/>
    <n v="96.306910999999999"/>
    <s v="MMR001CMP105"/>
    <x v="0"/>
    <x v="0"/>
    <n v="16"/>
    <n v="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s v="3W"/>
  </r>
  <r>
    <x v="0"/>
    <x v="1"/>
    <s v="3W"/>
  </r>
  <r>
    <x v="1"/>
    <x v="2"/>
    <s v="3W"/>
  </r>
  <r>
    <x v="1"/>
    <x v="3"/>
    <s v="3W"/>
  </r>
  <r>
    <x v="1"/>
    <x v="4"/>
    <s v="3W"/>
  </r>
  <r>
    <x v="1"/>
    <x v="5"/>
    <s v="3W"/>
  </r>
  <r>
    <x v="1"/>
    <x v="6"/>
    <s v="3W"/>
  </r>
  <r>
    <x v="1"/>
    <x v="7"/>
    <s v="3W"/>
  </r>
  <r>
    <x v="1"/>
    <x v="1"/>
    <s v="3W"/>
  </r>
  <r>
    <x v="2"/>
    <x v="8"/>
    <s v="3W"/>
  </r>
  <r>
    <x v="2"/>
    <x v="4"/>
    <s v="3W"/>
  </r>
  <r>
    <x v="2"/>
    <x v="9"/>
    <s v="3W"/>
  </r>
  <r>
    <x v="2"/>
    <x v="1"/>
    <s v="3W"/>
  </r>
  <r>
    <x v="3"/>
    <x v="2"/>
    <s v="3W"/>
  </r>
  <r>
    <x v="3"/>
    <x v="4"/>
    <s v="3W"/>
  </r>
  <r>
    <x v="3"/>
    <x v="10"/>
    <s v="3W"/>
  </r>
  <r>
    <x v="3"/>
    <x v="11"/>
    <s v="3W"/>
  </r>
  <r>
    <x v="3"/>
    <x v="1"/>
    <s v="3W"/>
  </r>
  <r>
    <x v="3"/>
    <x v="12"/>
    <s v="3W"/>
  </r>
  <r>
    <x v="4"/>
    <x v="13"/>
    <s v="3W"/>
  </r>
  <r>
    <x v="4"/>
    <x v="14"/>
    <s v="3W"/>
  </r>
  <r>
    <x v="4"/>
    <x v="4"/>
    <s v="3W"/>
  </r>
  <r>
    <x v="4"/>
    <x v="11"/>
    <s v="3W"/>
  </r>
  <r>
    <x v="4"/>
    <x v="0"/>
    <s v="3W"/>
  </r>
  <r>
    <x v="4"/>
    <x v="15"/>
    <s v="3W"/>
  </r>
  <r>
    <x v="4"/>
    <x v="1"/>
    <s v="3W"/>
  </r>
  <r>
    <x v="5"/>
    <x v="4"/>
    <s v="3W"/>
  </r>
  <r>
    <x v="5"/>
    <x v="5"/>
    <s v="3W"/>
  </r>
  <r>
    <x v="6"/>
    <x v="2"/>
    <s v="3W"/>
  </r>
  <r>
    <x v="6"/>
    <x v="16"/>
    <s v="3W"/>
  </r>
  <r>
    <x v="6"/>
    <x v="0"/>
    <s v="3W"/>
  </r>
  <r>
    <x v="6"/>
    <x v="1"/>
    <s v="3W"/>
  </r>
  <r>
    <x v="7"/>
    <x v="17"/>
    <s v="3W"/>
  </r>
  <r>
    <x v="7"/>
    <x v="18"/>
    <s v="3W"/>
  </r>
  <r>
    <x v="7"/>
    <x v="19"/>
    <s v="3W"/>
  </r>
  <r>
    <x v="7"/>
    <x v="20"/>
    <s v="3W"/>
  </r>
  <r>
    <x v="7"/>
    <x v="21"/>
    <s v="3W"/>
  </r>
  <r>
    <x v="7"/>
    <x v="6"/>
    <s v="3W"/>
  </r>
  <r>
    <x v="7"/>
    <x v="22"/>
    <s v="3W"/>
  </r>
  <r>
    <x v="7"/>
    <x v="23"/>
    <s v="3W"/>
  </r>
  <r>
    <x v="7"/>
    <x v="24"/>
    <s v="3W"/>
  </r>
  <r>
    <x v="7"/>
    <x v="1"/>
    <s v="3W"/>
  </r>
  <r>
    <x v="7"/>
    <x v="25"/>
    <s v="3W"/>
  </r>
  <r>
    <x v="8"/>
    <x v="26"/>
    <s v="3W"/>
  </r>
  <r>
    <x v="8"/>
    <x v="27"/>
    <s v="3W"/>
  </r>
  <r>
    <x v="8"/>
    <x v="4"/>
    <s v="3W"/>
  </r>
  <r>
    <x v="8"/>
    <x v="1"/>
    <s v="3W"/>
  </r>
  <r>
    <x v="9"/>
    <x v="2"/>
    <s v="3W"/>
  </r>
  <r>
    <x v="9"/>
    <x v="8"/>
    <s v="3W"/>
  </r>
  <r>
    <x v="9"/>
    <x v="28"/>
    <s v="3W"/>
  </r>
  <r>
    <x v="9"/>
    <x v="29"/>
    <s v="3W"/>
  </r>
  <r>
    <x v="9"/>
    <x v="30"/>
    <s v="3W"/>
  </r>
  <r>
    <x v="9"/>
    <x v="1"/>
    <s v="3W"/>
  </r>
  <r>
    <x v="10"/>
    <x v="2"/>
    <s v="3W"/>
  </r>
  <r>
    <x v="10"/>
    <x v="10"/>
    <s v="3W"/>
  </r>
  <r>
    <x v="10"/>
    <x v="11"/>
    <s v="3W"/>
  </r>
  <r>
    <x v="10"/>
    <x v="30"/>
    <s v="3W"/>
  </r>
  <r>
    <x v="2"/>
    <x v="31"/>
    <s v="4W camp"/>
  </r>
  <r>
    <x v="2"/>
    <x v="20"/>
    <s v="4W camp"/>
  </r>
  <r>
    <x v="2"/>
    <x v="32"/>
    <s v="4W camp"/>
  </r>
  <r>
    <x v="2"/>
    <x v="4"/>
    <s v="4W camp"/>
  </r>
  <r>
    <x v="2"/>
    <x v="28"/>
    <s v="4W camp"/>
  </r>
  <r>
    <x v="2"/>
    <x v="6"/>
    <s v="4W camp"/>
  </r>
  <r>
    <x v="2"/>
    <x v="33"/>
    <s v="4W camp"/>
  </r>
  <r>
    <x v="2"/>
    <x v="23"/>
    <s v="4W camp"/>
  </r>
  <r>
    <x v="2"/>
    <x v="9"/>
    <s v="4W camp"/>
  </r>
  <r>
    <x v="2"/>
    <x v="34"/>
    <s v="4W camp"/>
  </r>
  <r>
    <x v="2"/>
    <x v="35"/>
    <s v="4W camp"/>
  </r>
  <r>
    <x v="7"/>
    <x v="36"/>
    <s v="4W camp"/>
  </r>
  <r>
    <x v="7"/>
    <x v="37"/>
    <s v="4W camp"/>
  </r>
  <r>
    <x v="7"/>
    <x v="22"/>
    <s v="4W camp"/>
  </r>
  <r>
    <x v="7"/>
    <x v="30"/>
    <s v="4W camp"/>
  </r>
  <r>
    <x v="7"/>
    <x v="23"/>
    <s v="4W camp"/>
  </r>
  <r>
    <x v="7"/>
    <x v="23"/>
    <s v="4W camp"/>
  </r>
  <r>
    <x v="9"/>
    <x v="31"/>
    <s v="4W camp"/>
  </r>
  <r>
    <x v="9"/>
    <x v="4"/>
    <s v="4W camp"/>
  </r>
  <r>
    <x v="9"/>
    <x v="28"/>
    <s v="4W camp"/>
  </r>
  <r>
    <x v="1"/>
    <x v="6"/>
    <s v="4W village"/>
  </r>
  <r>
    <x v="2"/>
    <x v="31"/>
    <s v="4W village"/>
  </r>
  <r>
    <x v="2"/>
    <x v="32"/>
    <s v="4W village"/>
  </r>
  <r>
    <x v="2"/>
    <x v="6"/>
    <s v="4W village"/>
  </r>
  <r>
    <x v="2"/>
    <x v="9"/>
    <s v="4W village"/>
  </r>
  <r>
    <x v="2"/>
    <x v="34"/>
    <s v="4W village"/>
  </r>
  <r>
    <x v="2"/>
    <x v="38"/>
    <s v="4W village"/>
  </r>
  <r>
    <x v="7"/>
    <x v="19"/>
    <s v="4W village"/>
  </r>
  <r>
    <x v="7"/>
    <x v="39"/>
    <s v="4W village"/>
  </r>
  <r>
    <x v="7"/>
    <x v="40"/>
    <s v="4W village"/>
  </r>
  <r>
    <x v="7"/>
    <x v="5"/>
    <s v="4W village"/>
  </r>
  <r>
    <x v="7"/>
    <x v="6"/>
    <s v="4W village"/>
  </r>
  <r>
    <x v="7"/>
    <x v="41"/>
    <s v="4W village"/>
  </r>
  <r>
    <x v="7"/>
    <x v="30"/>
    <s v="4W village"/>
  </r>
  <r>
    <x v="7"/>
    <x v="42"/>
    <s v="4W village"/>
  </r>
  <r>
    <x v="7"/>
    <x v="23"/>
    <s v="4W village"/>
  </r>
  <r>
    <x v="7"/>
    <x v="23"/>
    <s v="4W village"/>
  </r>
  <r>
    <x v="7"/>
    <x v="43"/>
    <s v="4W village"/>
  </r>
  <r>
    <x v="7"/>
    <x v="1"/>
    <s v="4W village"/>
  </r>
  <r>
    <x v="9"/>
    <x v="44"/>
    <s v="4W village"/>
  </r>
  <r>
    <x v="9"/>
    <x v="4"/>
    <s v="4W village"/>
  </r>
  <r>
    <x v="9"/>
    <x v="29"/>
    <s v="4W villag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x v="0"/>
    <s v="3W"/>
  </r>
  <r>
    <x v="0"/>
    <x v="1"/>
    <s v="3W"/>
  </r>
  <r>
    <x v="1"/>
    <x v="2"/>
    <s v="3W"/>
  </r>
  <r>
    <x v="1"/>
    <x v="3"/>
    <s v="3W"/>
  </r>
  <r>
    <x v="1"/>
    <x v="4"/>
    <s v="3W"/>
  </r>
  <r>
    <x v="1"/>
    <x v="5"/>
    <s v="3W"/>
  </r>
  <r>
    <x v="1"/>
    <x v="6"/>
    <s v="3W"/>
  </r>
  <r>
    <x v="1"/>
    <x v="7"/>
    <s v="3W"/>
  </r>
  <r>
    <x v="1"/>
    <x v="8"/>
    <s v="3W"/>
  </r>
  <r>
    <x v="1"/>
    <x v="1"/>
    <s v="3W"/>
  </r>
  <r>
    <x v="2"/>
    <x v="9"/>
    <s v="3W"/>
  </r>
  <r>
    <x v="2"/>
    <x v="10"/>
    <s v="3W"/>
  </r>
  <r>
    <x v="2"/>
    <x v="4"/>
    <s v="3W"/>
  </r>
  <r>
    <x v="2"/>
    <x v="11"/>
    <s v="3W"/>
  </r>
  <r>
    <x v="2"/>
    <x v="1"/>
    <s v="3W"/>
  </r>
  <r>
    <x v="2"/>
    <x v="12"/>
    <s v="3W"/>
  </r>
  <r>
    <x v="3"/>
    <x v="2"/>
    <s v="3W"/>
  </r>
  <r>
    <x v="3"/>
    <x v="4"/>
    <s v="3W"/>
  </r>
  <r>
    <x v="3"/>
    <x v="13"/>
    <s v="3W"/>
  </r>
  <r>
    <x v="3"/>
    <x v="14"/>
    <s v="3W"/>
  </r>
  <r>
    <x v="3"/>
    <x v="1"/>
    <s v="3W"/>
  </r>
  <r>
    <x v="3"/>
    <x v="15"/>
    <s v="3W"/>
  </r>
  <r>
    <x v="4"/>
    <x v="16"/>
    <s v="3W"/>
  </r>
  <r>
    <x v="4"/>
    <x v="17"/>
    <s v="3W"/>
  </r>
  <r>
    <x v="4"/>
    <x v="4"/>
    <s v="3W"/>
  </r>
  <r>
    <x v="4"/>
    <x v="14"/>
    <s v="3W"/>
  </r>
  <r>
    <x v="4"/>
    <x v="0"/>
    <s v="3W"/>
  </r>
  <r>
    <x v="4"/>
    <x v="18"/>
    <s v="3W"/>
  </r>
  <r>
    <x v="4"/>
    <x v="1"/>
    <s v="3W"/>
  </r>
  <r>
    <x v="5"/>
    <x v="4"/>
    <s v="3W"/>
  </r>
  <r>
    <x v="5"/>
    <x v="5"/>
    <s v="3W"/>
  </r>
  <r>
    <x v="6"/>
    <x v="2"/>
    <s v="3W"/>
  </r>
  <r>
    <x v="6"/>
    <x v="19"/>
    <s v="3W"/>
  </r>
  <r>
    <x v="6"/>
    <x v="0"/>
    <s v="3W"/>
  </r>
  <r>
    <x v="6"/>
    <x v="1"/>
    <s v="3W"/>
  </r>
  <r>
    <x v="7"/>
    <x v="20"/>
    <s v="3W"/>
  </r>
  <r>
    <x v="7"/>
    <x v="21"/>
    <s v="3W"/>
  </r>
  <r>
    <x v="7"/>
    <x v="22"/>
    <s v="3W"/>
  </r>
  <r>
    <x v="7"/>
    <x v="23"/>
    <s v="3W"/>
  </r>
  <r>
    <x v="7"/>
    <x v="24"/>
    <s v="3W"/>
  </r>
  <r>
    <x v="7"/>
    <x v="6"/>
    <s v="3W"/>
  </r>
  <r>
    <x v="7"/>
    <x v="25"/>
    <s v="3W"/>
  </r>
  <r>
    <x v="7"/>
    <x v="26"/>
    <s v="3W"/>
  </r>
  <r>
    <x v="7"/>
    <x v="27"/>
    <s v="3W"/>
  </r>
  <r>
    <x v="7"/>
    <x v="1"/>
    <s v="3W"/>
  </r>
  <r>
    <x v="7"/>
    <x v="28"/>
    <s v="3W"/>
  </r>
  <r>
    <x v="8"/>
    <x v="29"/>
    <s v="3W"/>
  </r>
  <r>
    <x v="8"/>
    <x v="30"/>
    <s v="3W"/>
  </r>
  <r>
    <x v="8"/>
    <x v="4"/>
    <s v="3W"/>
  </r>
  <r>
    <x v="8"/>
    <x v="31"/>
    <s v="3W"/>
  </r>
  <r>
    <x v="8"/>
    <x v="1"/>
    <s v="3W"/>
  </r>
  <r>
    <x v="9"/>
    <x v="2"/>
    <s v="3W"/>
  </r>
  <r>
    <x v="9"/>
    <x v="9"/>
    <s v="3W"/>
  </r>
  <r>
    <x v="9"/>
    <x v="32"/>
    <s v="3W"/>
  </r>
  <r>
    <x v="9"/>
    <x v="33"/>
    <s v="3W"/>
  </r>
  <r>
    <x v="9"/>
    <x v="7"/>
    <s v="3W"/>
  </r>
  <r>
    <x v="9"/>
    <x v="1"/>
    <s v="3W"/>
  </r>
  <r>
    <x v="10"/>
    <x v="2"/>
    <s v="3W"/>
  </r>
  <r>
    <x v="10"/>
    <x v="13"/>
    <s v="3W"/>
  </r>
  <r>
    <x v="10"/>
    <x v="14"/>
    <s v="3W"/>
  </r>
  <r>
    <x v="10"/>
    <x v="25"/>
    <s v="3W"/>
  </r>
  <r>
    <x v="10"/>
    <x v="7"/>
    <s v="3W"/>
  </r>
  <r>
    <x v="10"/>
    <x v="1"/>
    <s v="3W"/>
  </r>
  <r>
    <x v="2"/>
    <x v="34"/>
    <s v="4W Camp"/>
  </r>
  <r>
    <x v="2"/>
    <x v="23"/>
    <s v="4W Camp"/>
  </r>
  <r>
    <x v="2"/>
    <x v="10"/>
    <s v="4W Camp"/>
  </r>
  <r>
    <x v="2"/>
    <x v="4"/>
    <s v="4W Camp"/>
  </r>
  <r>
    <x v="2"/>
    <x v="32"/>
    <s v="4W Camp"/>
  </r>
  <r>
    <x v="2"/>
    <x v="6"/>
    <s v="4W Camp"/>
  </r>
  <r>
    <x v="2"/>
    <x v="35"/>
    <s v="4W Camp"/>
  </r>
  <r>
    <x v="2"/>
    <x v="26"/>
    <s v="4W Camp"/>
  </r>
  <r>
    <x v="2"/>
    <x v="11"/>
    <s v="4W Camp"/>
  </r>
  <r>
    <x v="2"/>
    <x v="12"/>
    <s v="4W Camp"/>
  </r>
  <r>
    <x v="2"/>
    <x v="36"/>
    <s v="4W Camp"/>
  </r>
  <r>
    <x v="7"/>
    <x v="37"/>
    <s v="4W Camp"/>
  </r>
  <r>
    <x v="7"/>
    <x v="38"/>
    <s v="4W Camp"/>
  </r>
  <r>
    <x v="7"/>
    <x v="25"/>
    <s v="4W Camp"/>
  </r>
  <r>
    <x v="7"/>
    <x v="7"/>
    <s v="4W Camp"/>
  </r>
  <r>
    <x v="7"/>
    <x v="26"/>
    <s v="4W Camp"/>
  </r>
  <r>
    <x v="9"/>
    <x v="34"/>
    <s v="4W Camp"/>
  </r>
  <r>
    <x v="9"/>
    <x v="4"/>
    <s v="4W Camp"/>
  </r>
  <r>
    <x v="9"/>
    <x v="32"/>
    <s v="4W Camp"/>
  </r>
  <r>
    <x v="1"/>
    <x v="6"/>
    <s v="4W Village"/>
  </r>
  <r>
    <x v="2"/>
    <x v="34"/>
    <s v="4W Village"/>
  </r>
  <r>
    <x v="2"/>
    <x v="10"/>
    <s v="4W Village"/>
  </r>
  <r>
    <x v="2"/>
    <x v="6"/>
    <s v="4W Village"/>
  </r>
  <r>
    <x v="2"/>
    <x v="11"/>
    <s v="4W Village"/>
  </r>
  <r>
    <x v="2"/>
    <x v="12"/>
    <s v="4W Village"/>
  </r>
  <r>
    <x v="2"/>
    <x v="39"/>
    <s v="4W Village"/>
  </r>
  <r>
    <x v="3"/>
    <x v="2"/>
    <s v="4W Village"/>
  </r>
  <r>
    <x v="6"/>
    <x v="2"/>
    <s v="4W Village"/>
  </r>
  <r>
    <x v="6"/>
    <x v="19"/>
    <s v="4W Village"/>
  </r>
  <r>
    <x v="7"/>
    <x v="22"/>
    <s v="4W Village"/>
  </r>
  <r>
    <x v="7"/>
    <x v="40"/>
    <s v="4W Village"/>
  </r>
  <r>
    <x v="7"/>
    <x v="5"/>
    <s v="4W Village"/>
  </r>
  <r>
    <x v="7"/>
    <x v="41"/>
    <s v="4W Village"/>
  </r>
  <r>
    <x v="7"/>
    <x v="6"/>
    <s v="4W Village"/>
  </r>
  <r>
    <x v="7"/>
    <x v="42"/>
    <s v="4W Village"/>
  </r>
  <r>
    <x v="7"/>
    <x v="7"/>
    <s v="4W Village"/>
  </r>
  <r>
    <x v="7"/>
    <x v="43"/>
    <s v="4W Village"/>
  </r>
  <r>
    <x v="7"/>
    <x v="26"/>
    <s v="4W Village"/>
  </r>
  <r>
    <x v="7"/>
    <x v="44"/>
    <s v="4W Village"/>
  </r>
  <r>
    <x v="7"/>
    <x v="1"/>
    <s v="4W Village"/>
  </r>
  <r>
    <x v="9"/>
    <x v="45"/>
    <s v="4W Village"/>
  </r>
  <r>
    <x v="9"/>
    <x v="4"/>
    <s v="4W Village"/>
  </r>
  <r>
    <x v="9"/>
    <x v="33"/>
    <s v="4W Village"/>
  </r>
  <r>
    <x v="9"/>
    <x v="46"/>
    <s v="4W Village"/>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s v="AYO"/>
    <x v="0"/>
  </r>
  <r>
    <s v="CHRO"/>
    <x v="0"/>
  </r>
  <r>
    <s v="CIDKP"/>
    <x v="0"/>
  </r>
  <r>
    <s v="NHTYK"/>
    <x v="0"/>
  </r>
  <r>
    <s v="SDF"/>
    <x v="0"/>
  </r>
  <r>
    <s v="ACF"/>
    <x v="1"/>
  </r>
  <r>
    <s v="ADRA"/>
    <x v="1"/>
  </r>
  <r>
    <s v="CARE"/>
    <x v="1"/>
  </r>
  <r>
    <s v="CDN"/>
    <x v="1"/>
  </r>
  <r>
    <s v="CERA"/>
    <x v="1"/>
  </r>
  <r>
    <s v="DRC"/>
    <x v="1"/>
  </r>
  <r>
    <s v="HPA"/>
    <x v="1"/>
  </r>
  <r>
    <s v="IRC"/>
    <x v="1"/>
  </r>
  <r>
    <s v="IRW"/>
    <x v="1"/>
  </r>
  <r>
    <s v="LWF"/>
    <x v="1"/>
  </r>
  <r>
    <s v="Malteser"/>
    <x v="1"/>
  </r>
  <r>
    <s v="MA-UK"/>
    <x v="1"/>
  </r>
  <r>
    <s v="MC"/>
    <x v="1"/>
  </r>
  <r>
    <s v="OXFAM"/>
    <x v="1"/>
  </r>
  <r>
    <s v="PIN"/>
    <x v="1"/>
  </r>
  <r>
    <s v="PWJ"/>
    <x v="1"/>
  </r>
  <r>
    <s v="RI"/>
    <x v="1"/>
  </r>
  <r>
    <s v="SCI"/>
    <x v="1"/>
  </r>
  <r>
    <s v="SI"/>
    <x v="1"/>
  </r>
  <r>
    <s v="TGH-GJ"/>
    <x v="1"/>
  </r>
  <r>
    <s v="TGH-RCDF"/>
    <x v="1"/>
  </r>
  <r>
    <s v="WCM"/>
    <x v="1"/>
  </r>
  <r>
    <s v="WV"/>
    <x v="1"/>
  </r>
  <r>
    <s v="CDA"/>
    <x v="2"/>
  </r>
  <r>
    <s v="GLAD"/>
    <x v="2"/>
  </r>
  <r>
    <s v="KBC"/>
    <x v="2"/>
  </r>
  <r>
    <s v="KMSS"/>
    <x v="2"/>
  </r>
  <r>
    <s v="KyWO"/>
    <x v="2"/>
  </r>
  <r>
    <s v="Metta"/>
    <x v="2"/>
  </r>
  <r>
    <s v="MM"/>
    <x v="2"/>
  </r>
  <r>
    <s v="PSSAG"/>
    <x v="2"/>
  </r>
  <r>
    <s v="Shalom"/>
    <x v="2"/>
  </r>
  <r>
    <s v="STW"/>
    <x v="2"/>
  </r>
  <r>
    <s v="TLDA"/>
    <x v="2"/>
  </r>
  <r>
    <s v="TWG"/>
    <x v="2"/>
  </r>
  <r>
    <s v="WDC"/>
    <x v="2"/>
  </r>
  <r>
    <s v="WPN"/>
    <x v="2"/>
  </r>
  <r>
    <s v="ICRC"/>
    <x v="3"/>
  </r>
  <r>
    <s v="UNICEF"/>
    <x v="4"/>
  </r>
  <r>
    <s v="WFP"/>
    <x v="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
  <r>
    <s v="ACF"/>
    <x v="0"/>
  </r>
  <r>
    <s v="ADRA"/>
    <x v="0"/>
  </r>
  <r>
    <s v="AYO"/>
    <x v="1"/>
  </r>
  <r>
    <s v="CARE"/>
    <x v="0"/>
  </r>
  <r>
    <s v="CDA"/>
    <x v="2"/>
  </r>
  <r>
    <s v="CDN"/>
    <x v="0"/>
  </r>
  <r>
    <s v="CERA"/>
    <x v="0"/>
  </r>
  <r>
    <s v="CHRO"/>
    <x v="1"/>
  </r>
  <r>
    <s v="CIDKP"/>
    <x v="1"/>
  </r>
  <r>
    <s v="DRC"/>
    <x v="0"/>
  </r>
  <r>
    <s v="GLAD"/>
    <x v="2"/>
  </r>
  <r>
    <s v="HPA"/>
    <x v="0"/>
  </r>
  <r>
    <s v="ICRC"/>
    <x v="3"/>
  </r>
  <r>
    <s v="IRC"/>
    <x v="0"/>
  </r>
  <r>
    <s v="IRW"/>
    <x v="0"/>
  </r>
  <r>
    <s v="KBC"/>
    <x v="2"/>
  </r>
  <r>
    <s v="KMSS"/>
    <x v="2"/>
  </r>
  <r>
    <s v="KyWO"/>
    <x v="2"/>
  </r>
  <r>
    <s v="LWF"/>
    <x v="0"/>
  </r>
  <r>
    <s v="Malteser"/>
    <x v="0"/>
  </r>
  <r>
    <s v="MA-UK"/>
    <x v="0"/>
  </r>
  <r>
    <s v="MC"/>
    <x v="0"/>
  </r>
  <r>
    <s v="Metta"/>
    <x v="2"/>
  </r>
  <r>
    <s v="MM"/>
    <x v="2"/>
  </r>
  <r>
    <s v="NHTYK"/>
    <x v="1"/>
  </r>
  <r>
    <s v="OXFAM"/>
    <x v="0"/>
  </r>
  <r>
    <s v="PIN"/>
    <x v="0"/>
  </r>
  <r>
    <s v="PSSAG"/>
    <x v="2"/>
  </r>
  <r>
    <s v="PWJ"/>
    <x v="0"/>
  </r>
  <r>
    <s v="RI"/>
    <x v="0"/>
  </r>
  <r>
    <s v="SCI"/>
    <x v="0"/>
  </r>
  <r>
    <s v="SDF"/>
    <x v="1"/>
  </r>
  <r>
    <s v="Shalom"/>
    <x v="2"/>
  </r>
  <r>
    <s v="SI"/>
    <x v="0"/>
  </r>
  <r>
    <s v="SPMO"/>
    <x v="2"/>
  </r>
  <r>
    <s v="STW"/>
    <x v="2"/>
  </r>
  <r>
    <s v="Swe Tha Har"/>
    <x v="2"/>
  </r>
  <r>
    <s v="TGH-GJ"/>
    <x v="0"/>
  </r>
  <r>
    <s v="TGH-RCDF"/>
    <x v="0"/>
  </r>
  <r>
    <s v="TLDA"/>
    <x v="2"/>
  </r>
  <r>
    <s v="TWG"/>
    <x v="2"/>
  </r>
  <r>
    <s v="UNICEF"/>
    <x v="4"/>
  </r>
  <r>
    <s v="WCM"/>
    <x v="0"/>
  </r>
  <r>
    <s v="WDC"/>
    <x v="2"/>
  </r>
  <r>
    <s v="WFP"/>
    <x v="4"/>
  </r>
  <r>
    <s v="WPN"/>
    <x v="2"/>
  </r>
  <r>
    <s v="WV"/>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s v="4W Camp"/>
  </r>
  <r>
    <x v="0"/>
    <x v="1"/>
    <s v="4W Camp"/>
  </r>
  <r>
    <x v="0"/>
    <x v="2"/>
    <s v="4W Camp"/>
  </r>
  <r>
    <x v="0"/>
    <x v="3"/>
    <s v="4W Camp"/>
  </r>
  <r>
    <x v="0"/>
    <x v="4"/>
    <s v="4W Camp"/>
  </r>
  <r>
    <x v="0"/>
    <x v="5"/>
    <s v="4W Camp"/>
  </r>
  <r>
    <x v="0"/>
    <x v="6"/>
    <s v="4W Camp"/>
  </r>
  <r>
    <x v="0"/>
    <x v="7"/>
    <s v="4W Camp"/>
  </r>
  <r>
    <x v="0"/>
    <x v="8"/>
    <s v="4W Camp"/>
  </r>
  <r>
    <x v="1"/>
    <x v="9"/>
    <s v="4W Camp"/>
  </r>
  <r>
    <x v="1"/>
    <x v="3"/>
    <s v="4W Camp"/>
  </r>
  <r>
    <x v="1"/>
    <x v="10"/>
    <s v="4W Camp"/>
  </r>
  <r>
    <x v="1"/>
    <x v="2"/>
    <s v="4W Camp"/>
  </r>
  <r>
    <x v="1"/>
    <x v="11"/>
    <s v="4W Camp"/>
  </r>
  <r>
    <x v="1"/>
    <x v="12"/>
    <s v="4W Camp"/>
  </r>
  <r>
    <x v="2"/>
    <x v="13"/>
    <s v="4W Camp"/>
  </r>
  <r>
    <x v="2"/>
    <x v="14"/>
    <s v="4W Camp"/>
  </r>
  <r>
    <x v="2"/>
    <x v="5"/>
    <s v="4W Camp"/>
  </r>
  <r>
    <x v="2"/>
    <x v="15"/>
    <s v="4W Camp"/>
  </r>
  <r>
    <x v="2"/>
    <x v="16"/>
    <s v="4W Camp"/>
  </r>
  <r>
    <x v="2"/>
    <x v="17"/>
    <s v="4W village"/>
  </r>
  <r>
    <x v="2"/>
    <x v="18"/>
    <s v="4W village"/>
  </r>
  <r>
    <x v="2"/>
    <x v="19"/>
    <s v="4W village"/>
  </r>
  <r>
    <x v="2"/>
    <x v="20"/>
    <s v="4W village"/>
  </r>
  <r>
    <x v="2"/>
    <x v="21"/>
    <s v="4W village"/>
  </r>
  <r>
    <x v="2"/>
    <x v="22"/>
    <s v="4W village"/>
  </r>
  <r>
    <x v="2"/>
    <x v="14"/>
    <s v="4W village"/>
  </r>
  <r>
    <x v="2"/>
    <x v="5"/>
    <s v="4W village"/>
  </r>
  <r>
    <x v="2"/>
    <x v="16"/>
    <s v="4W village"/>
  </r>
  <r>
    <x v="2"/>
    <x v="23"/>
    <s v="4W village"/>
  </r>
  <r>
    <x v="1"/>
    <x v="11"/>
    <s v="4W village"/>
  </r>
  <r>
    <x v="3"/>
    <x v="2"/>
    <s v="3W"/>
  </r>
  <r>
    <x v="3"/>
    <x v="24"/>
    <s v="3W"/>
  </r>
  <r>
    <x v="3"/>
    <x v="11"/>
    <s v="3W"/>
  </r>
  <r>
    <x v="3"/>
    <x v="16"/>
    <s v="3W"/>
  </r>
  <r>
    <x v="3"/>
    <x v="25"/>
    <s v="3W"/>
  </r>
  <r>
    <x v="3"/>
    <x v="26"/>
    <s v="3W"/>
  </r>
  <r>
    <x v="3"/>
    <x v="27"/>
    <s v="3W"/>
  </r>
  <r>
    <x v="4"/>
    <x v="24"/>
    <s v="3W"/>
  </r>
  <r>
    <x v="4"/>
    <x v="2"/>
    <s v="3W"/>
  </r>
  <r>
    <x v="4"/>
    <x v="2"/>
    <s v="3W"/>
  </r>
  <r>
    <x v="4"/>
    <x v="28"/>
    <s v="3W"/>
  </r>
  <r>
    <x v="5"/>
    <x v="29"/>
    <s v="3W"/>
  </r>
  <r>
    <x v="5"/>
    <x v="30"/>
    <s v="3W"/>
  </r>
  <r>
    <x v="5"/>
    <x v="2"/>
    <s v="3W"/>
  </r>
  <r>
    <x v="5"/>
    <x v="29"/>
    <s v="3W"/>
  </r>
  <r>
    <x v="5"/>
    <x v="31"/>
    <s v="3W"/>
  </r>
  <r>
    <x v="2"/>
    <x v="32"/>
    <s v="3W"/>
  </r>
  <r>
    <x v="2"/>
    <x v="33"/>
    <s v="3W"/>
  </r>
  <r>
    <x v="2"/>
    <x v="7"/>
    <s v="3W"/>
  </r>
  <r>
    <x v="2"/>
    <x v="34"/>
    <s v="3W"/>
  </r>
  <r>
    <x v="2"/>
    <x v="17"/>
    <s v="3W"/>
  </r>
  <r>
    <x v="2"/>
    <x v="0"/>
    <s v="3W"/>
  </r>
  <r>
    <x v="2"/>
    <x v="25"/>
    <s v="3W"/>
  </r>
  <r>
    <x v="2"/>
    <x v="35"/>
    <s v="3W"/>
  </r>
  <r>
    <x v="2"/>
    <x v="36"/>
    <s v="3W"/>
  </r>
  <r>
    <x v="2"/>
    <x v="37"/>
    <s v="3W"/>
  </r>
  <r>
    <x v="6"/>
    <x v="38"/>
    <s v="3W"/>
  </r>
  <r>
    <x v="6"/>
    <x v="39"/>
    <s v="3W"/>
  </r>
  <r>
    <x v="7"/>
    <x v="38"/>
    <s v="3W"/>
  </r>
  <r>
    <x v="7"/>
    <x v="39"/>
    <s v="3W"/>
  </r>
  <r>
    <x v="0"/>
    <x v="17"/>
    <s v="3W"/>
  </r>
  <r>
    <x v="0"/>
    <x v="40"/>
    <s v="3W"/>
  </r>
  <r>
    <x v="1"/>
    <x v="11"/>
    <s v="3W"/>
  </r>
  <r>
    <x v="8"/>
    <x v="41"/>
    <m/>
  </r>
  <r>
    <x v="8"/>
    <x v="41"/>
    <m/>
  </r>
  <r>
    <x v="8"/>
    <x v="41"/>
    <m/>
  </r>
  <r>
    <x v="8"/>
    <x v="41"/>
    <m/>
  </r>
  <r>
    <x v="8"/>
    <x v="41"/>
    <m/>
  </r>
  <r>
    <x v="8"/>
    <x v="41"/>
    <m/>
  </r>
  <r>
    <x v="8"/>
    <x v="41"/>
    <m/>
  </r>
  <r>
    <x v="8"/>
    <x v="41"/>
    <m/>
  </r>
  <r>
    <x v="8"/>
    <x v="4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CF63A5-2968-45E5-A665-3FA2F131B16C}" name="PivotTable1"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4" firstHeaderRow="1" firstDataRow="1" firstDataCol="1" rowPageCount="1" colPageCount="1"/>
  <pivotFields count="158">
    <pivotField axis="axisPage" multipleItemSelectionAllowed="1" showAll="0">
      <items count="29">
        <item m="1" x="25"/>
        <item m="1" x="26"/>
        <item m="1" x="12"/>
        <item m="1" x="27"/>
        <item m="1" x="19"/>
        <item m="1" x="21"/>
        <item m="1" x="23"/>
        <item m="1" x="24"/>
        <item m="1" x="7"/>
        <item m="1" x="15"/>
        <item m="1" x="17"/>
        <item m="1" x="20"/>
        <item m="1" x="22"/>
        <item h="1" m="1" x="10"/>
        <item h="1" m="1" x="13"/>
        <item m="1" x="16"/>
        <item m="1" x="1"/>
        <item h="1" m="1" x="18"/>
        <item h="1" m="1" x="5"/>
        <item h="1" m="1" x="8"/>
        <item h="1" m="1" x="11"/>
        <item h="1" m="1" x="14"/>
        <item h="1" m="1" x="3"/>
        <item h="1" m="1" x="4"/>
        <item h="1" m="1" x="6"/>
        <item h="1" m="1" x="9"/>
        <item h="1" x="0"/>
        <item h="1" m="1" x="2"/>
        <item t="default"/>
      </items>
    </pivotField>
    <pivotField showAll="0"/>
    <pivotField showAll="0"/>
    <pivotField showAll="0"/>
    <pivotField axis="axisRow" showAll="0">
      <items count="7">
        <item m="1" x="3"/>
        <item x="0"/>
        <item m="1" x="5"/>
        <item m="1" x="4"/>
        <item x="1"/>
        <item m="1" x="2"/>
        <item t="default"/>
      </items>
    </pivotField>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numFmtId="1" showAll="0"/>
    <pivotField numFmtId="1" showAll="0"/>
    <pivotField numFmtId="1" showAll="0"/>
    <pivotField numFmtId="1" showAll="0"/>
    <pivotField numFmtId="1" showAll="0"/>
    <pivotField numFmtId="9" showAll="0"/>
    <pivotField numFmtId="9" showAll="0"/>
    <pivotField numFmtId="1" showAll="0"/>
    <pivotField numFmtId="1" showAll="0"/>
    <pivotField numFmtId="1" showAll="0"/>
    <pivotField numFmtId="1" showAll="0"/>
    <pivotField numFmtId="1" showAll="0"/>
    <pivotField numFmtId="9" showAll="0"/>
    <pivotField numFmtId="9" showAll="0"/>
    <pivotField numFmtId="9" showAll="0"/>
    <pivotField showAll="0"/>
    <pivotField showAll="0"/>
    <pivotField dataField="1" numFmtId="1" showAll="0"/>
    <pivotField numFmtId="1" showAll="0"/>
    <pivotField numFmtId="1" showAll="0"/>
    <pivotField numFmtId="1" showAll="0"/>
    <pivotField showAll="0"/>
    <pivotField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t="grand">
      <x/>
    </i>
  </rowItems>
  <colItems count="1">
    <i/>
  </colItems>
  <pageFields count="1">
    <pageField fld="0" hier="-1"/>
  </pageFields>
  <dataFields count="1">
    <dataField name="Sum of # Functional hand washing stations during reporting period" fld="1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3"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B52:D59" firstHeaderRow="0" firstDataRow="1" firstDataCol="1" rowPageCount="3" colPageCount="1"/>
  <pivotFields count="158">
    <pivotField axis="axisRow" subtotalTop="0" multipleItemSelectionAllowed="1" showAll="0">
      <items count="29">
        <item m="1" x="26"/>
        <item m="1" x="12"/>
        <item m="1" x="19"/>
        <item m="1" x="1"/>
        <item m="1" x="27"/>
        <item m="1" x="7"/>
        <item m="1" x="25"/>
        <item m="1" x="21"/>
        <item m="1" x="23"/>
        <item m="1" x="24"/>
        <item m="1" x="15"/>
        <item m="1" x="17"/>
        <item m="1" x="20"/>
        <item m="1" x="22"/>
        <item m="1" x="10"/>
        <item m="1" x="13"/>
        <item m="1" x="16"/>
        <item m="1" x="18"/>
        <item m="1" x="5"/>
        <item m="1" x="8"/>
        <item m="1" x="11"/>
        <item m="1" x="14"/>
        <item m="1" x="3"/>
        <item m="1" x="4"/>
        <item m="1" x="6"/>
        <item m="1" x="9"/>
        <item x="0"/>
        <item m="1" x="2"/>
        <item t="default"/>
      </items>
    </pivotField>
    <pivotField showAll="0" defaultSubtotal="0"/>
    <pivotField showAll="0" defaultSubtotal="0"/>
    <pivotField subtotalTop="0" showAll="0"/>
    <pivotField axis="axisRow" subtotalTop="0" showAll="0">
      <items count="7">
        <item x="0"/>
        <item m="1" x="4"/>
        <item x="1"/>
        <item m="1" x="2"/>
        <item m="1" x="3"/>
        <item m="1" x="5"/>
        <item t="default"/>
      </items>
    </pivotField>
    <pivotField subtotalTop="0" showAll="0"/>
    <pivotField axis="axisPage" multipleItemSelectionAllowed="1" showAll="0" defaultSubtotal="0">
      <items count="15">
        <item x="1"/>
        <item x="2"/>
        <item m="1" x="11"/>
        <item m="1" x="7"/>
        <item m="1" x="6"/>
        <item h="1" m="1" x="13"/>
        <item m="1" x="10"/>
        <item h="1" m="1" x="14"/>
        <item h="1" m="1" x="8"/>
        <item h="1" m="1" x="9"/>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7">
    <i>
      <x/>
    </i>
    <i r="1">
      <x v="26"/>
    </i>
    <i t="default">
      <x/>
    </i>
    <i>
      <x v="2"/>
    </i>
    <i r="1">
      <x v="26"/>
    </i>
    <i t="default">
      <x v="2"/>
    </i>
    <i t="grand">
      <x/>
    </i>
  </rowItems>
  <colFields count="1">
    <field x="-2"/>
  </colFields>
  <colItems count="2">
    <i>
      <x/>
    </i>
    <i i="1">
      <x v="1"/>
    </i>
  </colItems>
  <pageFields count="3">
    <pageField fld="145" hier="-1"/>
    <pageField fld="6" hier="-1"/>
    <pageField fld="146" item="0" hier="-1"/>
  </pageFields>
  <dataFields count="2">
    <dataField name="Sum of #_Water sources tested for fecal coliform " fld="34" baseField="0" baseItem="0"/>
    <dataField name="Sum of #_Water sources passed" fld="35" baseField="0" baseItem="0"/>
  </dataFields>
  <formats count="10">
    <format dxfId="207">
      <pivotArea field="4" type="button" dataOnly="0" labelOnly="1" outline="0" axis="axisRow" fieldPosition="0"/>
    </format>
    <format dxfId="206">
      <pivotArea type="all" dataOnly="0" outline="0" fieldPosition="0"/>
    </format>
    <format dxfId="205">
      <pivotArea outline="0" collapsedLevelsAreSubtotals="1" fieldPosition="0"/>
    </format>
    <format dxfId="204">
      <pivotArea field="4" type="button" dataOnly="0" labelOnly="1" outline="0" axis="axisRow" fieldPosition="0"/>
    </format>
    <format dxfId="203">
      <pivotArea dataOnly="0" labelOnly="1" fieldPosition="0">
        <references count="1">
          <reference field="4" count="0"/>
        </references>
      </pivotArea>
    </format>
    <format dxfId="202">
      <pivotArea type="all" dataOnly="0" outline="0" fieldPosition="0"/>
    </format>
    <format dxfId="201">
      <pivotArea type="all" dataOnly="0" outline="0" fieldPosition="0"/>
    </format>
    <format dxfId="200">
      <pivotArea outline="0" collapsedLevelsAreSubtotals="1" fieldPosition="0"/>
    </format>
    <format dxfId="199">
      <pivotArea field="4" type="button" dataOnly="0" labelOnly="1" outline="0" axis="axisRow" fieldPosition="0"/>
    </format>
    <format dxfId="198">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3"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Township">
  <location ref="B10:G23" firstHeaderRow="0" firstDataRow="1" firstDataCol="1" rowPageCount="5" colPageCount="1"/>
  <pivotFields count="158">
    <pivotField axis="axisPage" subtotalTop="0" multipleItemSelectionAllowed="1" showAll="0">
      <items count="29">
        <item m="1" x="26"/>
        <item m="1" x="12"/>
        <item h="1" m="1" x="19"/>
        <item m="1" x="1"/>
        <item m="1" x="27"/>
        <item m="1" x="7"/>
        <item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sortType="ascending">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axis="axisPage" multipleItemSelectionAllowed="1" showAll="0" defaultSubtotal="0">
      <items count="15">
        <item x="1"/>
        <item x="2"/>
        <item m="1" x="11"/>
        <item m="1" x="7"/>
        <item h="1" m="1" x="6"/>
        <item h="1" m="1" x="13"/>
        <item h="1" m="1" x="10"/>
        <item h="1" m="1" x="14"/>
        <item h="1" m="1" x="8"/>
        <item m="1" x="9"/>
        <item h="1" m="1" x="12"/>
        <item h="1" m="1" x="4"/>
        <item h="1" m="1" x="5"/>
        <item x="3"/>
        <item x="0"/>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m="1" x="3"/>
        <item t="default"/>
      </items>
    </pivotField>
    <pivotField axis="axisPage" subtotalTop="0" multipleItemSelectionAllowed="1" showAll="0">
      <items count="4">
        <item x="0"/>
        <item h="1" x="1"/>
        <item h="1" x="2"/>
        <item t="default"/>
      </items>
    </pivotField>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3">
    <i>
      <x v="1"/>
    </i>
    <i>
      <x v="4"/>
    </i>
    <i>
      <x v="5"/>
    </i>
    <i>
      <x v="17"/>
    </i>
    <i>
      <x v="21"/>
    </i>
    <i>
      <x v="22"/>
    </i>
    <i>
      <x v="24"/>
    </i>
    <i>
      <x v="28"/>
    </i>
    <i>
      <x v="40"/>
    </i>
    <i>
      <x v="42"/>
    </i>
    <i>
      <x v="43"/>
    </i>
    <i>
      <x v="45"/>
    </i>
    <i t="grand">
      <x/>
    </i>
  </rowItems>
  <colFields count="1">
    <field x="-2"/>
  </colFields>
  <colItems count="5">
    <i>
      <x/>
    </i>
    <i i="1">
      <x v="1"/>
    </i>
    <i i="2">
      <x v="2"/>
    </i>
    <i i="3">
      <x v="3"/>
    </i>
    <i i="4">
      <x v="4"/>
    </i>
  </colItems>
  <pageFields count="5">
    <pageField fld="0" hier="-1"/>
    <pageField fld="145" hier="-1"/>
    <pageField fld="4" item="0" hier="-1"/>
    <pageField fld="6" hier="-1"/>
    <pageField fld="146" hier="-1"/>
  </pageFields>
  <dataFields count="5">
    <dataField name="# of sites" fld="7" subtotal="count" baseField="0" baseItem="0"/>
    <dataField name="PoP " fld="9" baseField="0" baseItem="0" numFmtId="164"/>
    <dataField name=" % Water GAP" fld="154" baseField="0" baseItem="0" numFmtId="9"/>
    <dataField name=" % Sanitation GAP" fld="156" baseField="0" baseItem="0" numFmtId="9"/>
    <dataField name=" % Hygiene Gap" fld="151" baseField="0" baseItem="0" numFmtId="9"/>
  </dataFields>
  <formats count="35">
    <format dxfId="242">
      <pivotArea type="all" dataOnly="0" outline="0" fieldPosition="0"/>
    </format>
    <format dxfId="241">
      <pivotArea outline="0" collapsedLevelsAreSubtotals="1" fieldPosition="0"/>
    </format>
    <format dxfId="240">
      <pivotArea field="5" type="button" dataOnly="0" labelOnly="1" outline="0" axis="axisRow" fieldPosition="0"/>
    </format>
    <format dxfId="239">
      <pivotArea dataOnly="0" labelOnly="1" outline="0" axis="axisValues" fieldPosition="0"/>
    </format>
    <format dxfId="238">
      <pivotArea dataOnly="0" labelOnly="1" fieldPosition="0">
        <references count="1">
          <reference field="5" count="0"/>
        </references>
      </pivotArea>
    </format>
    <format dxfId="237">
      <pivotArea dataOnly="0" labelOnly="1" grandRow="1" outline="0" fieldPosition="0"/>
    </format>
    <format dxfId="236">
      <pivotArea dataOnly="0" labelOnly="1" outline="0" axis="axisValues" fieldPosition="0"/>
    </format>
    <format dxfId="235">
      <pivotArea type="all" dataOnly="0" outline="0" fieldPosition="0"/>
    </format>
    <format dxfId="234">
      <pivotArea field="5" type="button" dataOnly="0" labelOnly="1" outline="0" axis="axisRow" fieldPosition="0"/>
    </format>
    <format dxfId="233">
      <pivotArea dataOnly="0" labelOnly="1" outline="0" axis="axisValues" fieldPosition="0"/>
    </format>
    <format dxfId="232">
      <pivotArea dataOnly="0" labelOnly="1" fieldPosition="0">
        <references count="1">
          <reference field="5" count="0"/>
        </references>
      </pivotArea>
    </format>
    <format dxfId="231">
      <pivotArea dataOnly="0" labelOnly="1" outline="0" axis="axisValues" fieldPosition="0"/>
    </format>
    <format dxfId="230">
      <pivotArea field="5" type="button" dataOnly="0" labelOnly="1" outline="0" axis="axisRow" fieldPosition="0"/>
    </format>
    <format dxfId="229">
      <pivotArea type="all" dataOnly="0" outline="0" fieldPosition="0"/>
    </format>
    <format dxfId="228">
      <pivotArea field="5" type="button" dataOnly="0" labelOnly="1" outline="0" axis="axisRow" fieldPosition="0"/>
    </format>
    <format dxfId="227">
      <pivotArea dataOnly="0" labelOnly="1" fieldPosition="0">
        <references count="1">
          <reference field="5" count="0"/>
        </references>
      </pivotArea>
    </format>
    <format dxfId="226">
      <pivotArea dataOnly="0" labelOnly="1" outline="0" fieldPosition="0">
        <references count="1">
          <reference field="4294967294" count="1">
            <x v="1"/>
          </reference>
        </references>
      </pivotArea>
    </format>
    <format dxfId="225">
      <pivotArea type="all" dataOnly="0" outline="0" fieldPosition="0"/>
    </format>
    <format dxfId="224">
      <pivotArea outline="0" collapsedLevelsAreSubtotals="1" fieldPosition="0"/>
    </format>
    <format dxfId="223">
      <pivotArea field="5" type="button" dataOnly="0" labelOnly="1" outline="0" axis="axisRow" fieldPosition="0"/>
    </format>
    <format dxfId="222">
      <pivotArea dataOnly="0" labelOnly="1" fieldPosition="0">
        <references count="1">
          <reference field="5" count="0"/>
        </references>
      </pivotArea>
    </format>
    <format dxfId="221">
      <pivotArea dataOnly="0" labelOnly="1" outline="0" fieldPosition="0">
        <references count="1">
          <reference field="4294967294" count="1">
            <x v="1"/>
          </reference>
        </references>
      </pivotArea>
    </format>
    <format dxfId="220">
      <pivotArea field="5" type="button" dataOnly="0" labelOnly="1" outline="0" axis="axisRow" fieldPosition="0"/>
    </format>
    <format dxfId="219">
      <pivotArea dataOnly="0" labelOnly="1" outline="0" fieldPosition="0">
        <references count="1">
          <reference field="4294967294" count="1">
            <x v="1"/>
          </reference>
        </references>
      </pivotArea>
    </format>
    <format dxfId="218">
      <pivotArea outline="0" collapsedLevelsAreSubtotals="1" fieldPosition="0">
        <references count="1">
          <reference field="4294967294" count="1" selected="0">
            <x v="1"/>
          </reference>
        </references>
      </pivotArea>
    </format>
    <format dxfId="217">
      <pivotArea type="all" dataOnly="0" outline="0" fieldPosition="0"/>
    </format>
    <format dxfId="216">
      <pivotArea outline="0" collapsedLevelsAreSubtotals="1" fieldPosition="0"/>
    </format>
    <format dxfId="215">
      <pivotArea field="5" type="button" dataOnly="0" labelOnly="1" outline="0" axis="axisRow" fieldPosition="0"/>
    </format>
    <format dxfId="214">
      <pivotArea dataOnly="0" labelOnly="1" fieldPosition="0">
        <references count="1">
          <reference field="5" count="13">
            <x v="1"/>
            <x v="4"/>
            <x v="5"/>
            <x v="17"/>
            <x v="21"/>
            <x v="22"/>
            <x v="24"/>
            <x v="28"/>
            <x v="37"/>
            <x v="40"/>
            <x v="42"/>
            <x v="43"/>
            <x v="45"/>
          </reference>
        </references>
      </pivotArea>
    </format>
    <format dxfId="213">
      <pivotArea dataOnly="0" labelOnly="1" grandRow="1" outline="0" fieldPosition="0"/>
    </format>
    <format dxfId="212">
      <pivotArea dataOnly="0" labelOnly="1" outline="0" fieldPosition="0">
        <references count="1">
          <reference field="4294967294" count="1">
            <x v="1"/>
          </reference>
        </references>
      </pivotArea>
    </format>
    <format dxfId="211">
      <pivotArea field="4" type="button" dataOnly="0" labelOnly="1" outline="0" axis="axisPage" fieldPosition="2"/>
    </format>
    <format dxfId="210">
      <pivotArea dataOnly="0" labelOnly="1" outline="0" fieldPosition="0">
        <references count="2">
          <reference field="4" count="1">
            <x v="0"/>
          </reference>
          <reference field="145" count="1" selected="0">
            <x v="0"/>
          </reference>
        </references>
      </pivotArea>
    </format>
    <format dxfId="209">
      <pivotArea outline="0" collapsedLevelsAreSubtotals="1" fieldPosition="0">
        <references count="1">
          <reference field="4294967294" count="1" selected="0">
            <x v="3"/>
          </reference>
        </references>
      </pivotArea>
    </format>
    <format dxfId="208">
      <pivotArea outline="0" collapsedLevelsAreSubtotals="1" fieldPosition="0">
        <references count="1">
          <reference field="4294967294" count="1" selected="0">
            <x v="4"/>
          </reference>
        </references>
      </pivotArea>
    </format>
  </formats>
  <conditionalFormats count="1">
    <conditionalFormat priority="18">
      <pivotAreas count="1">
        <pivotArea type="data" outline="0" collapsedLevelsAreSubtotals="1" fieldPosition="0">
          <references count="1">
            <reference field="4294967294" count="3" selected="0">
              <x v="2"/>
              <x v="3"/>
              <x v="4"/>
            </reference>
          </references>
        </pivotArea>
      </pivotAreas>
    </conditionalFormat>
  </conditionalFormats>
  <chartFormats count="1">
    <chartFormat chart="1" format="7"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7" rowHeaderCaption="State" colHeaderCaption=" ">
  <location ref="K266:M276" firstHeaderRow="0" firstDataRow="1" firstDataCol="1" rowPageCount="4" colPageCount="1"/>
  <pivotFields count="158">
    <pivotField axis="axisPage" subtotalTop="0" multipleItemSelectionAllowed="1" showAll="0">
      <items count="29">
        <item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axis="axisRow" subtotalTop="0" showAll="0" sortType="ascending">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0">
    <i>
      <x v="6"/>
    </i>
    <i>
      <x v="7"/>
    </i>
    <i>
      <x v="9"/>
    </i>
    <i>
      <x v="10"/>
    </i>
    <i>
      <x v="13"/>
    </i>
    <i>
      <x v="15"/>
    </i>
    <i>
      <x v="18"/>
    </i>
    <i>
      <x v="26"/>
    </i>
    <i>
      <x v="30"/>
    </i>
    <i>
      <x v="32"/>
    </i>
  </rowItems>
  <colFields count="1">
    <field x="-2"/>
  </colFields>
  <colItems count="2">
    <i>
      <x/>
    </i>
    <i i="1">
      <x v="1"/>
    </i>
  </colItems>
  <pageFields count="4">
    <pageField fld="0" hier="-1"/>
    <pageField fld="145" item="0" hier="-1"/>
    <pageField fld="4" hier="-1"/>
    <pageField fld="6" hier="-1"/>
  </pageFields>
  <dataFields count="2">
    <dataField name="  % Hygiene Coverage" fld="152" baseField="0" baseItem="0" numFmtId="1"/>
    <dataField name="  % Hygiene Gap" fld="151" baseField="0" baseItem="0" numFmtId="1"/>
  </dataFields>
  <formats count="11">
    <format dxfId="253">
      <pivotArea type="all" dataOnly="0" outline="0" fieldPosition="0"/>
    </format>
    <format dxfId="252">
      <pivotArea outline="0" collapsedLevelsAreSubtotals="1" fieldPosition="0"/>
    </format>
    <format dxfId="251">
      <pivotArea field="4" type="button" dataOnly="0" labelOnly="1" outline="0" axis="axisPage" fieldPosition="2"/>
    </format>
    <format dxfId="250">
      <pivotArea type="all" dataOnly="0" outline="0" fieldPosition="0"/>
    </format>
    <format dxfId="249">
      <pivotArea outline="0" collapsedLevelsAreSubtotals="1" fieldPosition="0"/>
    </format>
    <format dxfId="248">
      <pivotArea outline="0" collapsedLevelsAreSubtotals="1" fieldPosition="0"/>
    </format>
    <format dxfId="247">
      <pivotArea field="5" type="button" dataOnly="0" labelOnly="1" outline="0" axis="axisRow" fieldPosition="0"/>
    </format>
    <format dxfId="246">
      <pivotArea field="5" type="button" dataOnly="0" labelOnly="1" outline="0" axis="axisRow" fieldPosition="0"/>
    </format>
    <format dxfId="245">
      <pivotArea field="5" type="button" dataOnly="0" labelOnly="1" outline="0" axis="axisRow" fieldPosition="0"/>
    </format>
    <format dxfId="244">
      <pivotArea field="4" type="button" dataOnly="0" labelOnly="1" outline="0" axis="axisPage" fieldPosition="2"/>
    </format>
    <format dxfId="243">
      <pivotArea dataOnly="0" labelOnly="1" outline="0" fieldPosition="0">
        <references count="2">
          <reference field="4" count="0"/>
          <reference field="145"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9">
  <location ref="J120:K128" firstHeaderRow="1" firstDataRow="2" firstDataCol="1" rowPageCount="4" colPageCount="1"/>
  <pivotFields count="158">
    <pivotField axis="axisPage" subtotalTop="0" multipleItemSelectionAllowed="1" showAll="0">
      <items count="29">
        <item m="1" x="26"/>
        <item m="1" x="12"/>
        <item m="1" x="27"/>
        <item h="1" m="1" x="19"/>
        <item m="1" x="7"/>
        <item h="1" m="1" x="1"/>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multipleItemSelectionAllowed="1" showAll="0">
      <items count="7">
        <item h="1" x="0"/>
        <item h="1" m="1" x="4"/>
        <item x="1"/>
        <item m="1" x="2"/>
        <item h="1" m="1" x="3"/>
        <item h="1" m="1" x="5"/>
        <item t="default"/>
      </items>
    </pivotField>
    <pivotField subtotalTop="0" showAll="0"/>
    <pivotField axis="axisPage" multipleItemSelectionAllowed="1" showAll="0" defaultSubtotal="0">
      <items count="15">
        <item x="1"/>
        <item x="2"/>
        <item m="1" x="11"/>
        <item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h="1"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0"/>
        <item x="1"/>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41"/>
  </colFields>
  <colItems count="1">
    <i>
      <x v="339"/>
    </i>
  </colItems>
  <pageFields count="4">
    <pageField fld="0" hier="-1"/>
    <pageField fld="4" hier="-1"/>
    <pageField fld="145"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9" baseField="0" baseItem="0"/>
    <dataField name="Sum of #_Non-functional latrines" fld="45" baseField="0" baseItem="0"/>
  </dataFields>
  <formats count="10">
    <format dxfId="263">
      <pivotArea field="4" type="button" dataOnly="0" labelOnly="1" outline="0" axis="axisPage" fieldPosition="1"/>
    </format>
    <format dxfId="262">
      <pivotArea type="all" dataOnly="0" outline="0" fieldPosition="0"/>
    </format>
    <format dxfId="261">
      <pivotArea outline="0" collapsedLevelsAreSubtotals="1" fieldPosition="0"/>
    </format>
    <format dxfId="260">
      <pivotArea type="origin" dataOnly="0" labelOnly="1" outline="0" fieldPosition="0"/>
    </format>
    <format dxfId="259">
      <pivotArea type="topRight" dataOnly="0" labelOnly="1" outline="0" fieldPosition="0"/>
    </format>
    <format dxfId="258">
      <pivotArea field="-2" type="button" dataOnly="0" labelOnly="1" outline="0" axis="axisRow" fieldPosition="0"/>
    </format>
    <format dxfId="257">
      <pivotArea type="all" dataOnly="0" outline="0" fieldPosition="0"/>
    </format>
    <format dxfId="256">
      <pivotArea dataOnly="0" labelOnly="1" outline="0" fieldPosition="0">
        <references count="1">
          <reference field="4294967294" count="1">
            <x v="0"/>
          </reference>
        </references>
      </pivotArea>
    </format>
    <format dxfId="255">
      <pivotArea field="4" type="button" dataOnly="0" labelOnly="1" outline="0" axis="axisPage" fieldPosition="1"/>
    </format>
    <format dxfId="254">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3"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38:D243" firstHeaderRow="0" firstDataRow="1" firstDataCol="1" rowPageCount="4" colPageCount="1"/>
  <pivotFields count="158">
    <pivotField axis="axisPage" subtotalTop="0" multipleItemSelectionAllowed="1" showAll="0">
      <items count="29">
        <item h="1" m="1" x="26"/>
        <item m="1" x="12"/>
        <item m="1" x="27"/>
        <item h="1" m="1" x="19"/>
        <item m="1" x="7"/>
        <item h="1" m="1" x="1"/>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showAll="0">
      <items count="7">
        <item x="0"/>
        <item h="1" m="1" x="4"/>
        <item h="1" x="1"/>
        <item h="1" m="1" x="2"/>
        <item h="1" m="1" x="3"/>
        <item h="1"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41"/>
  </rowFields>
  <rowItems count="5">
    <i>
      <x/>
    </i>
    <i r="1">
      <x v="339"/>
    </i>
    <i r="1">
      <x v="340"/>
    </i>
    <i t="default">
      <x/>
    </i>
    <i t="grand">
      <x/>
    </i>
  </rowItems>
  <colFields count="1">
    <field x="-2"/>
  </colFields>
  <colItems count="2">
    <i>
      <x/>
    </i>
    <i i="1">
      <x v="1"/>
    </i>
  </colItems>
  <pageFields count="4">
    <pageField fld="146" item="0" hier="-1"/>
    <pageField fld="0" hier="-1"/>
    <pageField fld="145" item="0" hier="-1"/>
    <pageField fld="6" hier="-1"/>
  </pageFields>
  <dataFields count="2">
    <dataField name="Sum of Total HH" fld="8" baseField="2" baseItem="0" numFmtId="3"/>
    <dataField name="Sum of Total PoP " fld="9" baseField="0" baseItem="0"/>
  </dataFields>
  <formats count="14">
    <format dxfId="277">
      <pivotArea type="all" dataOnly="0" outline="0" fieldPosition="0"/>
    </format>
    <format dxfId="276">
      <pivotArea type="all" dataOnly="0" outline="0" fieldPosition="0"/>
    </format>
    <format dxfId="275">
      <pivotArea outline="0" collapsedLevelsAreSubtotals="1" fieldPosition="0"/>
    </format>
    <format dxfId="274">
      <pivotArea field="4" type="button" dataOnly="0" labelOnly="1" outline="0" axis="axisRow" fieldPosition="0"/>
    </format>
    <format dxfId="273">
      <pivotArea dataOnly="0" labelOnly="1" fieldPosition="0">
        <references count="1">
          <reference field="4" count="0"/>
        </references>
      </pivotArea>
    </format>
    <format dxfId="272">
      <pivotArea dataOnly="0" labelOnly="1" grandRow="1" outline="0" fieldPosition="0"/>
    </format>
    <format dxfId="271">
      <pivotArea dataOnly="0" labelOnly="1" outline="0" fieldPosition="0">
        <references count="1">
          <reference field="4294967294" count="1">
            <x v="0"/>
          </reference>
        </references>
      </pivotArea>
    </format>
    <format dxfId="270">
      <pivotArea outline="0" fieldPosition="0">
        <references count="1">
          <reference field="4294967294" count="1">
            <x v="0"/>
          </reference>
        </references>
      </pivotArea>
    </format>
    <format dxfId="269">
      <pivotArea type="all" dataOnly="0" outline="0" fieldPosition="0"/>
    </format>
    <format dxfId="268">
      <pivotArea outline="0" collapsedLevelsAreSubtotals="1" fieldPosition="0"/>
    </format>
    <format dxfId="267">
      <pivotArea field="4" type="button" dataOnly="0" labelOnly="1" outline="0" axis="axisRow" fieldPosition="0"/>
    </format>
    <format dxfId="266">
      <pivotArea dataOnly="0" labelOnly="1" fieldPosition="0">
        <references count="1">
          <reference field="4" count="0"/>
        </references>
      </pivotArea>
    </format>
    <format dxfId="265">
      <pivotArea dataOnly="0" labelOnly="1" grandRow="1" outline="0" fieldPosition="0"/>
    </format>
    <format dxfId="264">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2" rowHeaderCaption="State" colHeaderCaption=" ">
  <location ref="J188:L198" firstHeaderRow="0" firstDataRow="1" firstDataCol="1" rowPageCount="4" colPageCount="1"/>
  <pivotFields count="158">
    <pivotField axis="axisPage" subtotalTop="0" multipleItemSelectionAllowed="1" showAll="0">
      <items count="29">
        <item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items count="48">
        <item m="1" x="31"/>
        <item x="0"/>
        <item m="1" x="44"/>
        <item x="2"/>
        <item x="3"/>
        <item x="21"/>
        <item x="23"/>
        <item x="13"/>
        <item m="1" x="39"/>
        <item m="1" x="26"/>
        <item x="14"/>
        <item m="1" x="42"/>
        <item x="7"/>
        <item x="19"/>
        <item m="1" x="37"/>
        <item m="1" x="30"/>
        <item x="5"/>
        <item x="8"/>
        <item x="6"/>
        <item m="1" x="43"/>
        <item x="18"/>
        <item m="1" x="34"/>
        <item x="1"/>
        <item m="1" x="33"/>
        <item x="20"/>
        <item x="16"/>
        <item m="1" x="28"/>
        <item m="1" x="32"/>
        <item m="1" x="38"/>
        <item m="1" x="35"/>
        <item m="1" x="45"/>
        <item m="1" x="41"/>
        <item x="12"/>
        <item m="1" x="40"/>
        <item x="10"/>
        <item x="9"/>
        <item x="4"/>
        <item m="1" x="25"/>
        <item m="1" x="27"/>
        <item m="1" x="24"/>
        <item m="1" x="36"/>
        <item x="15"/>
        <item m="1" x="29"/>
        <item x="17"/>
        <item x="11"/>
        <item m="1" x="46"/>
        <item x="22"/>
        <item t="default"/>
      </items>
    </pivotField>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0">
    <i>
      <x v="5"/>
    </i>
    <i>
      <x v="6"/>
    </i>
    <i>
      <x v="7"/>
    </i>
    <i>
      <x v="10"/>
    </i>
    <i>
      <x v="13"/>
    </i>
    <i>
      <x v="20"/>
    </i>
    <i>
      <x v="24"/>
    </i>
    <i>
      <x v="25"/>
    </i>
    <i>
      <x v="41"/>
    </i>
    <i>
      <x v="43"/>
    </i>
  </rowItems>
  <colFields count="1">
    <field x="-2"/>
  </colFields>
  <colItems count="2">
    <i>
      <x/>
    </i>
    <i i="1">
      <x v="1"/>
    </i>
  </colItems>
  <pageFields count="4">
    <pageField fld="0" hier="-1"/>
    <pageField fld="145" item="0" hier="-1"/>
    <pageField fld="4" item="2" hier="-1"/>
    <pageField fld="6" hier="-1"/>
  </pageFields>
  <dataFields count="2">
    <dataField name="  % Latrine Coverage" fld="155" baseField="0" baseItem="0" numFmtId="1"/>
    <dataField name="  % Latrine GAP" fld="156" baseField="0" baseItem="0" numFmtId="1"/>
  </dataFields>
  <formats count="12">
    <format dxfId="289">
      <pivotArea type="all" dataOnly="0" outline="0" fieldPosition="0"/>
    </format>
    <format dxfId="288">
      <pivotArea outline="0" collapsedLevelsAreSubtotals="1" fieldPosition="0"/>
    </format>
    <format dxfId="287">
      <pivotArea field="4" type="button" dataOnly="0" labelOnly="1" outline="0" axis="axisPage" fieldPosition="2"/>
    </format>
    <format dxfId="286">
      <pivotArea type="all" dataOnly="0" outline="0" fieldPosition="0"/>
    </format>
    <format dxfId="285">
      <pivotArea outline="0" collapsedLevelsAreSubtotals="1" fieldPosition="0"/>
    </format>
    <format dxfId="284">
      <pivotArea outline="0" collapsedLevelsAreSubtotals="1" fieldPosition="0"/>
    </format>
    <format dxfId="283">
      <pivotArea field="5" type="button" dataOnly="0" labelOnly="1" outline="0" axis="axisRow" fieldPosition="0"/>
    </format>
    <format dxfId="282">
      <pivotArea field="5" type="button" dataOnly="0" labelOnly="1" outline="0" axis="axisRow" fieldPosition="0"/>
    </format>
    <format dxfId="281">
      <pivotArea field="5" type="button" dataOnly="0" labelOnly="1" outline="0" axis="axisRow" fieldPosition="0"/>
    </format>
    <format dxfId="280">
      <pivotArea field="4" type="button" dataOnly="0" labelOnly="1" outline="0" axis="axisPage" fieldPosition="2"/>
    </format>
    <format dxfId="279">
      <pivotArea dataOnly="0" labelOnly="1" outline="0" fieldPosition="0">
        <references count="2">
          <reference field="4" count="1">
            <x v="0"/>
          </reference>
          <reference field="145" count="1" selected="0">
            <x v="0"/>
          </reference>
        </references>
      </pivotArea>
    </format>
    <format dxfId="278">
      <pivotArea dataOnly="0" labelOnly="1" outline="0" fieldPosition="0">
        <references count="2">
          <reference field="4" count="1">
            <x v="2"/>
          </reference>
          <reference field="145"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39D1C1C-C340-45D8-ACB2-C3DF346ACF92}" name="PivotTable15"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AI140:AK150" firstHeaderRow="0" firstDataRow="1" firstDataCol="1" rowPageCount="4"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m="1" x="3"/>
        <item h="1" m="1" x="4"/>
        <item h="1" m="1" x="6"/>
        <item h="1"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items count="48">
        <item m="1" x="31"/>
        <item x="0"/>
        <item m="1" x="44"/>
        <item m="1" x="36"/>
        <item x="2"/>
        <item x="3"/>
        <item x="21"/>
        <item x="23"/>
        <item x="11"/>
        <item x="13"/>
        <item x="17"/>
        <item m="1" x="39"/>
        <item m="1" x="26"/>
        <item x="14"/>
        <item n="Laukkaing"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4"/>
        <item m="1" x="24"/>
        <item n="Laukkaing2" m="1" x="46"/>
        <item x="22"/>
        <item t="default"/>
      </items>
    </pivotField>
    <pivotField axis="axisPage" multipleItemSelectionAllowed="1" showAll="0" defaultSubtotal="0">
      <items count="15">
        <item x="1"/>
        <item x="2"/>
        <item m="1" x="11"/>
        <item h="1" m="1" x="9"/>
        <item m="1" x="7"/>
        <item m="1" x="6"/>
        <item h="1" m="1" x="13"/>
        <item m="1" x="10"/>
        <item h="1" m="1" x="14"/>
        <item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0">
    <i>
      <x v="6"/>
    </i>
    <i>
      <x v="7"/>
    </i>
    <i>
      <x v="9"/>
    </i>
    <i>
      <x v="10"/>
    </i>
    <i>
      <x v="13"/>
    </i>
    <i>
      <x v="14"/>
    </i>
    <i>
      <x v="17"/>
    </i>
    <i>
      <x v="25"/>
    </i>
    <i>
      <x v="29"/>
    </i>
    <i>
      <x v="31"/>
    </i>
  </rowItems>
  <colFields count="1">
    <field x="-2"/>
  </colFields>
  <colItems count="2">
    <i>
      <x/>
    </i>
    <i i="1">
      <x v="1"/>
    </i>
  </colItems>
  <pageFields count="4">
    <pageField fld="0" hier="-1"/>
    <pageField fld="4" item="2" hier="-1"/>
    <pageField fld="145" item="0" hier="-1"/>
    <pageField fld="6" hier="-1"/>
  </pageFields>
  <dataFields count="2">
    <dataField name="Reached" fld="105" baseField="0" baseItem="0"/>
    <dataField name="Target (20:1)" fld="111" baseField="0" baseItem="0"/>
  </dataFields>
  <formats count="14">
    <format dxfId="303">
      <pivotArea field="4" type="button" dataOnly="0" labelOnly="1" outline="0" axis="axisPage" fieldPosition="1"/>
    </format>
    <format dxfId="302">
      <pivotArea type="all" dataOnly="0" outline="0" fieldPosition="0"/>
    </format>
    <format dxfId="301">
      <pivotArea type="origin" dataOnly="0" labelOnly="1" outline="0" fieldPosition="0"/>
    </format>
    <format dxfId="300">
      <pivotArea type="topRight" dataOnly="0" labelOnly="1" outline="0" fieldPosition="0"/>
    </format>
    <format dxfId="299">
      <pivotArea field="-2" type="button" dataOnly="0" labelOnly="1" outline="0" axis="axisCol" fieldPosition="0"/>
    </format>
    <format dxfId="298">
      <pivotArea type="all" dataOnly="0" outline="0" fieldPosition="0"/>
    </format>
    <format dxfId="297">
      <pivotArea outline="0" collapsedLevelsAreSubtotals="1" fieldPosition="0"/>
    </format>
    <format dxfId="296">
      <pivotArea type="origin" dataOnly="0" labelOnly="1" outline="0" fieldPosition="0"/>
    </format>
    <format dxfId="295">
      <pivotArea type="topRight" dataOnly="0" labelOnly="1" outline="0" fieldPosition="0"/>
    </format>
    <format dxfId="294">
      <pivotArea field="-2" type="button" dataOnly="0" labelOnly="1" outline="0" axis="axisCol" fieldPosition="0"/>
    </format>
    <format dxfId="293">
      <pivotArea dataOnly="0" labelOnly="1" outline="0" fieldPosition="0">
        <references count="3">
          <reference field="0" count="1" selected="0">
            <x v="7"/>
          </reference>
          <reference field="4" count="1">
            <x v="0"/>
          </reference>
          <reference field="145" count="1" selected="0">
            <x v="0"/>
          </reference>
        </references>
      </pivotArea>
    </format>
    <format dxfId="292">
      <pivotArea type="all" dataOnly="0" outline="0" fieldPosition="0"/>
    </format>
    <format dxfId="291">
      <pivotArea outline="0" collapsedLevelsAreSubtotals="1" fieldPosition="0"/>
    </format>
    <format dxfId="290">
      <pivotArea dataOnly="0" labelOnly="1" outline="0" fieldPosition="0">
        <references count="1">
          <reference field="4294967294" count="1">
            <x v="1"/>
          </reference>
        </references>
      </pivotArea>
    </format>
  </formats>
  <chartFormats count="10">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 chart="35" format="8" series="1">
      <pivotArea type="data" outline="0" fieldPosition="0">
        <references count="1">
          <reference field="4294967294" count="1" selected="0">
            <x v="0"/>
          </reference>
        </references>
      </pivotArea>
    </chartFormat>
    <chartFormat chart="35" format="9"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H295:J299" firstHeaderRow="1" firstDataRow="2" firstDataCol="1" rowPageCount="2" colPageCount="1"/>
  <pivotFields count="158">
    <pivotField axis="axisPage" subtotalTop="0" multipleItemSelectionAllowed="1" showAll="0">
      <items count="29">
        <item m="1" x="26"/>
        <item m="1" x="12"/>
        <item m="1" x="27"/>
        <item h="1" m="1" x="19"/>
        <item m="1" x="7"/>
        <item m="1" x="1"/>
        <item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multipleItemSelectionAllowed="1" showAll="0">
      <items count="7">
        <item h="1" x="0"/>
        <item h="1" m="1" x="4"/>
        <item x="1"/>
        <item m="1" x="2"/>
        <item h="1" m="1" x="3"/>
        <item h="1" m="1" x="5"/>
        <item t="default"/>
      </items>
    </pivotField>
    <pivotField subtotalTop="0" showAll="0"/>
    <pivotField axis="axisRow" showAll="0" defaultSubtotal="0">
      <items count="15">
        <item x="1"/>
        <item x="2"/>
        <item m="1" x="11"/>
        <item m="1" x="9"/>
        <item m="1" x="7"/>
        <item m="1" x="6"/>
        <item m="1" x="13"/>
        <item m="1" x="10"/>
        <item m="1" x="14"/>
        <item m="1" x="8"/>
        <item m="1" x="12"/>
        <item m="1" x="4"/>
        <item m="1" x="5"/>
        <item x="3"/>
        <item x="0"/>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3">
    <i>
      <x/>
    </i>
    <i>
      <x v="1"/>
    </i>
    <i>
      <x v="13"/>
    </i>
  </rowItems>
  <colFields count="1">
    <field x="145"/>
  </colFields>
  <colItems count="2">
    <i>
      <x/>
    </i>
    <i>
      <x v="1"/>
    </i>
  </colItems>
  <pageFields count="2">
    <pageField fld="0" hier="-1"/>
    <pageField fld="4" hier="-1"/>
  </pageFields>
  <dataFields count="1">
    <dataField name="Count of Site Name" fld="7" subtotal="count" baseField="0" baseItem="0"/>
  </dataFields>
  <formats count="17">
    <format dxfId="320">
      <pivotArea type="all" dataOnly="0" outline="0" fieldPosition="0"/>
    </format>
    <format dxfId="319">
      <pivotArea outline="0" collapsedLevelsAreSubtotals="1" fieldPosition="0"/>
    </format>
    <format dxfId="318">
      <pivotArea field="4" type="button" dataOnly="0" labelOnly="1" outline="0" axis="axisPage" fieldPosition="1"/>
    </format>
    <format dxfId="317">
      <pivotArea dataOnly="0" labelOnly="1" fieldPosition="0">
        <references count="1">
          <reference field="4" count="0"/>
        </references>
      </pivotArea>
    </format>
    <format dxfId="316">
      <pivotArea dataOnly="0" labelOnly="1" grandRow="1" outline="0" fieldPosition="0"/>
    </format>
    <format dxfId="315">
      <pivotArea dataOnly="0" labelOnly="1" outline="0" fieldPosition="0">
        <references count="1">
          <reference field="4294967294" count="1">
            <x v="0"/>
          </reference>
        </references>
      </pivotArea>
    </format>
    <format dxfId="314">
      <pivotArea type="all" dataOnly="0" outline="0" fieldPosition="0"/>
    </format>
    <format dxfId="313">
      <pivotArea outline="0" collapsedLevelsAreSubtotals="1" fieldPosition="0"/>
    </format>
    <format dxfId="312">
      <pivotArea type="origin" dataOnly="0" labelOnly="1" outline="0" fieldPosition="0"/>
    </format>
    <format dxfId="311">
      <pivotArea field="145" type="button" dataOnly="0" labelOnly="1" outline="0" axis="axisCol" fieldPosition="0"/>
    </format>
    <format dxfId="310">
      <pivotArea type="topRight" dataOnly="0" labelOnly="1" outline="0" fieldPosition="0"/>
    </format>
    <format dxfId="309">
      <pivotArea dataOnly="0" labelOnly="1" fieldPosition="0">
        <references count="1">
          <reference field="145" count="0"/>
        </references>
      </pivotArea>
    </format>
    <format dxfId="308">
      <pivotArea type="all" dataOnly="0" outline="0" fieldPosition="0"/>
    </format>
    <format dxfId="307">
      <pivotArea outline="0" collapsedLevelsAreSubtotals="1" fieldPosition="0"/>
    </format>
    <format dxfId="306">
      <pivotArea dataOnly="0" labelOnly="1" fieldPosition="0">
        <references count="1">
          <reference field="145" count="0"/>
        </references>
      </pivotArea>
    </format>
    <format dxfId="305">
      <pivotArea field="4" type="button" dataOnly="0" labelOnly="1" outline="0" axis="axisPage" fieldPosition="1"/>
    </format>
    <format dxfId="304">
      <pivotArea dataOnly="0" labelOnly="1" outline="0" fieldPosition="0">
        <references count="1">
          <reference field="4" count="0"/>
        </references>
      </pivotArea>
    </format>
  </formats>
  <chartFormats count="12">
    <chartFormat chart="1" format="0" series="1">
      <pivotArea type="data" outline="0" fieldPosition="0">
        <references count="2">
          <reference field="4294967294" count="1" selected="0">
            <x v="0"/>
          </reference>
          <reference field="145" count="1" selected="0">
            <x v="0"/>
          </reference>
        </references>
      </pivotArea>
    </chartFormat>
    <chartFormat chart="1" format="1" series="1">
      <pivotArea type="data" outline="0" fieldPosition="0">
        <references count="2">
          <reference field="4294967294" count="1" selected="0">
            <x v="0"/>
          </reference>
          <reference field="145" count="1" selected="0">
            <x v="1"/>
          </reference>
        </references>
      </pivotArea>
    </chartFormat>
    <chartFormat chart="6" format="4" series="1">
      <pivotArea type="data" outline="0" fieldPosition="0">
        <references count="2">
          <reference field="4294967294" count="1" selected="0">
            <x v="0"/>
          </reference>
          <reference field="145" count="1" selected="0">
            <x v="0"/>
          </reference>
        </references>
      </pivotArea>
    </chartFormat>
    <chartFormat chart="6" format="5" series="1">
      <pivotArea type="data" outline="0" fieldPosition="0">
        <references count="2">
          <reference field="4294967294" count="1" selected="0">
            <x v="0"/>
          </reference>
          <reference field="145" count="1" selected="0">
            <x v="1"/>
          </reference>
        </references>
      </pivotArea>
    </chartFormat>
    <chartFormat chart="16" format="8" series="1">
      <pivotArea type="data" outline="0" fieldPosition="0">
        <references count="2">
          <reference field="4294967294" count="1" selected="0">
            <x v="0"/>
          </reference>
          <reference field="145" count="1" selected="0">
            <x v="0"/>
          </reference>
        </references>
      </pivotArea>
    </chartFormat>
    <chartFormat chart="16" format="9" series="1">
      <pivotArea type="data" outline="0" fieldPosition="0">
        <references count="2">
          <reference field="4294967294" count="1" selected="0">
            <x v="0"/>
          </reference>
          <reference field="145" count="1" selected="0">
            <x v="1"/>
          </reference>
        </references>
      </pivotArea>
    </chartFormat>
    <chartFormat chart="19" format="8" series="1">
      <pivotArea type="data" outline="0" fieldPosition="0">
        <references count="2">
          <reference field="4294967294" count="1" selected="0">
            <x v="0"/>
          </reference>
          <reference field="145" count="1" selected="0">
            <x v="0"/>
          </reference>
        </references>
      </pivotArea>
    </chartFormat>
    <chartFormat chart="19" format="9" series="1">
      <pivotArea type="data" outline="0" fieldPosition="0">
        <references count="2">
          <reference field="4294967294" count="1" selected="0">
            <x v="0"/>
          </reference>
          <reference field="145" count="1" selected="0">
            <x v="1"/>
          </reference>
        </references>
      </pivotArea>
    </chartFormat>
    <chartFormat chart="16" format="10" series="1">
      <pivotArea type="data" outline="0" fieldPosition="0">
        <references count="2">
          <reference field="4294967294" count="1" selected="0">
            <x v="0"/>
          </reference>
          <reference field="145" count="1" selected="0">
            <x v="3"/>
          </reference>
        </references>
      </pivotArea>
    </chartFormat>
    <chartFormat chart="19" format="10" series="1">
      <pivotArea type="data" outline="0" fieldPosition="0">
        <references count="2">
          <reference field="4294967294" count="1" selected="0">
            <x v="0"/>
          </reference>
          <reference field="145" count="1" selected="0">
            <x v="3"/>
          </reference>
        </references>
      </pivotArea>
    </chartFormat>
    <chartFormat chart="16" format="11"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69:E172" firstHeaderRow="1" firstDataRow="2" firstDataCol="1" rowPageCount="4" colPageCount="1"/>
  <pivotFields count="158">
    <pivotField axis="axisPage" subtotalTop="0" multipleItemSelectionAllowed="1" showAll="0">
      <items count="29">
        <item m="1" x="26"/>
        <item m="1" x="12"/>
        <item m="1" x="27"/>
        <item h="1" m="1" x="19"/>
        <item m="1" x="7"/>
        <item h="1" m="1" x="1"/>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showAll="0">
      <items count="7">
        <item x="0"/>
        <item m="1" x="4"/>
        <item x="1"/>
        <item h="1" m="1" x="2"/>
        <item m="1" x="3"/>
        <item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sortType="ascending" defaultSubtotal="0">
      <items count="4">
        <item x="1"/>
        <item x="2"/>
        <item x="0"/>
        <item x="3"/>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3">
    <i>
      <x/>
    </i>
    <i>
      <x v="1"/>
    </i>
    <i>
      <x v="2"/>
    </i>
  </colItems>
  <pageFields count="4">
    <pageField fld="0" hier="-1"/>
    <pageField fld="145" item="0" hier="-1"/>
    <pageField fld="6" hier="-1"/>
    <pageField fld="146" item="0" hier="-1"/>
  </pageFields>
  <dataFields count="1">
    <dataField name="Count of Is there provision of solid waste management equipment?" fld="50" subtotal="count" baseField="0" baseItem="0"/>
  </dataFields>
  <formats count="11">
    <format dxfId="331">
      <pivotArea type="all" dataOnly="0" outline="0" fieldPosition="0"/>
    </format>
    <format dxfId="330">
      <pivotArea outline="0" collapsedLevelsAreSubtotals="1" fieldPosition="0"/>
    </format>
    <format dxfId="329">
      <pivotArea type="origin" dataOnly="0" labelOnly="1" outline="0" fieldPosition="0"/>
    </format>
    <format dxfId="328">
      <pivotArea type="topRight" dataOnly="0" labelOnly="1" outline="0" fieldPosition="0"/>
    </format>
    <format dxfId="327">
      <pivotArea field="4" type="button" dataOnly="0" labelOnly="1" outline="0" axis="axisRow" fieldPosition="0"/>
    </format>
    <format dxfId="326">
      <pivotArea dataOnly="0" labelOnly="1" fieldPosition="0">
        <references count="1">
          <reference field="4" count="0"/>
        </references>
      </pivotArea>
    </format>
    <format dxfId="325">
      <pivotArea dataOnly="0" labelOnly="1" grandRow="1" outline="0" fieldPosition="0"/>
    </format>
    <format dxfId="324">
      <pivotArea dataOnly="0" labelOnly="1" grandCol="1" outline="0" fieldPosition="0"/>
    </format>
    <format dxfId="323">
      <pivotArea type="all" dataOnly="0" outline="0" fieldPosition="0"/>
    </format>
    <format dxfId="322">
      <pivotArea outline="0" collapsedLevelsAreSubtotals="1" fieldPosition="0"/>
    </format>
    <format dxfId="321">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0D38B07-8EAB-4257-BE84-A387F53E19D2}" name="PivotTable16" cacheId="3" dataOnRows="1"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16" rowHeaderCaption="State">
  <location ref="C455:G462" firstHeaderRow="1" firstDataRow="1" firstDataCol="5" rowPageCount="3" colPageCount="1"/>
  <pivotFields count="158">
    <pivotField axis="axisRow" compact="0" outline="0" subtotalTop="0" showAll="0" defaultSubtotal="0">
      <items count="28">
        <item m="1" x="26"/>
        <item m="1" x="12"/>
        <item m="1" x="27"/>
        <item m="1" x="19"/>
        <item m="1" x="7"/>
        <item m="1" x="1"/>
        <item m="1" x="25"/>
        <item m="1" x="21"/>
        <item m="1" x="23"/>
        <item m="1" x="24"/>
        <item m="1" x="15"/>
        <item m="1" x="17"/>
        <item m="1" x="20"/>
        <item m="1" x="22"/>
        <item m="1" x="10"/>
        <item m="1" x="13"/>
        <item m="1" x="16"/>
        <item m="1" x="18"/>
        <item m="1" x="5"/>
        <item m="1" x="8"/>
        <item m="1" x="11"/>
        <item m="1" x="14"/>
        <item m="1" x="3"/>
        <item m="1" x="4"/>
        <item m="1" x="6"/>
        <item m="1" x="9"/>
        <item x="0"/>
        <item m="1" x="2"/>
      </items>
      <extLst>
        <ext xmlns:x14="http://schemas.microsoft.com/office/spreadsheetml/2009/9/main" uri="{2946ED86-A175-432a-8AC1-64E0C546D7DE}">
          <x14:pivotField fillDownLabels="1"/>
        </ext>
      </extLst>
    </pivotField>
    <pivotField axis="axisRow" compact="0" outline="0" showAll="0" defaultSubtotal="0">
      <items count="72">
        <item h="1" m="1" x="37"/>
        <item h="1" m="1" x="56"/>
        <item h="1" x="15"/>
        <item h="1" m="1" x="59"/>
        <item h="1" m="1" x="45"/>
        <item h="1" m="1" x="71"/>
        <item h="1" m="1" x="38"/>
        <item h="1" m="1" x="46"/>
        <item h="1" x="13"/>
        <item h="1" x="0"/>
        <item h="1" m="1" x="43"/>
        <item h="1" x="2"/>
        <item h="1" m="1" x="30"/>
        <item h="1" m="1" x="66"/>
        <item h="1" m="1" x="47"/>
        <item h="1" m="1" x="60"/>
        <item h="1" x="1"/>
        <item h="1" m="1" x="25"/>
        <item h="1" m="1" x="58"/>
        <item h="1" m="1" x="35"/>
        <item h="1" m="1" x="27"/>
        <item h="1" m="1" x="67"/>
        <item h="1" x="6"/>
        <item h="1" x="14"/>
        <item h="1" x="16"/>
        <item h="1" m="1" x="51"/>
        <item h="1" m="1" x="53"/>
        <item h="1" m="1" x="70"/>
        <item h="1" m="1" x="20"/>
        <item h="1" m="1" x="44"/>
        <item h="1" m="1" x="42"/>
        <item h="1" m="1" x="34"/>
        <item h="1" m="1" x="26"/>
        <item h="1" m="1" x="55"/>
        <item h="1" m="1" x="22"/>
        <item h="1" m="1" x="21"/>
        <item h="1" m="1" x="63"/>
        <item h="1" x="4"/>
        <item h="1" m="1" x="32"/>
        <item h="1" m="1" x="31"/>
        <item h="1" m="1" x="29"/>
        <item h="1" m="1" x="50"/>
        <item h="1" m="1" x="28"/>
        <item h="1" m="1" x="61"/>
        <item h="1" m="1" x="65"/>
        <item h="1" m="1" x="19"/>
        <item h="1" m="1" x="23"/>
        <item h="1" m="1" x="54"/>
        <item h="1" m="1" x="41"/>
        <item h="1" m="1" x="69"/>
        <item h="1" m="1" x="52"/>
        <item h="1" m="1" x="24"/>
        <item h="1" m="1" x="68"/>
        <item h="1" m="1" x="62"/>
        <item x="3"/>
        <item h="1" x="7"/>
        <item h="1" m="1" x="48"/>
        <item h="1" x="5"/>
        <item h="1" m="1" x="36"/>
        <item h="1" m="1" x="40"/>
        <item h="1" m="1" x="57"/>
        <item h="1" m="1" x="39"/>
        <item h="1" m="1" x="64"/>
        <item h="1" x="8"/>
        <item h="1" m="1" x="33"/>
        <item h="1" m="1" x="49"/>
        <item h="1" m="1" x="18"/>
        <item h="1" x="11"/>
        <item x="9"/>
        <item h="1" x="10"/>
        <item h="1" x="12"/>
        <item x="17"/>
      </items>
      <extLst>
        <ext xmlns:x14="http://schemas.microsoft.com/office/spreadsheetml/2009/9/main" uri="{2946ED86-A175-432a-8AC1-64E0C546D7DE}">
          <x14:pivotField fillDownLabels="1"/>
        </ext>
      </extLst>
    </pivotField>
    <pivotField axis="axisRow" compact="0" outline="0" showAll="0" defaultSubtotal="0">
      <items count="64">
        <item m="1" x="34"/>
        <item m="1" x="51"/>
        <item m="1" x="53"/>
        <item m="1" x="44"/>
        <item m="1" x="62"/>
        <item m="1" x="16"/>
        <item m="1" x="35"/>
        <item m="1" x="45"/>
        <item x="10"/>
        <item x="0"/>
        <item m="1" x="25"/>
        <item m="1" x="36"/>
        <item m="1" x="46"/>
        <item x="1"/>
        <item m="1" x="21"/>
        <item m="1" x="52"/>
        <item m="1" x="32"/>
        <item m="1" x="23"/>
        <item m="1" x="58"/>
        <item x="12"/>
        <item x="5"/>
        <item x="11"/>
        <item x="13"/>
        <item m="1" x="57"/>
        <item m="1" x="50"/>
        <item m="1" x="61"/>
        <item m="1" x="26"/>
        <item m="1" x="18"/>
        <item m="1" x="37"/>
        <item m="1" x="42"/>
        <item m="1" x="41"/>
        <item m="1" x="31"/>
        <item m="1" x="63"/>
        <item m="1" x="22"/>
        <item m="1" x="43"/>
        <item m="1" x="19"/>
        <item x="3"/>
        <item m="1" x="29"/>
        <item m="1" x="28"/>
        <item m="1" x="24"/>
        <item m="1" x="48"/>
        <item m="1" x="54"/>
        <item m="1" x="17"/>
        <item m="1" x="60"/>
        <item m="1" x="49"/>
        <item m="1" x="20"/>
        <item m="1" x="59"/>
        <item m="1" x="55"/>
        <item x="2"/>
        <item x="6"/>
        <item m="1" x="27"/>
        <item m="1" x="47"/>
        <item x="4"/>
        <item m="1" x="33"/>
        <item m="1" x="39"/>
        <item m="1" x="38"/>
        <item m="1" x="56"/>
        <item m="1" x="40"/>
        <item x="7"/>
        <item m="1" x="30"/>
        <item m="1" x="15"/>
        <item x="9"/>
        <item x="8"/>
        <item x="1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6">
        <item x="0"/>
        <item h="1" m="1" x="4"/>
        <item h="1" x="1"/>
        <item h="1" m="1" x="2"/>
        <item h="1" m="1" x="3"/>
        <item h="1" m="1" x="5"/>
      </items>
      <extLst>
        <ext xmlns:x14="http://schemas.microsoft.com/office/spreadsheetml/2009/9/main" uri="{2946ED86-A175-432a-8AC1-64E0C546D7DE}">
          <x14:pivotField fillDownLabels="1"/>
        </ext>
      </extLst>
    </pivotField>
    <pivotField axis="axisRow" compact="0" outline="0" subtotalTop="0" showAll="0" defaultSubtotal="0">
      <items count="47">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s>
      <extLst>
        <ext xmlns:x14="http://schemas.microsoft.com/office/spreadsheetml/2009/9/main" uri="{2946ED86-A175-432a-8AC1-64E0C546D7DE}">
          <x14:pivotField fillDownLabels="1"/>
        </ext>
      </extLst>
    </pivotField>
    <pivotField axis="axisPage" compact="0" outline="0" multipleItemSelectionAllowed="1" showAll="0" defaultSubtotal="0">
      <items count="15">
        <item x="1"/>
        <item x="2"/>
        <item m="1" x="11"/>
        <item h="1" m="1" x="9"/>
        <item m="1" x="7"/>
        <item m="1" x="6"/>
        <item h="1" m="1" x="13"/>
        <item m="1" x="10"/>
        <item h="1" m="1" x="14"/>
        <item h="1" m="1" x="8"/>
        <item h="1" m="1" x="12"/>
        <item h="1" m="1" x="4"/>
        <item h="1" m="1" x="5"/>
        <item x="3"/>
        <item x="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
        <item x="0"/>
        <item n="Gap" h="1" x="1"/>
        <item h="1" m="1" x="4"/>
        <item h="1" m="1" x="2"/>
        <item h="1" m="1" x="3"/>
      </items>
      <extLst>
        <ext xmlns:x14="http://schemas.microsoft.com/office/spreadsheetml/2009/9/main" uri="{2946ED86-A175-432a-8AC1-64E0C546D7DE}">
          <x14:pivotField fillDownLabels="1"/>
        </ext>
      </extLst>
    </pivotField>
    <pivotField axis="axisPage" compact="0" outline="0" subtotalTop="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5">
    <field x="0"/>
    <field x="4"/>
    <field x="5"/>
    <field x="1"/>
    <field x="2"/>
  </rowFields>
  <rowItems count="7">
    <i>
      <x v="26"/>
      <x/>
      <x v="1"/>
      <x v="54"/>
      <x v="48"/>
    </i>
    <i r="3">
      <x v="68"/>
      <x v="62"/>
    </i>
    <i r="2">
      <x v="4"/>
      <x v="54"/>
      <x v="48"/>
    </i>
    <i r="2">
      <x v="5"/>
      <x v="54"/>
      <x v="48"/>
    </i>
    <i r="2">
      <x v="28"/>
      <x v="54"/>
      <x v="48"/>
    </i>
    <i r="2">
      <x v="45"/>
      <x v="54"/>
      <x v="48"/>
    </i>
    <i r="3">
      <x v="71"/>
      <x v="63"/>
    </i>
  </rowItems>
  <colItems count="1">
    <i/>
  </colItems>
  <pageFields count="3">
    <pageField fld="145" hier="-1"/>
    <pageField fld="6" hier="-1"/>
    <pageField fld="146" item="0" hier="-1"/>
  </pageFields>
  <formats count="14">
    <format dxfId="345">
      <pivotArea type="all" dataOnly="0" outline="0" fieldPosition="0"/>
    </format>
    <format dxfId="344">
      <pivotArea outline="0" collapsedLevelsAreSubtotals="1" fieldPosition="0"/>
    </format>
    <format dxfId="343">
      <pivotArea field="4" type="button" dataOnly="0" labelOnly="1" outline="0" axis="axisRow" fieldPosition="1"/>
    </format>
    <format dxfId="342">
      <pivotArea dataOnly="0" labelOnly="1" grandRow="1" outline="0" fieldPosition="0"/>
    </format>
    <format dxfId="341">
      <pivotArea type="all" dataOnly="0" outline="0" fieldPosition="0"/>
    </format>
    <format dxfId="340">
      <pivotArea outline="0" collapsedLevelsAreSubtotals="1" fieldPosition="0"/>
    </format>
    <format dxfId="339">
      <pivotArea type="origin" dataOnly="0" labelOnly="1" outline="0" fieldPosition="0"/>
    </format>
    <format dxfId="338">
      <pivotArea field="145" type="button" dataOnly="0" labelOnly="1" outline="0" axis="axisPage" fieldPosition="0"/>
    </format>
    <format dxfId="337">
      <pivotArea type="topRight" dataOnly="0" labelOnly="1" outline="0" fieldPosition="0"/>
    </format>
    <format dxfId="336">
      <pivotArea dataOnly="0" labelOnly="1" fieldPosition="0">
        <references count="1">
          <reference field="145" count="0"/>
        </references>
      </pivotArea>
    </format>
    <format dxfId="335">
      <pivotArea type="all" dataOnly="0" outline="0" fieldPosition="0"/>
    </format>
    <format dxfId="334">
      <pivotArea outline="0" collapsedLevelsAreSubtotals="1" fieldPosition="0"/>
    </format>
    <format dxfId="333">
      <pivotArea field="4" type="button" dataOnly="0" labelOnly="1" outline="0" axis="axisRow" fieldPosition="1"/>
    </format>
    <format dxfId="332">
      <pivotArea outline="0" collapsedLevelsAreSubtotals="1" fieldPosition="0"/>
    </format>
  </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3" applyNumberFormats="0" applyBorderFormats="0" applyFontFormats="0" applyPatternFormats="0" applyAlignmentFormats="0" applyWidthHeightFormats="1" dataCaption="Values" updatedVersion="7" minRefreshableVersion="3" colGrandTotals="0" itemPrintTitles="1" createdVersion="6" indent="0" showHeaders="0" compact="0" compactData="0" multipleFieldFilters="0">
  <location ref="A8:L11" firstHeaderRow="0" firstDataRow="1" firstDataCol="2" rowPageCount="2" colPageCount="1"/>
  <pivotFields count="158">
    <pivotField axis="axisRow" compact="0" outline="0" subtotalTop="0" showAll="0" defaultSubtotal="0">
      <items count="28">
        <item m="1" x="26"/>
        <item m="1" x="19"/>
        <item m="1" x="1"/>
        <item m="1" x="12"/>
        <item m="1" x="27"/>
        <item m="1" x="7"/>
        <item m="1" x="25"/>
        <item m="1" x="21"/>
        <item m="1" x="23"/>
        <item m="1" x="24"/>
        <item m="1" x="15"/>
        <item m="1" x="17"/>
        <item m="1" x="20"/>
        <item m="1" x="22"/>
        <item m="1" x="10"/>
        <item m="1" x="13"/>
        <item m="1" x="16"/>
        <item m="1" x="18"/>
        <item m="1" x="5"/>
        <item m="1" x="8"/>
        <item m="1" x="11"/>
        <item m="1" x="14"/>
        <item m="1" x="3"/>
        <item m="1" x="4"/>
        <item m="1" x="6"/>
        <item m="1" x="9"/>
        <item x="0"/>
        <item m="1" x="2"/>
      </items>
    </pivotField>
    <pivotField compact="0" outline="0" showAll="0" defaultSubtotal="0"/>
    <pivotField compact="0" outline="0" showAll="0" defaultSubtotal="0"/>
    <pivotField compact="0" outline="0" subtotalTop="0" showAll="0" defaultSubtotal="0"/>
    <pivotField axis="axisRow" compact="0" outline="0" subtotalTop="0" showAll="0" defaultSubtotal="0">
      <items count="6">
        <item x="0"/>
        <item m="1" x="4"/>
        <item x="1"/>
        <item m="1" x="2"/>
        <item m="1" x="3"/>
        <item m="1" x="5"/>
      </items>
    </pivotField>
    <pivotField compact="0" outline="0" subtotalTop="0" showAll="0" defaultSubtotal="0"/>
    <pivotField axis="axisPage" compact="0" outline="0" multipleItemSelectionAllowed="1" showAll="0" defaultSubtotal="0">
      <items count="15">
        <item x="1"/>
        <item x="2"/>
        <item m="1" x="11"/>
        <item h="1" m="1" x="13"/>
        <item h="1" m="1" x="14"/>
        <item h="1" m="1" x="7"/>
        <item h="1" m="1" x="10"/>
        <item h="1" m="1" x="6"/>
        <item m="1" x="8"/>
        <item m="1" x="9"/>
        <item h="1" m="1" x="12"/>
        <item h="1" m="1" x="4"/>
        <item h="1" m="1" x="5"/>
        <item h="1" x="3"/>
        <item h="1" x="0"/>
      </items>
    </pivotField>
    <pivotField compact="0" outline="0" subtotalTop="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0"/>
  </rowFields>
  <rowItems count="3">
    <i>
      <x/>
      <x v="26"/>
    </i>
    <i>
      <x v="2"/>
      <x v="26"/>
    </i>
    <i t="grand">
      <x/>
    </i>
  </rowItems>
  <colFields count="1">
    <field x="-2"/>
  </colFields>
  <colItems count="10">
    <i>
      <x/>
    </i>
    <i i="1">
      <x v="1"/>
    </i>
    <i i="2">
      <x v="2"/>
    </i>
    <i i="3">
      <x v="3"/>
    </i>
    <i i="4">
      <x v="4"/>
    </i>
    <i i="5">
      <x v="5"/>
    </i>
    <i i="6">
      <x v="6"/>
    </i>
    <i i="7">
      <x v="7"/>
    </i>
    <i i="8">
      <x v="8"/>
    </i>
    <i i="9">
      <x v="9"/>
    </i>
  </colItems>
  <pageFields count="2">
    <pageField fld="145" item="0" hier="-1"/>
    <pageField fld="6" hier="-1"/>
  </pageFields>
  <dataFields count="10">
    <dataField name="Total Population reached" fld="9" baseField="2" baseItem="0" numFmtId="3"/>
    <dataField name=" HRP1" fld="99" baseField="4" baseItem="0"/>
    <dataField name=" HRP2" fld="107" baseField="0" baseItem="0"/>
    <dataField name=" HRP3" fld="119" baseField="0" baseItem="0"/>
    <dataField name=" HRP4" fld="134" baseField="4" baseItem="0"/>
    <dataField name=" HRP5" fld="135" baseField="4" baseItem="0"/>
    <dataField name=" # People received regular supply of hygiene items" fld="118" baseField="0" baseItem="0"/>
    <dataField name=" # people reached by regular dedicated hygiene promotion" fld="115" baseField="0" baseItem="0"/>
    <dataField name=" # People access to Handwashing Station" fld="128" baseField="0" baseItem="0"/>
    <dataField name=" # students access to functioning school latrines_HRP5" fld="109" baseField="0" baseItem="0"/>
  </dataFields>
  <formats count="53">
    <format dxfId="870">
      <pivotArea field="4" type="button" dataOnly="0" labelOnly="1" outline="0" axis="axisRow" fieldPosition="0"/>
    </format>
    <format dxfId="869">
      <pivotArea type="all" dataOnly="0" outline="0" fieldPosition="0"/>
    </format>
    <format dxfId="868">
      <pivotArea field="4" type="button" dataOnly="0" labelOnly="1" outline="0" axis="axisRow" fieldPosition="0"/>
    </format>
    <format dxfId="867">
      <pivotArea outline="0" fieldPosition="0">
        <references count="1">
          <reference field="4294967294" count="1">
            <x v="0"/>
          </reference>
        </references>
      </pivotArea>
    </format>
    <format dxfId="866">
      <pivotArea dataOnly="0" labelOnly="1" outline="0" fieldPosition="0">
        <references count="1">
          <reference field="4294967294" count="1">
            <x v="0"/>
          </reference>
        </references>
      </pivotArea>
    </format>
    <format dxfId="865">
      <pivotArea type="all" dataOnly="0" outline="0" fieldPosition="0"/>
    </format>
    <format dxfId="864">
      <pivotArea outline="0" collapsedLevelsAreSubtotals="1" fieldPosition="0"/>
    </format>
    <format dxfId="863">
      <pivotArea dataOnly="0" labelOnly="1" fieldPosition="0">
        <references count="1">
          <reference field="4" count="0"/>
        </references>
      </pivotArea>
    </format>
    <format dxfId="862">
      <pivotArea dataOnly="0" labelOnly="1" grandRow="1" outline="0" fieldPosition="0"/>
    </format>
    <format dxfId="861">
      <pivotArea dataOnly="0" labelOnly="1" outline="0" fieldPosition="0">
        <references count="1">
          <reference field="4294967294" count="1">
            <x v="0"/>
          </reference>
        </references>
      </pivotArea>
    </format>
    <format dxfId="860">
      <pivotArea type="all" dataOnly="0" outline="0" fieldPosition="0"/>
    </format>
    <format dxfId="859">
      <pivotArea outline="0" collapsedLevelsAreSubtotals="1" fieldPosition="0"/>
    </format>
    <format dxfId="858">
      <pivotArea dataOnly="0" labelOnly="1" fieldPosition="0">
        <references count="1">
          <reference field="4" count="0"/>
        </references>
      </pivotArea>
    </format>
    <format dxfId="857">
      <pivotArea dataOnly="0" labelOnly="1" grandRow="1" outline="0" fieldPosition="0"/>
    </format>
    <format dxfId="856">
      <pivotArea dataOnly="0" labelOnly="1" outline="0" fieldPosition="0">
        <references count="1">
          <reference field="4294967294" count="1">
            <x v="0"/>
          </reference>
        </references>
      </pivotArea>
    </format>
    <format dxfId="855">
      <pivotArea outline="0" collapsedLevelsAreSubtotals="1" fieldPosition="0"/>
    </format>
    <format dxfId="854">
      <pivotArea outline="0" collapsedLevelsAreSubtotals="1" fieldPosition="0">
        <references count="1">
          <reference field="4294967294" count="1" selected="0">
            <x v="1"/>
          </reference>
        </references>
      </pivotArea>
    </format>
    <format dxfId="853">
      <pivotArea dataOnly="0" labelOnly="1" outline="0" fieldPosition="0">
        <references count="1">
          <reference field="4294967294" count="1">
            <x v="1"/>
          </reference>
        </references>
      </pivotArea>
    </format>
    <format dxfId="852">
      <pivotArea outline="0" collapsedLevelsAreSubtotals="1" fieldPosition="0">
        <references count="1">
          <reference field="4294967294" count="1" selected="0">
            <x v="1"/>
          </reference>
        </references>
      </pivotArea>
    </format>
    <format dxfId="851">
      <pivotArea dataOnly="0" labelOnly="1" outline="0" fieldPosition="0">
        <references count="1">
          <reference field="4294967294" count="1">
            <x v="1"/>
          </reference>
        </references>
      </pivotArea>
    </format>
    <format dxfId="850">
      <pivotArea outline="0" collapsedLevelsAreSubtotals="1" fieldPosition="0">
        <references count="1">
          <reference field="4294967294" count="1" selected="0">
            <x v="2"/>
          </reference>
        </references>
      </pivotArea>
    </format>
    <format dxfId="849">
      <pivotArea dataOnly="0" labelOnly="1" outline="0" fieldPosition="0">
        <references count="1">
          <reference field="4294967294" count="1">
            <x v="2"/>
          </reference>
        </references>
      </pivotArea>
    </format>
    <format dxfId="848">
      <pivotArea outline="0" collapsedLevelsAreSubtotals="1" fieldPosition="0">
        <references count="1">
          <reference field="4294967294" count="1" selected="0">
            <x v="2"/>
          </reference>
        </references>
      </pivotArea>
    </format>
    <format dxfId="847">
      <pivotArea dataOnly="0" labelOnly="1" outline="0" fieldPosition="0">
        <references count="1">
          <reference field="4294967294" count="1">
            <x v="2"/>
          </reference>
        </references>
      </pivotArea>
    </format>
    <format dxfId="846">
      <pivotArea outline="0" collapsedLevelsAreSubtotals="1" fieldPosition="0">
        <references count="1">
          <reference field="4294967294" count="1" selected="0">
            <x v="3"/>
          </reference>
        </references>
      </pivotArea>
    </format>
    <format dxfId="845">
      <pivotArea dataOnly="0" labelOnly="1" outline="0" fieldPosition="0">
        <references count="1">
          <reference field="4294967294" count="1">
            <x v="3"/>
          </reference>
        </references>
      </pivotArea>
    </format>
    <format dxfId="844">
      <pivotArea outline="0" collapsedLevelsAreSubtotals="1" fieldPosition="0">
        <references count="1">
          <reference field="4294967294" count="1" selected="0">
            <x v="3"/>
          </reference>
        </references>
      </pivotArea>
    </format>
    <format dxfId="843">
      <pivotArea dataOnly="0" labelOnly="1" outline="0" fieldPosition="0">
        <references count="1">
          <reference field="4294967294" count="1">
            <x v="3"/>
          </reference>
        </references>
      </pivotArea>
    </format>
    <format dxfId="842">
      <pivotArea outline="0" collapsedLevelsAreSubtotals="1" fieldPosition="0">
        <references count="1">
          <reference field="4294967294" count="1" selected="0">
            <x v="0"/>
          </reference>
        </references>
      </pivotArea>
    </format>
    <format dxfId="841">
      <pivotArea dataOnly="0" labelOnly="1" outline="0" fieldPosition="0">
        <references count="1">
          <reference field="4294967294" count="1">
            <x v="0"/>
          </reference>
        </references>
      </pivotArea>
    </format>
    <format dxfId="840">
      <pivotArea outline="0" collapsedLevelsAreSubtotals="1" fieldPosition="0">
        <references count="1">
          <reference field="4294967294" count="1" selected="0">
            <x v="0"/>
          </reference>
        </references>
      </pivotArea>
    </format>
    <format dxfId="839">
      <pivotArea dataOnly="0" labelOnly="1" outline="0" fieldPosition="0">
        <references count="1">
          <reference field="4294967294" count="1">
            <x v="0"/>
          </reference>
        </references>
      </pivotArea>
    </format>
    <format dxfId="838">
      <pivotArea dataOnly="0" labelOnly="1" outline="0" fieldPosition="0">
        <references count="1">
          <reference field="4294967294" count="4">
            <x v="0"/>
            <x v="1"/>
            <x v="2"/>
            <x v="3"/>
          </reference>
        </references>
      </pivotArea>
    </format>
    <format dxfId="837">
      <pivotArea dataOnly="0" labelOnly="1" outline="0" fieldPosition="0">
        <references count="1">
          <reference field="4294967294" count="4">
            <x v="0"/>
            <x v="1"/>
            <x v="2"/>
            <x v="3"/>
          </reference>
        </references>
      </pivotArea>
    </format>
    <format dxfId="836">
      <pivotArea dataOnly="0" labelOnly="1" outline="0" fieldPosition="0">
        <references count="1">
          <reference field="4294967294" count="1">
            <x v="6"/>
          </reference>
        </references>
      </pivotArea>
    </format>
    <format dxfId="835">
      <pivotArea dataOnly="0" labelOnly="1" outline="0" fieldPosition="0">
        <references count="1">
          <reference field="4294967294" count="1">
            <x v="6"/>
          </reference>
        </references>
      </pivotArea>
    </format>
    <format dxfId="834">
      <pivotArea dataOnly="0" labelOnly="1" outline="0" fieldPosition="0">
        <references count="1">
          <reference field="4294967294" count="1">
            <x v="8"/>
          </reference>
        </references>
      </pivotArea>
    </format>
    <format dxfId="833">
      <pivotArea outline="0" collapsedLevelsAreSubtotals="1" fieldPosition="0">
        <references count="1">
          <reference field="4294967294" count="2" selected="0">
            <x v="6"/>
            <x v="8"/>
          </reference>
        </references>
      </pivotArea>
    </format>
    <format dxfId="832">
      <pivotArea dataOnly="0" labelOnly="1" outline="0" fieldPosition="0">
        <references count="1">
          <reference field="4294967294" count="1">
            <x v="7"/>
          </reference>
        </references>
      </pivotArea>
    </format>
    <format dxfId="831">
      <pivotArea collapsedLevelsAreSubtotals="1" fieldPosition="0">
        <references count="2">
          <reference field="4294967294" count="1" selected="0">
            <x v="7"/>
          </reference>
          <reference field="4" count="1">
            <x v="0"/>
          </reference>
        </references>
      </pivotArea>
    </format>
    <format dxfId="830">
      <pivotArea outline="0" collapsedLevelsAreSubtotals="1" fieldPosition="0">
        <references count="1">
          <reference field="4294967294" count="3" selected="0">
            <x v="6"/>
            <x v="7"/>
            <x v="8"/>
          </reference>
        </references>
      </pivotArea>
    </format>
    <format dxfId="829">
      <pivotArea dataOnly="0" labelOnly="1" outline="0" fieldPosition="0">
        <references count="1">
          <reference field="4294967294" count="3">
            <x v="6"/>
            <x v="7"/>
            <x v="8"/>
          </reference>
        </references>
      </pivotArea>
    </format>
    <format dxfId="828">
      <pivotArea outline="0" collapsedLevelsAreSubtotals="1" fieldPosition="0">
        <references count="1">
          <reference field="4294967294" count="3" selected="0">
            <x v="6"/>
            <x v="7"/>
            <x v="8"/>
          </reference>
        </references>
      </pivotArea>
    </format>
    <format dxfId="827">
      <pivotArea dataOnly="0" labelOnly="1" outline="0" fieldPosition="0">
        <references count="1">
          <reference field="4294967294" count="3">
            <x v="6"/>
            <x v="7"/>
            <x v="8"/>
          </reference>
        </references>
      </pivotArea>
    </format>
    <format dxfId="826">
      <pivotArea outline="0" collapsedLevelsAreSubtotals="1" fieldPosition="0">
        <references count="1">
          <reference field="4294967294" count="1" selected="0">
            <x v="4"/>
          </reference>
        </references>
      </pivotArea>
    </format>
    <format dxfId="825">
      <pivotArea dataOnly="0" labelOnly="1" outline="0" fieldPosition="0">
        <references count="1">
          <reference field="4294967294" count="1">
            <x v="4"/>
          </reference>
        </references>
      </pivotArea>
    </format>
    <format dxfId="824">
      <pivotArea outline="0" collapsedLevelsAreSubtotals="1" fieldPosition="0">
        <references count="1">
          <reference field="4294967294" count="1" selected="0">
            <x v="5"/>
          </reference>
        </references>
      </pivotArea>
    </format>
    <format dxfId="823">
      <pivotArea dataOnly="0" labelOnly="1" outline="0" fieldPosition="0">
        <references count="1">
          <reference field="4294967294" count="1">
            <x v="5"/>
          </reference>
        </references>
      </pivotArea>
    </format>
    <format dxfId="822">
      <pivotArea dataOnly="0" labelOnly="1" outline="0" fieldPosition="0">
        <references count="1">
          <reference field="4294967294" count="5">
            <x v="4"/>
            <x v="5"/>
            <x v="6"/>
            <x v="7"/>
            <x v="8"/>
          </reference>
        </references>
      </pivotArea>
    </format>
    <format dxfId="821">
      <pivotArea dataOnly="0" labelOnly="1" outline="0" fieldPosition="0">
        <references count="1">
          <reference field="4294967294" count="1">
            <x v="9"/>
          </reference>
        </references>
      </pivotArea>
    </format>
    <format dxfId="820">
      <pivotArea dataOnly="0" labelOnly="1" outline="0" fieldPosition="0">
        <references count="1">
          <reference field="4294967294" count="1">
            <x v="9"/>
          </reference>
        </references>
      </pivotArea>
    </format>
    <format dxfId="819">
      <pivotArea dataOnly="0" labelOnly="1" outline="0" fieldPosition="0">
        <references count="1">
          <reference field="4294967294" count="1">
            <x v="9"/>
          </reference>
        </references>
      </pivotArea>
    </format>
    <format dxfId="818">
      <pivotArea dataOnly="0" outline="0" fieldPosition="0">
        <references count="2">
          <reference field="4" count="0" defaultSubtotal="1"/>
          <reference field="145" count="1" selected="0">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3" dataPosition="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4">
  <location ref="X120:Z121" firstHeaderRow="0" firstDataRow="1" firstDataCol="1" rowPageCount="4"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h="1" m="1" x="3"/>
        <item h="1" m="1" x="4"/>
        <item m="1" x="6"/>
        <item h="1"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subtotalTop="0" showAll="0"/>
    <pivotField axis="axisPage" multipleItemSelectionAllowed="1" showAll="0" defaultSubtotal="0">
      <items count="15">
        <item x="1"/>
        <item x="2"/>
        <item m="1" x="11"/>
        <item h="1" m="1" x="9"/>
        <item m="1" x="7"/>
        <item m="1" x="6"/>
        <item h="1" m="1" x="13"/>
        <item m="1" x="10"/>
        <item h="1" m="1" x="14"/>
        <item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41"/>
  </rowFields>
  <rowItems count="1">
    <i>
      <x v="339"/>
    </i>
  </rowItems>
  <colFields count="1">
    <field x="-2"/>
  </colFields>
  <colItems count="2">
    <i>
      <x/>
    </i>
    <i i="1">
      <x v="1"/>
    </i>
  </colItems>
  <pageFields count="4">
    <pageField fld="0" hier="-1"/>
    <pageField fld="4" item="2" hier="-1"/>
    <pageField fld="145" item="0" hier="-1"/>
    <pageField fld="6" hier="-1"/>
  </pageFields>
  <dataFields count="2">
    <dataField name="Accessed" fld="107" baseField="0" baseItem="0"/>
    <dataField name="Not-accessed" fld="157" baseField="0" baseItem="0" numFmtId="1"/>
  </dataFields>
  <formats count="14">
    <format dxfId="359">
      <pivotArea field="4" type="button" dataOnly="0" labelOnly="1" outline="0" axis="axisPage" fieldPosition="1"/>
    </format>
    <format dxfId="358">
      <pivotArea type="all" dataOnly="0" outline="0" fieldPosition="0"/>
    </format>
    <format dxfId="357">
      <pivotArea type="origin" dataOnly="0" labelOnly="1" outline="0" fieldPosition="0"/>
    </format>
    <format dxfId="356">
      <pivotArea type="topRight" dataOnly="0" labelOnly="1" outline="0" fieldPosition="0"/>
    </format>
    <format dxfId="355">
      <pivotArea field="-2" type="button" dataOnly="0" labelOnly="1" outline="0" axis="axisCol" fieldPosition="0"/>
    </format>
    <format dxfId="354">
      <pivotArea type="all" dataOnly="0" outline="0" fieldPosition="0"/>
    </format>
    <format dxfId="353">
      <pivotArea outline="0" collapsedLevelsAreSubtotals="1" fieldPosition="0"/>
    </format>
    <format dxfId="352">
      <pivotArea type="origin" dataOnly="0" labelOnly="1" outline="0" fieldPosition="0"/>
    </format>
    <format dxfId="351">
      <pivotArea type="topRight" dataOnly="0" labelOnly="1" outline="0" fieldPosition="0"/>
    </format>
    <format dxfId="350">
      <pivotArea field="-2" type="button" dataOnly="0" labelOnly="1" outline="0" axis="axisCol" fieldPosition="0"/>
    </format>
    <format dxfId="349">
      <pivotArea dataOnly="0" labelOnly="1" outline="0" fieldPosition="0">
        <references count="3">
          <reference field="0" count="1" selected="0">
            <x v="7"/>
          </reference>
          <reference field="4" count="1">
            <x v="0"/>
          </reference>
          <reference field="145" count="1" selected="0">
            <x v="0"/>
          </reference>
        </references>
      </pivotArea>
    </format>
    <format dxfId="348">
      <pivotArea type="all" dataOnly="0" outline="0" fieldPosition="0"/>
    </format>
    <format dxfId="347">
      <pivotArea outline="0" collapsedLevelsAreSubtotals="1" fieldPosition="0"/>
    </format>
    <format dxfId="346">
      <pivotArea outline="0" collapsedLevelsAreSubtotals="1" fieldPosition="0"/>
    </format>
  </formats>
  <chartFormats count="8">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3"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12:E214" firstHeaderRow="0" firstDataRow="1" firstDataCol="1" rowPageCount="4" colPageCount="1"/>
  <pivotFields count="158">
    <pivotField axis="axisPage" subtotalTop="0" multipleItemSelectionAllowed="1" showAll="0">
      <items count="29">
        <item h="1" m="1" x="26"/>
        <item m="1" x="12"/>
        <item m="1" x="27"/>
        <item h="1" m="1" x="19"/>
        <item m="1" x="7"/>
        <item h="1" m="1" x="1"/>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showAll="0">
      <items count="7">
        <item x="0"/>
        <item h="1" m="1" x="4"/>
        <item h="1" x="1"/>
        <item h="1" m="1" x="2"/>
        <item h="1" m="1" x="3"/>
        <item h="1"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4">
    <pageField fld="146" item="0" hier="-1"/>
    <pageField fld="0" hier="-1"/>
    <pageField fld="145" item="0" hier="-1"/>
    <pageField fld="6" hier="-1"/>
  </pageFields>
  <dataFields count="3">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s>
  <formats count="15">
    <format dxfId="374">
      <pivotArea type="all" dataOnly="0" outline="0" fieldPosition="0"/>
    </format>
    <format dxfId="373">
      <pivotArea type="all" dataOnly="0" outline="0" fieldPosition="0"/>
    </format>
    <format dxfId="372">
      <pivotArea outline="0" collapsedLevelsAreSubtotals="1" fieldPosition="0"/>
    </format>
    <format dxfId="371">
      <pivotArea field="4" type="button" dataOnly="0" labelOnly="1" outline="0" axis="axisRow" fieldPosition="0"/>
    </format>
    <format dxfId="370">
      <pivotArea dataOnly="0" labelOnly="1" fieldPosition="0">
        <references count="1">
          <reference field="4" count="0"/>
        </references>
      </pivotArea>
    </format>
    <format dxfId="369">
      <pivotArea dataOnly="0" labelOnly="1" grandRow="1" outline="0" fieldPosition="0"/>
    </format>
    <format dxfId="368">
      <pivotArea dataOnly="0" labelOnly="1" outline="0" fieldPosition="0">
        <references count="1">
          <reference field="4294967294" count="2">
            <x v="0"/>
            <x v="2"/>
          </reference>
        </references>
      </pivotArea>
    </format>
    <format dxfId="367">
      <pivotArea outline="0" fieldPosition="0">
        <references count="1">
          <reference field="4294967294" count="1">
            <x v="0"/>
          </reference>
        </references>
      </pivotArea>
    </format>
    <format dxfId="366">
      <pivotArea outline="0" fieldPosition="0">
        <references count="1">
          <reference field="4294967294" count="1">
            <x v="2"/>
          </reference>
        </references>
      </pivotArea>
    </format>
    <format dxfId="365">
      <pivotArea type="all" dataOnly="0" outline="0" fieldPosition="0"/>
    </format>
    <format dxfId="364">
      <pivotArea outline="0" collapsedLevelsAreSubtotals="1" fieldPosition="0"/>
    </format>
    <format dxfId="363">
      <pivotArea field="4" type="button" dataOnly="0" labelOnly="1" outline="0" axis="axisRow" fieldPosition="0"/>
    </format>
    <format dxfId="362">
      <pivotArea dataOnly="0" labelOnly="1" fieldPosition="0">
        <references count="1">
          <reference field="4" count="0"/>
        </references>
      </pivotArea>
    </format>
    <format dxfId="361">
      <pivotArea dataOnly="0" labelOnly="1" grandRow="1" outline="0" fieldPosition="0"/>
    </format>
    <format dxfId="360">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3"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8">
  <location ref="C320:L350" firstHeaderRow="0" firstDataRow="1" firstDataCol="4" rowPageCount="2" colPageCount="1"/>
  <pivotFields count="158">
    <pivotField axis="axisPage" compact="0" outline="0" subtotalTop="0" multipleItemSelectionAllowed="1" showAll="0" defaultSubtotal="0">
      <items count="28">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h="1" m="1" x="3"/>
        <item h="1" m="1" x="4"/>
        <item h="1" m="1" x="6"/>
        <item m="1" x="9"/>
        <item x="0"/>
        <item h="1" m="1"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0"/>
        <item h="1" m="1" x="4"/>
        <item h="1" x="1"/>
        <item h="1" m="1" x="2"/>
        <item h="1" m="1" x="3"/>
        <item h="1" m="1" x="5"/>
        <item t="default"/>
      </items>
    </pivotField>
    <pivotField axis="axisRow" compact="0" outline="0" subtotalTop="0" showAll="0" defaultSubtotal="0">
      <items count="47">
        <item m="1" x="31"/>
        <item x="0"/>
        <item m="1" x="44"/>
        <item x="2"/>
        <item x="3"/>
        <item x="21"/>
        <item x="23"/>
        <item x="13"/>
        <item m="1" x="39"/>
        <item m="1" x="26"/>
        <item x="14"/>
        <item m="1" x="42"/>
        <item x="7"/>
        <item x="19"/>
        <item m="1" x="37"/>
        <item m="1" x="30"/>
        <item x="5"/>
        <item x="8"/>
        <item x="6"/>
        <item m="1" x="43"/>
        <item x="18"/>
        <item m="1" x="34"/>
        <item x="1"/>
        <item x="20"/>
        <item x="16"/>
        <item m="1" x="28"/>
        <item m="1" x="32"/>
        <item m="1" x="38"/>
        <item m="1" x="35"/>
        <item m="1" x="45"/>
        <item m="1" x="41"/>
        <item x="12"/>
        <item m="1" x="40"/>
        <item x="10"/>
        <item x="9"/>
        <item x="4"/>
        <item m="1" x="33"/>
        <item m="1" x="25"/>
        <item m="1" x="27"/>
        <item m="1" x="24"/>
        <item m="1" x="36"/>
        <item x="15"/>
        <item m="1" x="29"/>
        <item x="17"/>
        <item x="11"/>
        <item m="1" x="46"/>
        <item x="22"/>
      </items>
    </pivotField>
    <pivotField compact="0" outline="0" showAll="0" defaultSubtotal="0"/>
    <pivotField axis="axisRow" dataField="1" compact="0" outline="0" subtotalTop="0" showAll="0" defaultSubtotal="0">
      <items count="1093">
        <item m="1" x="754"/>
        <item m="1" x="1049"/>
        <item x="21"/>
        <item x="5"/>
        <item x="12"/>
        <item x="49"/>
        <item m="1" x="374"/>
        <item m="1" x="624"/>
        <item m="1" x="287"/>
        <item m="1" x="330"/>
        <item m="1" x="598"/>
        <item m="1" x="716"/>
        <item m="1" x="730"/>
        <item m="1" x="503"/>
        <item m="1" x="332"/>
        <item m="1" x="998"/>
        <item m="1" x="902"/>
        <item m="1" x="344"/>
        <item m="1" x="779"/>
        <item m="1" x="559"/>
        <item m="1" x="940"/>
        <item m="1" x="880"/>
        <item m="1" x="963"/>
        <item m="1" x="985"/>
        <item m="1" x="412"/>
        <item m="1" x="857"/>
        <item m="1" x="447"/>
        <item m="1" x="464"/>
        <item m="1" x="462"/>
        <item m="1" x="370"/>
        <item x="23"/>
        <item m="1" x="1036"/>
        <item m="1" x="1078"/>
        <item m="1" x="790"/>
        <item m="1" x="515"/>
        <item m="1" x="399"/>
        <item x="17"/>
        <item m="1" x="448"/>
        <item m="1" x="938"/>
        <item m="1" x="891"/>
        <item m="1" x="955"/>
        <item m="1" x="276"/>
        <item m="1" x="385"/>
        <item m="1" x="611"/>
        <item m="1" x="850"/>
        <item m="1" x="851"/>
        <item m="1" x="607"/>
        <item m="1" x="581"/>
        <item m="1" x="442"/>
        <item x="13"/>
        <item m="1" x="1072"/>
        <item m="1" x="1026"/>
        <item m="1" x="787"/>
        <item x="25"/>
        <item m="1" x="992"/>
        <item m="1" x="777"/>
        <item m="1" x="809"/>
        <item m="1" x="249"/>
        <item m="1" x="272"/>
        <item x="20"/>
        <item m="1" x="965"/>
        <item m="1" x="484"/>
        <item m="1" x="397"/>
        <item m="1" x="480"/>
        <item x="32"/>
        <item m="1" x="674"/>
        <item m="1" x="839"/>
        <item m="1" x="229"/>
        <item m="1" x="783"/>
        <item m="1" x="1029"/>
        <item m="1" x="697"/>
        <item m="1" x="277"/>
        <item m="1" x="416"/>
        <item m="1" x="958"/>
        <item x="35"/>
        <item m="1" x="890"/>
        <item m="1" x="613"/>
        <item m="1" x="504"/>
        <item m="1" x="996"/>
        <item m="1" x="670"/>
        <item m="1" x="431"/>
        <item x="69"/>
        <item m="1" x="859"/>
        <item x="38"/>
        <item m="1" x="1013"/>
        <item m="1" x="372"/>
        <item m="1" x="1034"/>
        <item m="1" x="745"/>
        <item m="1" x="621"/>
        <item m="1" x="651"/>
        <item m="1" x="918"/>
        <item m="1" x="279"/>
        <item m="1" x="813"/>
        <item m="1" x="738"/>
        <item m="1" x="1011"/>
        <item m="1" x="952"/>
        <item m="1" x="804"/>
        <item m="1" x="655"/>
        <item m="1" x="689"/>
        <item m="1" x="247"/>
        <item x="14"/>
        <item x="51"/>
        <item x="181"/>
        <item m="1" x="340"/>
        <item m="1" x="236"/>
        <item m="1" x="646"/>
        <item x="4"/>
        <item m="1" x="548"/>
        <item m="1" x="616"/>
        <item m="1" x="505"/>
        <item m="1" x="265"/>
        <item x="152"/>
        <item m="1" x="769"/>
        <item x="50"/>
        <item m="1" x="506"/>
        <item m="1" x="775"/>
        <item x="3"/>
        <item m="1" x="260"/>
        <item x="37"/>
        <item x="26"/>
        <item x="16"/>
        <item m="1" x="785"/>
        <item m="1" x="473"/>
        <item m="1" x="301"/>
        <item m="1" x="752"/>
        <item m="1" x="414"/>
        <item x="73"/>
        <item x="1"/>
        <item x="191"/>
        <item m="1" x="710"/>
        <item m="1" x="1044"/>
        <item m="1" x="1088"/>
        <item m="1" x="981"/>
        <item x="64"/>
        <item m="1" x="679"/>
        <item m="1" x="671"/>
        <item m="1" x="893"/>
        <item m="1" x="427"/>
        <item m="1" x="375"/>
        <item m="1" x="421"/>
        <item m="1" x="657"/>
        <item m="1" x="818"/>
        <item m="1" x="1003"/>
        <item m="1" x="770"/>
        <item m="1" x="296"/>
        <item m="1" x="924"/>
        <item m="1" x="524"/>
        <item m="1" x="633"/>
        <item m="1" x="455"/>
        <item m="1" x="586"/>
        <item x="158"/>
        <item m="1" x="529"/>
        <item m="1" x="1080"/>
        <item m="1" x="773"/>
        <item m="1" x="398"/>
        <item m="1" x="490"/>
        <item m="1" x="780"/>
        <item m="1" x="533"/>
        <item m="1" x="316"/>
        <item m="1" x="400"/>
        <item m="1" x="329"/>
        <item m="1" x="786"/>
        <item m="1" x="1031"/>
        <item x="91"/>
        <item x="116"/>
        <item m="1" x="1052"/>
        <item m="1" x="628"/>
        <item m="1" x="321"/>
        <item m="1" x="800"/>
        <item m="1" x="358"/>
        <item m="1" x="856"/>
        <item m="1" x="356"/>
        <item m="1" x="406"/>
        <item m="1" x="663"/>
        <item m="1" x="1066"/>
        <item m="1" x="1082"/>
        <item m="1" x="339"/>
        <item m="1" x="297"/>
        <item m="1" x="392"/>
        <item m="1" x="814"/>
        <item m="1" x="426"/>
        <item m="1" x="499"/>
        <item m="1" x="886"/>
        <item m="1" x="347"/>
        <item m="1" x="964"/>
        <item m="1" x="1002"/>
        <item m="1" x="342"/>
        <item m="1" x="614"/>
        <item m="1" x="967"/>
        <item m="1" x="413"/>
        <item m="1" x="285"/>
        <item x="94"/>
        <item m="1" x="733"/>
        <item m="1" x="232"/>
        <item x="19"/>
        <item m="1" x="951"/>
        <item m="1" x="666"/>
        <item m="1" x="476"/>
        <item m="1" x="419"/>
        <item x="65"/>
        <item m="1" x="957"/>
        <item x="40"/>
        <item m="1" x="299"/>
        <item m="1" x="713"/>
        <item m="1" x="935"/>
        <item m="1" x="848"/>
        <item x="52"/>
        <item x="78"/>
        <item x="132"/>
        <item m="1" x="1090"/>
        <item m="1" x="278"/>
        <item m="1" x="220"/>
        <item m="1" x="909"/>
        <item m="1" x="550"/>
        <item m="1" x="273"/>
        <item m="1" x="755"/>
        <item m="1" x="510"/>
        <item x="53"/>
        <item m="1" x="539"/>
        <item m="1" x="652"/>
        <item x="54"/>
        <item x="60"/>
        <item x="28"/>
        <item x="124"/>
        <item x="159"/>
        <item x="160"/>
        <item x="161"/>
        <item m="1" x="350"/>
        <item m="1" x="289"/>
        <item m="1" x="336"/>
        <item m="1" x="764"/>
        <item m="1" x="875"/>
        <item m="1" x="919"/>
        <item m="1" x="913"/>
        <item x="182"/>
        <item x="183"/>
        <item m="1" x="436"/>
        <item x="74"/>
        <item x="18"/>
        <item x="184"/>
        <item x="185"/>
        <item x="193"/>
        <item x="43"/>
        <item m="1" x="941"/>
        <item x="168"/>
        <item x="162"/>
        <item x="163"/>
        <item x="169"/>
        <item x="196"/>
        <item x="99"/>
        <item m="1" x="580"/>
        <item x="44"/>
        <item x="56"/>
        <item x="59"/>
        <item x="61"/>
        <item m="1" x="727"/>
        <item m="1" x="221"/>
        <item m="1" x="378"/>
        <item x="98"/>
        <item x="111"/>
        <item m="1" x="231"/>
        <item x="128"/>
        <item m="1" x="638"/>
        <item m="1" x="286"/>
        <item m="1" x="966"/>
        <item m="1" x="341"/>
        <item x="198"/>
        <item x="199"/>
        <item m="1" x="263"/>
        <item m="1" x="326"/>
        <item m="1" x="937"/>
        <item x="30"/>
        <item m="1" x="439"/>
        <item m="1" x="528"/>
        <item m="1" x="338"/>
        <item m="1" x="348"/>
        <item m="1" x="497"/>
        <item m="1" x="357"/>
        <item m="1" x="1054"/>
        <item m="1" x="1037"/>
        <item m="1" x="776"/>
        <item m="1" x="282"/>
        <item m="1" x="585"/>
        <item x="164"/>
        <item m="1" x="788"/>
        <item m="1" x="736"/>
        <item x="118"/>
        <item m="1" x="824"/>
        <item m="1" x="394"/>
        <item m="1" x="609"/>
        <item m="1" x="684"/>
        <item m="1" x="295"/>
        <item m="1" x="889"/>
        <item m="1" x="570"/>
        <item x="7"/>
        <item m="1" x="496"/>
        <item m="1" x="686"/>
        <item m="1" x="1017"/>
        <item m="1" x="516"/>
        <item m="1" x="408"/>
        <item m="1" x="522"/>
        <item x="101"/>
        <item x="102"/>
        <item x="123"/>
        <item x="126"/>
        <item m="1" x="707"/>
        <item x="103"/>
        <item m="1" x="417"/>
        <item x="200"/>
        <item x="104"/>
        <item x="125"/>
        <item m="1" x="430"/>
        <item m="1" x="884"/>
        <item x="6"/>
        <item m="1" x="840"/>
        <item m="1" x="1009"/>
        <item x="31"/>
        <item m="1" x="306"/>
        <item m="1" x="558"/>
        <item m="1" x="896"/>
        <item x="41"/>
        <item m="1" x="409"/>
        <item m="1" x="973"/>
        <item m="1" x="317"/>
        <item x="201"/>
        <item x="46"/>
        <item m="1" x="223"/>
        <item x="178"/>
        <item x="113"/>
        <item m="1" x="591"/>
        <item m="1" x="870"/>
        <item m="1" x="702"/>
        <item m="1" x="365"/>
        <item m="1" x="631"/>
        <item m="1" x="962"/>
        <item m="1" x="395"/>
        <item m="1" x="519"/>
        <item m="1" x="387"/>
        <item m="1" x="514"/>
        <item m="1" x="373"/>
        <item m="1" x="433"/>
        <item m="1" x="989"/>
        <item x="42"/>
        <item m="1" x="366"/>
        <item m="1" x="315"/>
        <item x="170"/>
        <item m="1" x="383"/>
        <item m="1" x="619"/>
        <item m="1" x="600"/>
        <item m="1" x="900"/>
        <item x="165"/>
        <item m="1" x="556"/>
        <item m="1" x="302"/>
        <item m="1" x="456"/>
        <item m="1" x="647"/>
        <item m="1" x="532"/>
        <item m="1" x="298"/>
        <item m="1" x="904"/>
        <item m="1" x="557"/>
        <item m="1" x="761"/>
        <item m="1" x="402"/>
        <item m="1" x="485"/>
        <item m="1" x="932"/>
        <item m="1" x="997"/>
        <item m="1" x="401"/>
        <item x="8"/>
        <item x="39"/>
        <item m="1" x="842"/>
        <item x="186"/>
        <item m="1" x="801"/>
        <item m="1" x="410"/>
        <item m="1" x="595"/>
        <item x="119"/>
        <item m="1" x="240"/>
        <item m="1" x="213"/>
        <item m="1" x="1047"/>
        <item m="1" x="835"/>
        <item m="1" x="914"/>
        <item m="1" x="517"/>
        <item m="1" x="1070"/>
        <item x="130"/>
        <item m="1" x="545"/>
        <item m="1" x="700"/>
        <item m="1" x="603"/>
        <item m="1" x="576"/>
        <item m="1" x="418"/>
        <item m="1" x="457"/>
        <item m="1" x="724"/>
        <item m="1" x="388"/>
        <item m="1" x="266"/>
        <item m="1" x="494"/>
        <item m="1" x="863"/>
        <item m="1" x="618"/>
        <item m="1" x="1021"/>
        <item m="1" x="623"/>
        <item m="1" x="512"/>
        <item m="1" x="656"/>
        <item m="1" x="1030"/>
        <item m="1" x="242"/>
        <item x="203"/>
        <item x="187"/>
        <item m="1" x="690"/>
        <item m="1" x="309"/>
        <item m="1" x="729"/>
        <item m="1" x="1020"/>
        <item m="1" x="368"/>
        <item m="1" x="465"/>
        <item m="1" x="216"/>
        <item m="1" x="353"/>
        <item x="204"/>
        <item m="1" x="815"/>
        <item x="129"/>
        <item m="1" x="551"/>
        <item m="1" x="610"/>
        <item m="1" x="225"/>
        <item m="1" x="604"/>
        <item x="179"/>
        <item m="1" x="643"/>
        <item m="1" x="1022"/>
        <item m="1" x="1014"/>
        <item m="1" x="489"/>
        <item x="45"/>
        <item m="1" x="816"/>
        <item m="1" x="861"/>
        <item m="1" x="698"/>
        <item m="1" x="852"/>
        <item m="1" x="887"/>
        <item m="1" x="562"/>
        <item m="1" x="917"/>
        <item m="1" x="720"/>
        <item m="1" x="899"/>
        <item m="1" x="903"/>
        <item x="166"/>
        <item m="1" x="217"/>
        <item m="1" x="308"/>
        <item m="1" x="560"/>
        <item x="188"/>
        <item m="1" x="1085"/>
        <item x="15"/>
        <item m="1" x="699"/>
        <item m="1" x="565"/>
        <item m="1" x="1061"/>
        <item x="171"/>
        <item x="207"/>
        <item m="1" x="313"/>
        <item x="189"/>
        <item x="82"/>
        <item x="83"/>
        <item m="1" x="703"/>
        <item m="1" x="536"/>
        <item m="1" x="834"/>
        <item m="1" x="669"/>
        <item x="172"/>
        <item m="1" x="245"/>
        <item m="1" x="943"/>
        <item m="1" x="860"/>
        <item m="1" x="252"/>
        <item m="1" x="950"/>
        <item m="1" x="858"/>
        <item m="1" x="501"/>
        <item m="1" x="429"/>
        <item m="1" x="806"/>
        <item m="1" x="582"/>
        <item m="1" x="872"/>
        <item m="1" x="692"/>
        <item m="1" x="589"/>
        <item m="1" x="874"/>
        <item m="1" x="927"/>
        <item m="1" x="841"/>
        <item m="1" x="290"/>
        <item m="1" x="1008"/>
        <item m="1" x="930"/>
        <item m="1" x="795"/>
        <item m="1" x="881"/>
        <item x="68"/>
        <item m="1" x="218"/>
        <item m="1" x="508"/>
        <item x="173"/>
        <item x="208"/>
        <item m="1" x="526"/>
        <item x="174"/>
        <item x="175"/>
        <item m="1" x="351"/>
        <item m="1" x="768"/>
        <item m="1" x="701"/>
        <item m="1" x="763"/>
        <item m="1" x="781"/>
        <item m="1" x="590"/>
        <item m="1" x="243"/>
        <item m="1" x="1059"/>
        <item m="1" x="819"/>
        <item m="1" x="1065"/>
        <item m="1" x="836"/>
        <item m="1" x="961"/>
        <item m="1" x="740"/>
        <item m="1" x="1083"/>
        <item m="1" x="1041"/>
        <item m="1" x="731"/>
        <item m="1" x="498"/>
        <item m="1" x="407"/>
        <item m="1" x="257"/>
        <item m="1" x="1019"/>
        <item m="1" x="566"/>
        <item m="1" x="584"/>
        <item m="1" x="793"/>
        <item m="1" x="1091"/>
        <item m="1" x="635"/>
        <item m="1" x="934"/>
        <item m="1" x="288"/>
        <item x="209"/>
        <item m="1" x="711"/>
        <item m="1" x="1027"/>
        <item m="1" x="1053"/>
        <item m="1" x="1028"/>
        <item m="1" x="535"/>
        <item m="1" x="452"/>
        <item m="1" x="405"/>
        <item m="1" x="255"/>
        <item m="1" x="403"/>
        <item m="1" x="230"/>
        <item m="1" x="215"/>
        <item m="1" x="871"/>
        <item m="1" x="420"/>
        <item m="1" x="362"/>
        <item m="1" x="797"/>
        <item m="1" x="988"/>
        <item m="1" x="352"/>
        <item m="1" x="1079"/>
        <item m="1" x="537"/>
        <item m="1" x="772"/>
        <item x="112"/>
        <item m="1" x="319"/>
        <item m="1" x="865"/>
        <item m="1" x="355"/>
        <item m="1" x="855"/>
        <item m="1" x="632"/>
        <item m="1" x="878"/>
        <item m="1" x="458"/>
        <item x="210"/>
        <item m="1" x="825"/>
        <item x="211"/>
        <item m="1" x="1043"/>
        <item m="1" x="977"/>
        <item m="1" x="915"/>
        <item x="84"/>
        <item x="167"/>
        <item x="194"/>
        <item m="1" x="802"/>
        <item m="1" x="509"/>
        <item m="1" x="601"/>
        <item m="1" x="920"/>
        <item m="1" x="737"/>
        <item m="1" x="597"/>
        <item m="1" x="1089"/>
        <item m="1" x="1074"/>
        <item x="212"/>
        <item m="1" x="642"/>
        <item m="1" x="259"/>
        <item m="1" x="888"/>
        <item m="1" x="906"/>
        <item m="1" x="907"/>
        <item m="1" x="980"/>
        <item m="1" x="328"/>
        <item m="1" x="629"/>
        <item m="1" x="437"/>
        <item m="1" x="438"/>
        <item m="1" x="1051"/>
        <item m="1" x="993"/>
        <item m="1" x="975"/>
        <item m="1" x="625"/>
        <item m="1" x="1035"/>
        <item m="1" x="552"/>
        <item m="1" x="746"/>
        <item m="1" x="925"/>
        <item m="1" x="264"/>
        <item m="1" x="481"/>
        <item m="1" x="284"/>
        <item m="1" x="742"/>
        <item m="1" x="683"/>
        <item m="1" x="714"/>
        <item x="120"/>
        <item m="1" x="778"/>
        <item m="1" x="978"/>
        <item m="1" x="322"/>
        <item m="1" x="605"/>
        <item x="72"/>
        <item m="1" x="318"/>
        <item m="1" x="1063"/>
        <item m="1" x="675"/>
        <item m="1" x="808"/>
        <item m="1" x="760"/>
        <item x="135"/>
        <item m="1" x="291"/>
        <item x="75"/>
        <item x="2"/>
        <item m="1" x="667"/>
        <item m="1" x="500"/>
        <item m="1" x="267"/>
        <item m="1" x="1068"/>
        <item m="1" x="827"/>
        <item m="1" x="386"/>
        <item m="1" x="726"/>
        <item m="1" x="630"/>
        <item m="1" x="1087"/>
        <item m="1" x="1005"/>
        <item m="1" x="572"/>
        <item m="1" x="459"/>
        <item m="1" x="549"/>
        <item m="1" x="305"/>
        <item m="1" x="959"/>
        <item m="1" x="756"/>
        <item m="1" x="1045"/>
        <item m="1" x="224"/>
        <item m="1" x="807"/>
        <item x="177"/>
        <item x="27"/>
        <item m="1" x="445"/>
        <item m="1" x="281"/>
        <item m="1" x="432"/>
        <item m="1" x="310"/>
        <item m="1" x="434"/>
        <item m="1" x="712"/>
        <item m="1" x="1042"/>
        <item m="1" x="608"/>
        <item m="1" x="753"/>
        <item m="1" x="593"/>
        <item m="1" x="873"/>
        <item m="1" x="843"/>
        <item m="1" x="492"/>
        <item m="1" x="971"/>
        <item m="1" x="602"/>
        <item m="1" x="718"/>
        <item m="1" x="830"/>
        <item m="1" x="435"/>
        <item m="1" x="320"/>
        <item m="1" x="1086"/>
        <item m="1" x="294"/>
        <item m="1" x="837"/>
        <item m="1" x="1077"/>
        <item m="1" x="1007"/>
        <item m="1" x="1075"/>
        <item m="1" x="1039"/>
        <item m="1" x="468"/>
        <item m="1" x="415"/>
        <item m="1" x="636"/>
        <item m="1" x="518"/>
        <item m="1" x="1081"/>
        <item m="1" x="866"/>
        <item m="1" x="1001"/>
        <item m="1" x="271"/>
        <item m="1" x="541"/>
        <item m="1" x="461"/>
        <item m="1" x="280"/>
        <item m="1" x="739"/>
        <item m="1" x="668"/>
        <item m="1" x="953"/>
        <item m="1" x="424"/>
        <item m="1" x="520"/>
        <item m="1" x="704"/>
        <item m="1" x="626"/>
        <item m="1" x="970"/>
        <item m="1" x="654"/>
        <item m="1" x="478"/>
        <item m="1" x="1058"/>
        <item m="1" x="885"/>
        <item m="1" x="1057"/>
        <item m="1" x="1056"/>
        <item m="1" x="337"/>
        <item m="1" x="709"/>
        <item m="1" x="380"/>
        <item m="1" x="897"/>
        <item m="1" x="979"/>
        <item m="1" x="521"/>
        <item m="1" x="311"/>
        <item m="1" x="219"/>
        <item m="1" x="443"/>
        <item m="1" x="1015"/>
        <item m="1" x="422"/>
        <item m="1" x="547"/>
        <item m="1" x="1038"/>
        <item m="1" x="717"/>
        <item m="1" x="812"/>
        <item m="1" x="474"/>
        <item m="1" x="757"/>
        <item m="1" x="300"/>
        <item m="1" x="645"/>
        <item m="1" x="491"/>
        <item m="1" x="799"/>
        <item m="1" x="534"/>
        <item m="1" x="579"/>
        <item m="1" x="460"/>
        <item m="1" x="396"/>
        <item m="1" x="794"/>
        <item m="1" x="939"/>
        <item x="22"/>
        <item x="180"/>
        <item x="106"/>
        <item x="95"/>
        <item x="117"/>
        <item x="36"/>
        <item x="176"/>
        <item x="77"/>
        <item x="190"/>
        <item x="11"/>
        <item m="1" x="680"/>
        <item m="1" x="345"/>
        <item m="1" x="956"/>
        <item m="1" x="895"/>
        <item m="1" x="377"/>
        <item m="1" x="511"/>
        <item m="1" x="269"/>
        <item m="1" x="627"/>
        <item m="1" x="256"/>
        <item x="67"/>
        <item m="1" x="261"/>
        <item m="1" x="1018"/>
        <item m="1" x="463"/>
        <item m="1" x="696"/>
        <item m="1" x="705"/>
        <item m="1" x="270"/>
        <item m="1" x="862"/>
        <item x="87"/>
        <item x="90"/>
        <item m="1" x="639"/>
        <item m="1" x="588"/>
        <item m="1" x="376"/>
        <item m="1" x="360"/>
        <item m="1" x="929"/>
        <item m="1" x="453"/>
        <item m="1" x="441"/>
        <item m="1" x="923"/>
        <item m="1" x="428"/>
        <item m="1" x="931"/>
        <item m="1" x="470"/>
        <item m="1" x="222"/>
        <item m="1" x="1004"/>
        <item m="1" x="673"/>
        <item m="1" x="853"/>
        <item m="1" x="723"/>
        <item m="1" x="617"/>
        <item m="1" x="471"/>
        <item m="1" x="599"/>
        <item m="1" x="677"/>
        <item m="1" x="553"/>
        <item m="1" x="393"/>
        <item m="1" x="1048"/>
        <item m="1" x="371"/>
        <item m="1" x="477"/>
        <item m="1" x="1000"/>
        <item m="1" x="569"/>
        <item m="1" x="540"/>
        <item m="1" x="912"/>
        <item m="1" x="648"/>
        <item m="1" x="384"/>
        <item m="1" x="831"/>
        <item m="1" x="575"/>
        <item m="1" x="594"/>
        <item m="1" x="587"/>
        <item m="1" x="233"/>
        <item m="1" x="640"/>
        <item m="1" x="440"/>
        <item m="1" x="331"/>
        <item m="1" x="1076"/>
        <item m="1" x="634"/>
        <item m="1" x="334"/>
        <item m="1" x="933"/>
        <item m="1" x="592"/>
        <item m="1" x="620"/>
        <item m="1" x="253"/>
        <item m="1" x="359"/>
        <item m="1" x="879"/>
        <item m="1" x="561"/>
        <item m="1" x="676"/>
        <item m="1" x="262"/>
        <item m="1" x="662"/>
        <item m="1" x="792"/>
        <item m="1" x="361"/>
        <item m="1" x="467"/>
        <item m="1" x="379"/>
        <item m="1" x="487"/>
        <item m="1" x="475"/>
        <item m="1" x="312"/>
        <item m="1" x="990"/>
        <item m="1" x="854"/>
        <item m="1" x="644"/>
        <item m="1" x="241"/>
        <item m="1" x="743"/>
        <item m="1" x="954"/>
        <item m="1" x="833"/>
        <item m="1" x="577"/>
        <item m="1" x="612"/>
        <item m="1" x="759"/>
        <item m="1" x="390"/>
        <item m="1" x="892"/>
        <item m="1" x="682"/>
        <item m="1" x="596"/>
        <item m="1" x="832"/>
        <item m="1" x="798"/>
        <item m="1" x="767"/>
        <item m="1" x="734"/>
        <item m="1" x="969"/>
        <item m="1" x="748"/>
        <item m="1" x="248"/>
        <item m="1" x="234"/>
        <item m="1" x="382"/>
        <item m="1" x="762"/>
        <item m="1" x="423"/>
        <item m="1" x="747"/>
        <item m="1" x="949"/>
        <item m="1" x="444"/>
        <item m="1" x="391"/>
        <item m="1" x="749"/>
        <item m="1" x="722"/>
        <item m="1" x="486"/>
        <item m="1" x="482"/>
        <item m="1" x="948"/>
        <item m="1" x="513"/>
        <item m="1" x="820"/>
        <item m="1" x="744"/>
        <item m="1" x="976"/>
        <item m="1" x="1010"/>
        <item m="1" x="292"/>
        <item m="1" x="1062"/>
        <item m="1" x="695"/>
        <item m="1" x="530"/>
        <item m="1" x="916"/>
        <item m="1" x="303"/>
        <item m="1" x="982"/>
        <item m="1" x="828"/>
        <item m="1" x="527"/>
        <item m="1" x="502"/>
        <item m="1" x="483"/>
        <item m="1" x="544"/>
        <item m="1" x="894"/>
        <item m="1" x="479"/>
        <item m="1" x="228"/>
        <item m="1" x="984"/>
        <item m="1" x="910"/>
        <item m="1" x="660"/>
        <item m="1" x="571"/>
        <item m="1" x="944"/>
        <item m="1" x="637"/>
        <item m="1" x="606"/>
        <item m="1" x="314"/>
        <item m="1" x="554"/>
        <item m="1" x="681"/>
        <item m="1" x="653"/>
        <item m="1" x="659"/>
        <item m="1" x="239"/>
        <item m="1" x="325"/>
        <item m="1" x="466"/>
        <item m="1" x="389"/>
        <item m="1" x="908"/>
        <item m="1" x="911"/>
        <item m="1" x="844"/>
        <item m="1" x="867"/>
        <item m="1" x="454"/>
        <item m="1" x="1073"/>
        <item m="1" x="583"/>
        <item m="1" x="293"/>
        <item m="1" x="898"/>
        <item m="1" x="567"/>
        <item m="1" x="488"/>
        <item m="1" x="411"/>
        <item m="1" x="237"/>
        <item m="1" x="214"/>
        <item x="76"/>
        <item m="1" x="451"/>
        <item m="1" x="789"/>
        <item m="1" x="254"/>
        <item m="1" x="838"/>
        <item m="1" x="811"/>
        <item m="1" x="258"/>
        <item m="1" x="641"/>
        <item m="1" x="928"/>
        <item m="1" x="615"/>
        <item m="1" x="1023"/>
        <item m="1" x="868"/>
        <item m="1" x="968"/>
        <item m="1" x="661"/>
        <item m="1" x="268"/>
        <item m="1" x="945"/>
        <item m="1" x="823"/>
        <item m="1" x="849"/>
        <item m="1" x="425"/>
        <item m="1" x="574"/>
        <item m="1" x="883"/>
        <item m="1" x="546"/>
        <item m="1" x="926"/>
        <item m="1" x="369"/>
        <item m="1" x="715"/>
        <item m="1" x="469"/>
        <item m="1" x="307"/>
        <item m="1" x="784"/>
        <item m="1" x="803"/>
        <item m="1" x="622"/>
        <item m="1" x="693"/>
        <item m="1" x="694"/>
        <item m="1" x="688"/>
        <item m="1" x="974"/>
        <item m="1" x="381"/>
        <item m="1" x="986"/>
        <item m="1" x="1046"/>
        <item m="1" x="346"/>
        <item m="1" x="274"/>
        <item m="1" x="343"/>
        <item m="1" x="766"/>
        <item m="1" x="735"/>
        <item m="1" x="404"/>
        <item m="1" x="991"/>
        <item m="1" x="826"/>
        <item m="1" x="227"/>
        <item m="1" x="335"/>
        <item m="1" x="947"/>
        <item m="1" x="578"/>
        <item m="1" x="829"/>
        <item m="1" x="810"/>
        <item m="1" x="791"/>
        <item m="1" x="672"/>
        <item m="1" x="563"/>
        <item m="1" x="538"/>
        <item m="1" x="251"/>
        <item m="1" x="363"/>
        <item m="1" x="960"/>
        <item m="1" x="1024"/>
        <item m="1" x="719"/>
        <item m="1" x="1069"/>
        <item m="1" x="283"/>
        <item m="1" x="758"/>
        <item m="1" x="821"/>
        <item m="1" x="1016"/>
        <item m="1" x="901"/>
        <item m="1" x="845"/>
        <item m="1" x="1033"/>
        <item m="1" x="796"/>
        <item m="1" x="691"/>
        <item m="1" x="349"/>
        <item m="1" x="725"/>
        <item m="1" x="922"/>
        <item m="1" x="1092"/>
        <item m="1" x="876"/>
        <item m="1" x="495"/>
        <item m="1" x="732"/>
        <item m="1" x="1064"/>
        <item m="1" x="678"/>
        <item m="1" x="543"/>
        <item m="1" x="665"/>
        <item m="1" x="573"/>
        <item m="1" x="1025"/>
        <item m="1" x="685"/>
        <item m="1" x="999"/>
        <item m="1" x="750"/>
        <item m="1" x="446"/>
        <item m="1" x="324"/>
        <item m="1" x="226"/>
        <item m="1" x="1006"/>
        <item m="1" x="246"/>
        <item m="1" x="664"/>
        <item m="1" x="333"/>
        <item m="1" x="994"/>
        <item m="1" x="1071"/>
        <item m="1" x="728"/>
        <item m="1" x="983"/>
        <item m="1" x="1060"/>
        <item m="1" x="687"/>
        <item m="1" x="972"/>
        <item m="1" x="354"/>
        <item m="1" x="942"/>
        <item m="1" x="238"/>
        <item m="1" x="782"/>
        <item m="1" x="493"/>
        <item m="1" x="555"/>
        <item m="1" x="1067"/>
        <item m="1" x="921"/>
        <item x="131"/>
        <item x="86"/>
        <item m="1" x="323"/>
        <item m="1" x="706"/>
        <item m="1" x="869"/>
        <item m="1" x="650"/>
        <item m="1" x="1084"/>
        <item m="1" x="774"/>
        <item m="1" x="995"/>
        <item m="1" x="1040"/>
        <item m="1" x="864"/>
        <item m="1" x="472"/>
        <item m="1" x="1032"/>
        <item m="1" x="327"/>
        <item m="1" x="936"/>
        <item m="1" x="751"/>
        <item m="1" x="364"/>
        <item m="1" x="1012"/>
        <item m="1" x="525"/>
        <item m="1" x="822"/>
        <item m="1" x="250"/>
        <item m="1" x="449"/>
        <item m="1" x="507"/>
        <item m="1" x="708"/>
        <item m="1" x="946"/>
        <item m="1" x="542"/>
        <item m="1" x="564"/>
        <item x="0"/>
        <item x="58"/>
        <item m="1" x="721"/>
        <item m="1" x="658"/>
        <item m="1" x="275"/>
        <item m="1" x="649"/>
        <item m="1" x="367"/>
        <item m="1" x="765"/>
        <item m="1" x="244"/>
        <item m="1" x="1055"/>
        <item m="1" x="846"/>
        <item m="1" x="568"/>
        <item m="1" x="1050"/>
        <item m="1" x="987"/>
        <item x="29"/>
        <item m="1" x="450"/>
        <item m="1" x="741"/>
        <item x="88"/>
        <item x="108"/>
        <item m="1" x="905"/>
        <item m="1" x="235"/>
        <item x="79"/>
        <item x="121"/>
        <item m="1" x="847"/>
        <item x="92"/>
        <item x="55"/>
        <item x="81"/>
        <item x="142"/>
        <item m="1" x="771"/>
        <item m="1" x="805"/>
        <item x="157"/>
        <item m="1" x="304"/>
        <item m="1" x="531"/>
        <item x="9"/>
        <item x="10"/>
        <item m="1" x="877"/>
        <item x="134"/>
        <item x="133"/>
        <item x="93"/>
        <item x="107"/>
        <item x="192"/>
        <item x="70"/>
        <item x="71"/>
        <item x="85"/>
        <item x="127"/>
        <item x="114"/>
        <item x="80"/>
        <item x="47"/>
        <item m="1" x="817"/>
        <item x="48"/>
        <item x="115"/>
        <item x="62"/>
        <item x="63"/>
        <item x="57"/>
        <item x="24"/>
        <item x="206"/>
        <item m="1" x="882"/>
        <item x="33"/>
        <item x="97"/>
        <item x="100"/>
        <item x="105"/>
        <item x="109"/>
        <item x="110"/>
        <item x="122"/>
        <item m="1" x="523"/>
        <item x="89"/>
        <item x="197"/>
        <item x="34"/>
        <item x="66"/>
        <item x="136"/>
        <item x="137"/>
        <item x="138"/>
        <item x="139"/>
        <item x="140"/>
        <item x="141"/>
        <item x="143"/>
        <item x="144"/>
        <item x="145"/>
        <item x="146"/>
        <item x="147"/>
        <item x="148"/>
        <item x="96"/>
        <item x="149"/>
        <item x="150"/>
        <item x="151"/>
        <item x="195"/>
        <item x="153"/>
        <item x="154"/>
        <item x="155"/>
        <item x="156"/>
        <item x="202"/>
        <item x="205"/>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ubtotalTop="0" showAll="0" defaultSubtotal="0"/>
    <pivotField compact="0" outline="0" subtotalTop="0" showAll="0" defaultSubtotal="0"/>
    <pivotField compact="0" outline="0" subtotalTop="0" showAll="0" defaultSubtotal="0">
      <items count="9">
        <item x="0"/>
        <item m="1" x="5"/>
        <item x="1"/>
        <item m="1" x="4"/>
        <item m="1" x="6"/>
        <item m="1" x="8"/>
        <item x="2"/>
        <item m="1" x="7"/>
        <item m="1" x="3"/>
      </items>
    </pivotField>
    <pivotField axis="axisRow" compact="0" outline="0" subtotalTop="0" showAll="0" defaultSubtotal="0">
      <items count="9">
        <item m="1" x="8"/>
        <item x="1"/>
        <item x="2"/>
        <item x="0"/>
        <item x="7"/>
        <item x="6"/>
        <item x="4"/>
        <item x="3"/>
        <item x="5"/>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n="Gap" x="1"/>
        <item h="1" m="1" x="4"/>
        <item h="1" m="1" x="2"/>
        <item h="1" m="1" x="3"/>
      </items>
    </pivotField>
    <pivotField compact="0" outline="0" subtotalTop="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40"/>
  </rowFields>
  <rowItems count="30">
    <i>
      <x/>
      <x v="1"/>
      <x v="1047"/>
      <x v="1"/>
    </i>
    <i r="2">
      <x v="1048"/>
      <x v="7"/>
    </i>
    <i r="1">
      <x v="4"/>
      <x v="271"/>
      <x v="3"/>
    </i>
    <i r="2">
      <x v="1050"/>
      <x v="1"/>
    </i>
    <i r="2">
      <x v="1071"/>
      <x v="3"/>
    </i>
    <i r="1">
      <x v="12"/>
      <x v="1037"/>
      <x v="8"/>
    </i>
    <i r="2">
      <x v="1051"/>
      <x v="7"/>
    </i>
    <i r="1">
      <x v="16"/>
      <x v="585"/>
      <x v="3"/>
    </i>
    <i r="1">
      <x v="17"/>
      <x v="1052"/>
      <x v="7"/>
    </i>
    <i r="2">
      <x v="1053"/>
      <x v="7"/>
    </i>
    <i r="2">
      <x v="1072"/>
      <x v="3"/>
    </i>
    <i r="2">
      <x v="1076"/>
      <x v="7"/>
    </i>
    <i r="1">
      <x v="18"/>
      <x v="1054"/>
      <x v="7"/>
    </i>
    <i r="2">
      <x v="1055"/>
      <x v="7"/>
    </i>
    <i r="1">
      <x v="33"/>
      <x v="866"/>
      <x v="3"/>
    </i>
    <i r="1">
      <x v="35"/>
      <x v="591"/>
      <x v="3"/>
    </i>
    <i r="2">
      <x v="1027"/>
      <x v="3"/>
    </i>
    <i r="2">
      <x v="1028"/>
      <x v="3"/>
    </i>
    <i r="2">
      <x v="1031"/>
      <x v="3"/>
    </i>
    <i r="2">
      <x v="1034"/>
      <x v="3"/>
    </i>
    <i r="2">
      <x v="1035"/>
      <x v="3"/>
    </i>
    <i r="2">
      <x v="1038"/>
      <x v="8"/>
    </i>
    <i r="2">
      <x v="1068"/>
      <x v="3"/>
    </i>
    <i r="2">
      <x v="1069"/>
      <x v="3"/>
    </i>
    <i r="2">
      <x v="1073"/>
      <x v="3"/>
    </i>
    <i r="2">
      <x v="1074"/>
      <x v="3"/>
    </i>
    <i r="2">
      <x v="1075"/>
      <x v="3"/>
    </i>
    <i r="2">
      <x v="1077"/>
      <x v="3"/>
    </i>
    <i r="1">
      <x v="44"/>
      <x v="1070"/>
      <x v="3"/>
    </i>
    <i t="default">
      <x/>
    </i>
  </rowItems>
  <colFields count="1">
    <field x="-2"/>
  </colFields>
  <colItems count="6">
    <i>
      <x/>
    </i>
    <i i="1">
      <x v="1"/>
    </i>
    <i i="2">
      <x v="2"/>
    </i>
    <i i="3">
      <x v="3"/>
    </i>
    <i i="4">
      <x v="4"/>
    </i>
    <i i="5">
      <x v="5"/>
    </i>
  </colItems>
  <pageFields count="2">
    <pageField fld="0" hier="-1"/>
    <pageField fld="145" item="1" hier="-1"/>
  </pageFields>
  <dataFields count="6">
    <dataField name="Count of Site Name" fld="7" subtotal="count" baseField="0" baseItem="0"/>
    <dataField name="HHs" fld="8" baseField="0" baseItem="0" numFmtId="164"/>
    <dataField name="Pops" fld="9" baseField="0" baseItem="0" numFmtId="164"/>
    <dataField name="% WATER GAP" fld="101" subtotal="average" baseField="85" baseItem="1" numFmtId="9"/>
    <dataField name="% LATRINE GAP" fld="113" subtotal="average" baseField="85" baseItem="1" numFmtId="9"/>
    <dataField name="% HYGIENE GAP" fld="121" subtotal="average" baseField="85" baseItem="1" numFmtId="9"/>
  </dataFields>
  <formats count="66">
    <format dxfId="440">
      <pivotArea type="all" dataOnly="0" outline="0" fieldPosition="0"/>
    </format>
    <format dxfId="439">
      <pivotArea outline="0" collapsedLevelsAreSubtotals="1" fieldPosition="0"/>
    </format>
    <format dxfId="438">
      <pivotArea field="4" type="button" dataOnly="0" labelOnly="1" outline="0" axis="axisRow" fieldPosition="0"/>
    </format>
    <format dxfId="437">
      <pivotArea dataOnly="0" labelOnly="1" grandRow="1" outline="0" fieldPosition="0"/>
    </format>
    <format dxfId="436">
      <pivotArea type="all" dataOnly="0" outline="0" fieldPosition="0"/>
    </format>
    <format dxfId="435">
      <pivotArea dataOnly="0" labelOnly="1" grandRow="1" outline="0" fieldPosition="0"/>
    </format>
    <format dxfId="434">
      <pivotArea type="all" dataOnly="0" outline="0" fieldPosition="0"/>
    </format>
    <format dxfId="433">
      <pivotArea type="origin" dataOnly="0" labelOnly="1" outline="0" fieldPosition="0"/>
    </format>
    <format dxfId="432">
      <pivotArea field="145" type="button" dataOnly="0" labelOnly="1" outline="0" axis="axisPage" fieldPosition="1"/>
    </format>
    <format dxfId="431">
      <pivotArea type="topRight" dataOnly="0" labelOnly="1" outline="0" fieldPosition="0"/>
    </format>
    <format dxfId="430">
      <pivotArea type="all" dataOnly="0" outline="0" fieldPosition="0"/>
    </format>
    <format dxfId="429">
      <pivotArea outline="0" collapsedLevelsAreSubtotals="1" fieldPosition="0"/>
    </format>
    <format dxfId="428">
      <pivotArea type="origin" dataOnly="0" labelOnly="1" outline="0" fieldPosition="0"/>
    </format>
    <format dxfId="427">
      <pivotArea field="145" type="button" dataOnly="0" labelOnly="1" outline="0" axis="axisPage" fieldPosition="1"/>
    </format>
    <format dxfId="426">
      <pivotArea type="topRight" dataOnly="0" labelOnly="1" outline="0" fieldPosition="0"/>
    </format>
    <format dxfId="425">
      <pivotArea outline="0" fieldPosition="0">
        <references count="1">
          <reference field="4294967294" count="3" selected="0">
            <x v="3"/>
            <x v="4"/>
            <x v="5"/>
          </reference>
        </references>
      </pivotArea>
    </format>
    <format dxfId="424">
      <pivotArea outline="0" fieldPosition="0">
        <references count="1">
          <reference field="4294967294" count="2" selected="0">
            <x v="1"/>
            <x v="2"/>
          </reference>
        </references>
      </pivotArea>
    </format>
    <format dxfId="423">
      <pivotArea type="all" dataOnly="0" outline="0" fieldPosition="0"/>
    </format>
    <format dxfId="422">
      <pivotArea outline="0" collapsedLevelsAreSubtotals="1" fieldPosition="0"/>
    </format>
    <format dxfId="421">
      <pivotArea field="4" type="button" dataOnly="0" labelOnly="1" outline="0" axis="axisRow" fieldPosition="0"/>
    </format>
    <format dxfId="420">
      <pivotArea field="5" type="button" dataOnly="0" labelOnly="1" outline="0" axis="axisRow" fieldPosition="1"/>
    </format>
    <format dxfId="419">
      <pivotArea field="7" type="button" dataOnly="0" labelOnly="1" outline="0" axis="axisRow" fieldPosition="2"/>
    </format>
    <format dxfId="418">
      <pivotArea field="140" type="button" dataOnly="0" labelOnly="1" outline="0" axis="axisRow" fieldPosition="3"/>
    </format>
    <format dxfId="417">
      <pivotArea dataOnly="0" labelOnly="1" outline="0" fieldPosition="0">
        <references count="1">
          <reference field="4" count="0"/>
        </references>
      </pivotArea>
    </format>
    <format dxfId="416">
      <pivotArea dataOnly="0" labelOnly="1" outline="0" fieldPosition="0">
        <references count="1">
          <reference field="4" count="0" defaultSubtotal="1"/>
        </references>
      </pivotArea>
    </format>
    <format dxfId="415">
      <pivotArea dataOnly="0" labelOnly="1" outline="0" fieldPosition="0">
        <references count="2">
          <reference field="4" count="1" selected="0">
            <x v="0"/>
          </reference>
          <reference field="5" count="8">
            <x v="1"/>
            <x v="12"/>
            <x v="17"/>
            <x v="18"/>
            <x v="28"/>
            <x v="31"/>
            <x v="33"/>
            <x v="35"/>
          </reference>
        </references>
      </pivotArea>
    </format>
    <format dxfId="414">
      <pivotArea dataOnly="0" labelOnly="1" outline="0" fieldPosition="0">
        <references count="2">
          <reference field="4" count="1" selected="0">
            <x v="1"/>
          </reference>
          <reference field="5" count="7">
            <x v="8"/>
            <x v="9"/>
            <x v="15"/>
            <x v="19"/>
            <x v="27"/>
            <x v="30"/>
            <x v="32"/>
          </reference>
        </references>
      </pivotArea>
    </format>
    <format dxfId="413">
      <pivotArea dataOnly="0" labelOnly="1" outline="0" fieldPosition="0">
        <references count="2">
          <reference field="4" count="1" selected="0">
            <x v="2"/>
          </reference>
          <reference field="5" count="4">
            <x v="6"/>
            <x v="7"/>
            <x v="13"/>
            <x v="20"/>
          </reference>
        </references>
      </pivotArea>
    </format>
    <format dxfId="412">
      <pivotArea dataOnly="0" labelOnly="1" outline="0" fieldPosition="0">
        <references count="3">
          <reference field="4" count="1" selected="0">
            <x v="0"/>
          </reference>
          <reference field="5" count="1" selected="0">
            <x v="1"/>
          </reference>
          <reference field="7" count="1">
            <x v="47"/>
          </reference>
        </references>
      </pivotArea>
    </format>
    <format dxfId="411">
      <pivotArea dataOnly="0" labelOnly="1" outline="0" fieldPosition="0">
        <references count="3">
          <reference field="4" count="1" selected="0">
            <x v="0"/>
          </reference>
          <reference field="5" count="1" selected="0">
            <x v="12"/>
          </reference>
          <reference field="7" count="2">
            <x v="256"/>
            <x v="262"/>
          </reference>
        </references>
      </pivotArea>
    </format>
    <format dxfId="410">
      <pivotArea dataOnly="0" labelOnly="1" outline="0" fieldPosition="0">
        <references count="3">
          <reference field="4" count="1" selected="0">
            <x v="0"/>
          </reference>
          <reference field="5" count="1" selected="0">
            <x v="17"/>
          </reference>
          <reference field="7" count="2">
            <x v="110"/>
            <x v="282"/>
          </reference>
        </references>
      </pivotArea>
    </format>
    <format dxfId="409">
      <pivotArea dataOnly="0" labelOnly="1" outline="0" fieldPosition="0">
        <references count="3">
          <reference field="4" count="1" selected="0">
            <x v="0"/>
          </reference>
          <reference field="5" count="1" selected="0">
            <x v="18"/>
          </reference>
          <reference field="7" count="3">
            <x v="154"/>
            <x v="284"/>
            <x v="299"/>
          </reference>
        </references>
      </pivotArea>
    </format>
    <format dxfId="408">
      <pivotArea dataOnly="0" labelOnly="1" outline="0" fieldPosition="0">
        <references count="3">
          <reference field="4" count="1" selected="0">
            <x v="0"/>
          </reference>
          <reference field="5" count="1" selected="0">
            <x v="28"/>
          </reference>
          <reference field="7" count="2">
            <x v="125"/>
            <x v="529"/>
          </reference>
        </references>
      </pivotArea>
    </format>
    <format dxfId="407">
      <pivotArea dataOnly="0" labelOnly="1" outline="0" fieldPosition="0">
        <references count="3">
          <reference field="4" count="1" selected="0">
            <x v="0"/>
          </reference>
          <reference field="5" count="1" selected="0">
            <x v="31"/>
          </reference>
          <reference field="7" count="1">
            <x v="205"/>
          </reference>
        </references>
      </pivotArea>
    </format>
    <format dxfId="406">
      <pivotArea dataOnly="0" labelOnly="1" outline="0" fieldPosition="0">
        <references count="3">
          <reference field="4" count="1" selected="0">
            <x v="0"/>
          </reference>
          <reference field="5" count="1" selected="0">
            <x v="33"/>
          </reference>
          <reference field="7" count="1">
            <x v="466"/>
          </reference>
        </references>
      </pivotArea>
    </format>
    <format dxfId="405">
      <pivotArea dataOnly="0" labelOnly="1" outline="0" fieldPosition="0">
        <references count="3">
          <reference field="4" count="1" selected="0">
            <x v="0"/>
          </reference>
          <reference field="5" count="1" selected="0">
            <x v="35"/>
          </reference>
          <reference field="7" count="1">
            <x v="100"/>
          </reference>
        </references>
      </pivotArea>
    </format>
    <format dxfId="404">
      <pivotArea dataOnly="0" labelOnly="1" outline="0" fieldPosition="0">
        <references count="3">
          <reference field="4" count="1" selected="0">
            <x v="1"/>
          </reference>
          <reference field="5" count="1" selected="0">
            <x v="8"/>
          </reference>
          <reference field="7" count="1">
            <x v="132"/>
          </reference>
        </references>
      </pivotArea>
    </format>
    <format dxfId="403">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402">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401">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400">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399">
      <pivotArea dataOnly="0" labelOnly="1" outline="0" fieldPosition="0">
        <references count="3">
          <reference field="4" count="1" selected="0">
            <x v="1"/>
          </reference>
          <reference field="5" count="1" selected="0">
            <x v="30"/>
          </reference>
          <reference field="7" count="3">
            <x v="19"/>
            <x v="351"/>
            <x v="352"/>
          </reference>
        </references>
      </pivotArea>
    </format>
    <format dxfId="398">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397">
      <pivotArea dataOnly="0" labelOnly="1" outline="0" fieldPosition="0">
        <references count="3">
          <reference field="4" count="1" selected="0">
            <x v="2"/>
          </reference>
          <reference field="5" count="1" selected="0">
            <x v="6"/>
          </reference>
          <reference field="7" count="1">
            <x v="248"/>
          </reference>
        </references>
      </pivotArea>
    </format>
    <format dxfId="396">
      <pivotArea dataOnly="0" labelOnly="1" outline="0" fieldPosition="0">
        <references count="3">
          <reference field="4" count="1" selected="0">
            <x v="2"/>
          </reference>
          <reference field="5" count="1" selected="0">
            <x v="7"/>
          </reference>
          <reference field="7" count="1">
            <x v="372"/>
          </reference>
        </references>
      </pivotArea>
    </format>
    <format dxfId="395">
      <pivotArea dataOnly="0" labelOnly="1" outline="0" fieldPosition="0">
        <references count="3">
          <reference field="4" count="1" selected="0">
            <x v="2"/>
          </reference>
          <reference field="5" count="1" selected="0">
            <x v="13"/>
          </reference>
          <reference field="7" count="1">
            <x v="250"/>
          </reference>
        </references>
      </pivotArea>
    </format>
    <format dxfId="394">
      <pivotArea dataOnly="0" labelOnly="1" outline="0" fieldPosition="0">
        <references count="3">
          <reference field="4" count="1" selected="0">
            <x v="2"/>
          </reference>
          <reference field="5" count="1" selected="0">
            <x v="20"/>
          </reference>
          <reference field="7" count="1">
            <x v="111"/>
          </reference>
        </references>
      </pivotArea>
    </format>
    <format dxfId="393">
      <pivotArea dataOnly="0" labelOnly="1" outline="0" fieldPosition="0">
        <references count="4">
          <reference field="4" count="1" selected="0">
            <x v="0"/>
          </reference>
          <reference field="5" count="1" selected="0">
            <x v="1"/>
          </reference>
          <reference field="7" count="1" selected="0">
            <x v="47"/>
          </reference>
          <reference field="140" count="1">
            <x v="4"/>
          </reference>
        </references>
      </pivotArea>
    </format>
    <format dxfId="392">
      <pivotArea dataOnly="0" labelOnly="1" outline="0" fieldPosition="0">
        <references count="4">
          <reference field="4" count="1" selected="0">
            <x v="0"/>
          </reference>
          <reference field="5" count="1" selected="0">
            <x v="12"/>
          </reference>
          <reference field="7" count="1" selected="0">
            <x v="256"/>
          </reference>
          <reference field="140" count="1">
            <x v="4"/>
          </reference>
        </references>
      </pivotArea>
    </format>
    <format dxfId="391">
      <pivotArea dataOnly="0" labelOnly="1" outline="0" fieldPosition="0">
        <references count="4">
          <reference field="4" count="1" selected="0">
            <x v="0"/>
          </reference>
          <reference field="5" count="1" selected="0">
            <x v="12"/>
          </reference>
          <reference field="7" count="1" selected="0">
            <x v="262"/>
          </reference>
          <reference field="140" count="1">
            <x v="4"/>
          </reference>
        </references>
      </pivotArea>
    </format>
    <format dxfId="390">
      <pivotArea dataOnly="0" labelOnly="1" outline="0" fieldPosition="0">
        <references count="4">
          <reference field="4" count="1" selected="0">
            <x v="0"/>
          </reference>
          <reference field="5" count="1" selected="0">
            <x v="17"/>
          </reference>
          <reference field="7" count="1" selected="0">
            <x v="110"/>
          </reference>
          <reference field="140" count="1">
            <x v="4"/>
          </reference>
        </references>
      </pivotArea>
    </format>
    <format dxfId="389">
      <pivotArea dataOnly="0" labelOnly="1" outline="0" fieldPosition="0">
        <references count="4">
          <reference field="4" count="1" selected="0">
            <x v="0"/>
          </reference>
          <reference field="5" count="1" selected="0">
            <x v="17"/>
          </reference>
          <reference field="7" count="1" selected="0">
            <x v="282"/>
          </reference>
          <reference field="140" count="1">
            <x v="4"/>
          </reference>
        </references>
      </pivotArea>
    </format>
    <format dxfId="388">
      <pivotArea dataOnly="0" labelOnly="1" outline="0" fieldPosition="0">
        <references count="4">
          <reference field="4" count="1" selected="0">
            <x v="0"/>
          </reference>
          <reference field="5" count="1" selected="0">
            <x v="18"/>
          </reference>
          <reference field="7" count="1" selected="0">
            <x v="154"/>
          </reference>
          <reference field="140" count="1">
            <x v="4"/>
          </reference>
        </references>
      </pivotArea>
    </format>
    <format dxfId="387">
      <pivotArea dataOnly="0" labelOnly="1" outline="0" fieldPosition="0">
        <references count="4">
          <reference field="4" count="1" selected="0">
            <x v="0"/>
          </reference>
          <reference field="5" count="1" selected="0">
            <x v="18"/>
          </reference>
          <reference field="7" count="1" selected="0">
            <x v="284"/>
          </reference>
          <reference field="140" count="1">
            <x v="4"/>
          </reference>
        </references>
      </pivotArea>
    </format>
    <format dxfId="386">
      <pivotArea dataOnly="0" labelOnly="1" outline="0" fieldPosition="0">
        <references count="4">
          <reference field="4" count="1" selected="0">
            <x v="0"/>
          </reference>
          <reference field="5" count="1" selected="0">
            <x v="18"/>
          </reference>
          <reference field="7" count="1" selected="0">
            <x v="299"/>
          </reference>
          <reference field="140" count="1">
            <x v="4"/>
          </reference>
        </references>
      </pivotArea>
    </format>
    <format dxfId="385">
      <pivotArea dataOnly="0" labelOnly="1" outline="0" fieldPosition="0">
        <references count="4">
          <reference field="4" count="1" selected="0">
            <x v="0"/>
          </reference>
          <reference field="5" count="1" selected="0">
            <x v="28"/>
          </reference>
          <reference field="7" count="1" selected="0">
            <x v="125"/>
          </reference>
          <reference field="140" count="1">
            <x v="4"/>
          </reference>
        </references>
      </pivotArea>
    </format>
    <format dxfId="384">
      <pivotArea dataOnly="0" labelOnly="1" outline="0" fieldPosition="0">
        <references count="4">
          <reference field="4" count="1" selected="0">
            <x v="0"/>
          </reference>
          <reference field="5" count="1" selected="0">
            <x v="28"/>
          </reference>
          <reference field="7" count="1" selected="0">
            <x v="529"/>
          </reference>
          <reference field="140" count="1">
            <x v="4"/>
          </reference>
        </references>
      </pivotArea>
    </format>
    <format dxfId="383">
      <pivotArea dataOnly="0" labelOnly="1" outline="0" fieldPosition="0">
        <references count="4">
          <reference field="4" count="1" selected="0">
            <x v="0"/>
          </reference>
          <reference field="5" count="1" selected="0">
            <x v="31"/>
          </reference>
          <reference field="7" count="1" selected="0">
            <x v="205"/>
          </reference>
          <reference field="140" count="1">
            <x v="4"/>
          </reference>
        </references>
      </pivotArea>
    </format>
    <format dxfId="382">
      <pivotArea dataOnly="0" labelOnly="1" outline="0" fieldPosition="0">
        <references count="4">
          <reference field="4" count="1" selected="0">
            <x v="0"/>
          </reference>
          <reference field="5" count="1" selected="0">
            <x v="33"/>
          </reference>
          <reference field="7" count="1" selected="0">
            <x v="466"/>
          </reference>
          <reference field="140" count="1">
            <x v="3"/>
          </reference>
        </references>
      </pivotArea>
    </format>
    <format dxfId="381">
      <pivotArea dataOnly="0" labelOnly="1" outline="0" fieldPosition="0">
        <references count="4">
          <reference field="4" count="1" selected="0">
            <x v="0"/>
          </reference>
          <reference field="5" count="1" selected="0">
            <x v="35"/>
          </reference>
          <reference field="7" count="1" selected="0">
            <x v="100"/>
          </reference>
          <reference field="140" count="1">
            <x v="3"/>
          </reference>
        </references>
      </pivotArea>
    </format>
    <format dxfId="380">
      <pivotArea dataOnly="0" labelOnly="1" outline="0" fieldPosition="0">
        <references count="4">
          <reference field="4" count="1" selected="0">
            <x v="1"/>
          </reference>
          <reference field="5" count="1" selected="0">
            <x v="32"/>
          </reference>
          <reference field="7" count="1" selected="0">
            <x v="40"/>
          </reference>
          <reference field="140" count="1">
            <x v="4"/>
          </reference>
        </references>
      </pivotArea>
    </format>
    <format dxfId="379">
      <pivotArea dataOnly="0" labelOnly="1" outline="0" fieldPosition="0">
        <references count="4">
          <reference field="4" count="1" selected="0">
            <x v="2"/>
          </reference>
          <reference field="5" count="1" selected="0">
            <x v="6"/>
          </reference>
          <reference field="7" count="1" selected="0">
            <x v="248"/>
          </reference>
          <reference field="140" count="1">
            <x v="3"/>
          </reference>
        </references>
      </pivotArea>
    </format>
    <format dxfId="378">
      <pivotArea dataOnly="0" labelOnly="1" outline="0" fieldPosition="0">
        <references count="4">
          <reference field="4" count="1" selected="0">
            <x v="2"/>
          </reference>
          <reference field="5" count="1" selected="0">
            <x v="7"/>
          </reference>
          <reference field="7" count="1" selected="0">
            <x v="372"/>
          </reference>
          <reference field="140" count="1">
            <x v="3"/>
          </reference>
        </references>
      </pivotArea>
    </format>
    <format dxfId="377">
      <pivotArea dataOnly="0" labelOnly="1" outline="0" fieldPosition="0">
        <references count="4">
          <reference field="4" count="1" selected="0">
            <x v="2"/>
          </reference>
          <reference field="5" count="1" selected="0">
            <x v="13"/>
          </reference>
          <reference field="7" count="1" selected="0">
            <x v="250"/>
          </reference>
          <reference field="140" count="1">
            <x v="3"/>
          </reference>
        </references>
      </pivotArea>
    </format>
    <format dxfId="376">
      <pivotArea dataOnly="0" labelOnly="1" outline="0" fieldPosition="0">
        <references count="4">
          <reference field="4" count="1" selected="0">
            <x v="2"/>
          </reference>
          <reference field="5" count="1" selected="0">
            <x v="20"/>
          </reference>
          <reference field="7" count="1" selected="0">
            <x v="111"/>
          </reference>
          <reference field="140" count="1">
            <x v="3"/>
          </reference>
        </references>
      </pivotArea>
    </format>
    <format dxfId="375">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197A2615-AF6E-4D96-B23D-A92D9FC660C2}" name="PivotTable4"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0" rowHeaderCaption="State">
  <location ref="C423:D428" firstHeaderRow="1" firstDataRow="2" firstDataCol="1" rowPageCount="3" colPageCount="1"/>
  <pivotFields count="158">
    <pivotField axis="axisCol" subtotalTop="0" multipleItemSelectionAllowed="1" showAll="0">
      <items count="29">
        <item m="1" x="26"/>
        <item m="1" x="12"/>
        <item m="1" x="27"/>
        <item m="1" x="19"/>
        <item m="1" x="7"/>
        <item m="1" x="1"/>
        <item m="1" x="25"/>
        <item m="1" x="21"/>
        <item m="1" x="23"/>
        <item m="1" x="24"/>
        <item m="1" x="15"/>
        <item m="1" x="17"/>
        <item m="1" x="20"/>
        <item m="1" x="22"/>
        <item m="1" x="10"/>
        <item m="1" x="13"/>
        <item m="1" x="16"/>
        <item m="1" x="18"/>
        <item m="1" x="5"/>
        <item m="1" x="8"/>
        <item m="1" x="11"/>
        <item m="1" x="14"/>
        <item m="1" x="3"/>
        <item m="1" x="4"/>
        <item m="1" x="6"/>
        <item m="1" x="9"/>
        <item x="0"/>
        <item m="1"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1">
    <i>
      <x v="26"/>
    </i>
  </colItems>
  <pageFields count="3">
    <pageField fld="145"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0" subtotal="average" baseField="0" baseItem="3"/>
  </dataFields>
  <formats count="14">
    <format dxfId="454">
      <pivotArea type="all" dataOnly="0" outline="0" fieldPosition="0"/>
    </format>
    <format dxfId="453">
      <pivotArea outline="0" collapsedLevelsAreSubtotals="1" fieldPosition="0"/>
    </format>
    <format dxfId="452">
      <pivotArea field="4" type="button" dataOnly="0" labelOnly="1" outline="0" axis="axisPage" fieldPosition="2"/>
    </format>
    <format dxfId="451">
      <pivotArea dataOnly="0" labelOnly="1" grandRow="1" outline="0" fieldPosition="0"/>
    </format>
    <format dxfId="450">
      <pivotArea type="all" dataOnly="0" outline="0" fieldPosition="0"/>
    </format>
    <format dxfId="449">
      <pivotArea outline="0" collapsedLevelsAreSubtotals="1" fieldPosition="0"/>
    </format>
    <format dxfId="448">
      <pivotArea type="origin" dataOnly="0" labelOnly="1" outline="0" fieldPosition="0"/>
    </format>
    <format dxfId="447">
      <pivotArea field="145" type="button" dataOnly="0" labelOnly="1" outline="0" axis="axisPage" fieldPosition="0"/>
    </format>
    <format dxfId="446">
      <pivotArea type="topRight" dataOnly="0" labelOnly="1" outline="0" fieldPosition="0"/>
    </format>
    <format dxfId="445">
      <pivotArea dataOnly="0" labelOnly="1" fieldPosition="0">
        <references count="1">
          <reference field="145" count="0"/>
        </references>
      </pivotArea>
    </format>
    <format dxfId="444">
      <pivotArea type="all" dataOnly="0" outline="0" fieldPosition="0"/>
    </format>
    <format dxfId="443">
      <pivotArea outline="0" collapsedLevelsAreSubtotals="1" fieldPosition="0"/>
    </format>
    <format dxfId="442">
      <pivotArea field="4" type="button" dataOnly="0" labelOnly="1" outline="0" axis="axisPage" fieldPosition="2"/>
    </format>
    <format dxfId="441">
      <pivotArea outline="0" collapsedLevelsAreSubtotals="1" fieldPosition="0"/>
    </format>
  </formats>
  <chartFormats count="29">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24" format="0" series="1">
      <pivotArea type="data" outline="0" fieldPosition="0">
        <references count="2">
          <reference field="4294967294" count="1" selected="0">
            <x v="0"/>
          </reference>
          <reference field="0" count="1" selected="0">
            <x v="22"/>
          </reference>
        </references>
      </pivotArea>
    </chartFormat>
    <chartFormat chart="24" format="1" series="1">
      <pivotArea type="data" outline="0" fieldPosition="0">
        <references count="2">
          <reference field="4294967294" count="1" selected="0">
            <x v="0"/>
          </reference>
          <reference field="0" count="1" selected="0">
            <x v="23"/>
          </reference>
        </references>
      </pivotArea>
    </chartFormat>
    <chartFormat chart="29" format="8" series="1">
      <pivotArea type="data" outline="0" fieldPosition="0">
        <references count="2">
          <reference field="4294967294" count="1" selected="0">
            <x v="0"/>
          </reference>
          <reference field="0" count="1" selected="0">
            <x v="22"/>
          </reference>
        </references>
      </pivotArea>
    </chartFormat>
    <chartFormat chart="29" format="9" series="1">
      <pivotArea type="data" outline="0" fieldPosition="0">
        <references count="2">
          <reference field="4294967294" count="1" selected="0">
            <x v="0"/>
          </reference>
          <reference field="0" count="1" selected="0">
            <x v="23"/>
          </reference>
        </references>
      </pivotArea>
    </chartFormat>
    <chartFormat chart="24" format="2" series="1">
      <pivotArea type="data" outline="0" fieldPosition="0">
        <references count="2">
          <reference field="4294967294" count="1" selected="0">
            <x v="0"/>
          </reference>
          <reference field="0" count="1" selected="0">
            <x v="24"/>
          </reference>
        </references>
      </pivotArea>
    </chartFormat>
    <chartFormat chart="29" format="10" series="1">
      <pivotArea type="data" outline="0" fieldPosition="0">
        <references count="2">
          <reference field="4294967294" count="1" selected="0">
            <x v="0"/>
          </reference>
          <reference field="0" count="1" selected="0">
            <x v="24"/>
          </reference>
        </references>
      </pivotArea>
    </chartFormat>
    <chartFormat chart="24" format="3" series="1">
      <pivotArea type="data" outline="0" fieldPosition="0">
        <references count="2">
          <reference field="4294967294" count="1" selected="0">
            <x v="0"/>
          </reference>
          <reference field="0" count="1" selected="0">
            <x v="25"/>
          </reference>
        </references>
      </pivotArea>
    </chartFormat>
    <chartFormat chart="29" format="11" series="1">
      <pivotArea type="data" outline="0" fieldPosition="0">
        <references count="2">
          <reference field="4294967294" count="1" selected="0">
            <x v="0"/>
          </reference>
          <reference field="0" count="1" selected="0">
            <x v="25"/>
          </reference>
        </references>
      </pivotArea>
    </chartFormat>
    <chartFormat chart="24" format="4" series="1">
      <pivotArea type="data" outline="0" fieldPosition="0">
        <references count="1">
          <reference field="4294967294" count="1" selected="0">
            <x v="0"/>
          </reference>
        </references>
      </pivotArea>
    </chartFormat>
    <chartFormat chart="29" format="12" series="1">
      <pivotArea type="data" outline="0" fieldPosition="0">
        <references count="1">
          <reference field="4294967294" count="1" selected="0">
            <x v="0"/>
          </reference>
        </references>
      </pivotArea>
    </chartFormat>
    <chartFormat chart="24" format="5" series="1">
      <pivotArea type="data" outline="0" fieldPosition="0">
        <references count="2">
          <reference field="4294967294" count="1" selected="0">
            <x v="0"/>
          </reference>
          <reference field="0" count="1" selected="0">
            <x v="27"/>
          </reference>
        </references>
      </pivotArea>
    </chartFormat>
    <chartFormat chart="29" format="13" series="1">
      <pivotArea type="data" outline="0" fieldPosition="0">
        <references count="2">
          <reference field="4294967294" count="1" selected="0">
            <x v="0"/>
          </reference>
          <reference field="0" count="1" selected="0">
            <x v="27"/>
          </reference>
        </references>
      </pivotArea>
    </chartFormat>
    <chartFormat chart="24" format="6" series="1">
      <pivotArea type="data" outline="0" fieldPosition="0">
        <references count="2">
          <reference field="4294967294" count="1" selected="0">
            <x v="0"/>
          </reference>
          <reference field="0" count="1" selected="0">
            <x v="26"/>
          </reference>
        </references>
      </pivotArea>
    </chartFormat>
    <chartFormat chart="29" format="14" series="1">
      <pivotArea type="data" outline="0" fieldPosition="0">
        <references count="2">
          <reference field="4294967294" count="1" selected="0">
            <x v="0"/>
          </reference>
          <reference field="0" count="1" selected="0">
            <x v="26"/>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7" rowHeaderCaption="State" colHeaderCaption=" ">
  <location ref="B187:D199" firstHeaderRow="0" firstDataRow="1" firstDataCol="1" rowPageCount="5" colPageCount="1"/>
  <pivotFields count="158">
    <pivotField axis="axisPage" subtotalTop="0" multipleItemSelectionAllowed="1" showAll="0">
      <items count="29">
        <item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sortType="ascending">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2">
    <i>
      <x v="1"/>
    </i>
    <i>
      <x v="4"/>
    </i>
    <i>
      <x v="5"/>
    </i>
    <i>
      <x v="17"/>
    </i>
    <i>
      <x v="21"/>
    </i>
    <i>
      <x v="22"/>
    </i>
    <i>
      <x v="24"/>
    </i>
    <i>
      <x v="28"/>
    </i>
    <i>
      <x v="40"/>
    </i>
    <i>
      <x v="42"/>
    </i>
    <i>
      <x v="43"/>
    </i>
    <i>
      <x v="45"/>
    </i>
  </rowItems>
  <colFields count="1">
    <field x="-2"/>
  </colFields>
  <colItems count="2">
    <i>
      <x/>
    </i>
    <i i="1">
      <x v="1"/>
    </i>
  </colItems>
  <pageFields count="5">
    <pageField fld="146" item="0" hier="-1"/>
    <pageField fld="0" hier="-1"/>
    <pageField fld="145" item="0" hier="-1"/>
    <pageField fld="4" item="0" hier="-1"/>
    <pageField fld="6" hier="-1"/>
  </pageFields>
  <dataFields count="2">
    <dataField name=" % Latrine Coverage" fld="155" baseField="0" baseItem="0" numFmtId="1"/>
    <dataField name="  % Latrine GAP" fld="156" baseField="0" baseItem="0" numFmtId="1"/>
  </dataFields>
  <formats count="11">
    <format dxfId="465">
      <pivotArea type="all" dataOnly="0" outline="0" fieldPosition="0"/>
    </format>
    <format dxfId="464">
      <pivotArea outline="0" collapsedLevelsAreSubtotals="1" fieldPosition="0"/>
    </format>
    <format dxfId="463">
      <pivotArea field="4" type="button" dataOnly="0" labelOnly="1" outline="0" axis="axisPage" fieldPosition="3"/>
    </format>
    <format dxfId="462">
      <pivotArea type="all" dataOnly="0" outline="0" fieldPosition="0"/>
    </format>
    <format dxfId="461">
      <pivotArea outline="0" collapsedLevelsAreSubtotals="1" fieldPosition="0"/>
    </format>
    <format dxfId="460">
      <pivotArea outline="0" collapsedLevelsAreSubtotals="1" fieldPosition="0"/>
    </format>
    <format dxfId="459">
      <pivotArea field="5" type="button" dataOnly="0" labelOnly="1" outline="0" axis="axisRow" fieldPosition="0"/>
    </format>
    <format dxfId="458">
      <pivotArea field="5" type="button" dataOnly="0" labelOnly="1" outline="0" axis="axisRow" fieldPosition="0"/>
    </format>
    <format dxfId="457">
      <pivotArea field="5" type="button" dataOnly="0" labelOnly="1" outline="0" axis="axisRow" fieldPosition="0"/>
    </format>
    <format dxfId="456">
      <pivotArea field="4" type="button" dataOnly="0" labelOnly="1" outline="0" axis="axisPage" fieldPosition="3"/>
    </format>
    <format dxfId="455">
      <pivotArea dataOnly="0" labelOnly="1" outline="0" fieldPosition="0">
        <references count="2">
          <reference field="4" count="1">
            <x v="0"/>
          </reference>
          <reference field="145"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H63:I65" firstHeaderRow="1" firstDataRow="1" firstDataCol="1" rowPageCount="2" colPageCount="1"/>
  <pivotFields count="4">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2">
    <pageField fld="1" hier="145"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WWWW].[#_Water sources tested for fecal coliform].&amp;[1]"/>
        <member name="[WWWW].[#_Water sources tested for fecal coliform].&amp;[2]"/>
        <member name="[WWWW].[#_Water sources tested for fecal coliform].&amp;[5]"/>
        <member name="[WWWW].[#_Water sources tested for fecal coliform].&amp;[7]"/>
        <member name="[WWWW].[#_Water sources tested for fecal coliform].&amp;[1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State">
  <location ref="B153:F156" firstHeaderRow="1" firstDataRow="2" firstDataCol="1" rowPageCount="4" colPageCount="1"/>
  <pivotFields count="158">
    <pivotField axis="axisPage" subtotalTop="0" multipleItemSelectionAllowed="1" showAll="0">
      <items count="29">
        <item m="1" x="26"/>
        <item m="1" x="12"/>
        <item m="1" x="27"/>
        <item h="1" m="1" x="19"/>
        <item m="1" x="7"/>
        <item h="1" m="1" x="1"/>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showAll="0">
      <items count="7">
        <item x="0"/>
        <item m="1" x="4"/>
        <item x="1"/>
        <item h="1" m="1" x="2"/>
        <item m="1" x="3"/>
        <item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0"/>
        <item x="2"/>
        <item x="1"/>
        <item x="3"/>
        <item x="4"/>
        <item m="1"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h="1" m="1" x="2"/>
        <item h="1"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1"/>
  </colFields>
  <colItems count="4">
    <i>
      <x/>
    </i>
    <i>
      <x v="1"/>
    </i>
    <i>
      <x v="2"/>
    </i>
    <i>
      <x v="3"/>
    </i>
  </colItems>
  <pageFields count="4">
    <pageField fld="0" hier="-1"/>
    <pageField fld="145" hier="-1"/>
    <pageField fld="6" hier="-1"/>
    <pageField fld="146" item="0" hier="-1"/>
  </pageFields>
  <dataFields count="1">
    <dataField name="Count of Is there constructed surface water drainage system?_x000a_" fld="51" subtotal="count" baseField="0" baseItem="0"/>
  </dataFields>
  <formats count="9">
    <format dxfId="474">
      <pivotArea type="all" dataOnly="0" outline="0" fieldPosition="0"/>
    </format>
    <format dxfId="473">
      <pivotArea outline="0" collapsedLevelsAreSubtotals="1" fieldPosition="0"/>
    </format>
    <format dxfId="472">
      <pivotArea type="origin" dataOnly="0" labelOnly="1" outline="0" fieldPosition="0"/>
    </format>
    <format dxfId="471">
      <pivotArea type="topRight" dataOnly="0" labelOnly="1" outline="0" fieldPosition="0"/>
    </format>
    <format dxfId="470">
      <pivotArea field="4" type="button" dataOnly="0" labelOnly="1" outline="0" axis="axisRow" fieldPosition="0"/>
    </format>
    <format dxfId="469">
      <pivotArea dataOnly="0" labelOnly="1" fieldPosition="0">
        <references count="1">
          <reference field="4" count="0"/>
        </references>
      </pivotArea>
    </format>
    <format dxfId="468">
      <pivotArea type="all" dataOnly="0" outline="0" fieldPosition="0"/>
    </format>
    <format dxfId="467">
      <pivotArea outline="0" collapsedLevelsAreSubtotals="1" fieldPosition="0"/>
    </format>
    <format dxfId="466">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5884CAAA-68D5-413C-89CE-FFAB15FA28ED}" name="PivotTable17"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93">
  <location ref="R11:S16" firstHeaderRow="1" firstDataRow="1" firstDataCol="1" rowPageCount="3" colPageCount="1"/>
  <pivotFields count="158">
    <pivotField axis="axisPage" subtotalTop="0" multipleItemSelectionAllowed="1" showAll="0" defaultSubtotal="0">
      <items count="28">
        <item h="1"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s>
    </pivotField>
    <pivotField showAll="0" defaultSubtotal="0"/>
    <pivotField showAll="0" defaultSubtotal="0"/>
    <pivotField subtotalTop="0" showAll="0" defaultSubtotal="0"/>
    <pivotField axis="axisPage" subtotalTop="0" multipleItemSelectionAllowed="1" showAll="0" defaultSubtotal="0">
      <items count="6">
        <item x="0"/>
        <item h="1" m="1" x="4"/>
        <item h="1" x="1"/>
        <item h="1" m="1" x="2"/>
        <item h="1" m="1" x="3"/>
        <item h="1" m="1" x="5"/>
      </items>
    </pivotField>
    <pivotField subtotalTop="0" showAll="0" defaultSubtotal="0"/>
    <pivotField axis="axisPage" multipleItemSelectionAllowed="1" showAll="0" defaultSubtotal="0">
      <items count="15">
        <item x="1"/>
        <item x="2"/>
        <item m="1" x="11"/>
        <item m="1" x="7"/>
        <item m="1" x="6"/>
        <item h="1" m="1" x="13"/>
        <item m="1" x="10"/>
        <item h="1" m="1" x="14"/>
        <item h="1" m="1" x="8"/>
        <item h="1" m="1" x="9"/>
        <item h="1" m="1" x="12"/>
        <item h="1" m="1" x="4"/>
        <item h="1" m="1" x="5"/>
        <item x="3"/>
        <item x="0"/>
      </items>
    </pivotField>
    <pivotField dataField="1"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numFmtId="9" subtotalTop="0" showAll="0" defaultSubtotal="0"/>
    <pivotField showAll="0" defaultSubtotal="0"/>
    <pivotField subtotalTop="0" showAll="0" defaultSubtotal="0"/>
    <pivotField subtotalTop="0" showAll="0" defaultSubtotal="0"/>
    <pivotField numFmtId="1" showAll="0" defaultSubtotal="0"/>
    <pivotField numFmtId="9" showAll="0" defaultSubtotal="0"/>
    <pivotField numFmtId="1" showAll="0" defaultSubtotal="0"/>
    <pivotField showAll="0" defaultSubtotal="0"/>
    <pivotField showAll="0" defaultSubtotal="0"/>
    <pivotField numFmtId="1" showAll="0" defaultSubtotal="0"/>
    <pivotField subtotalTop="0" showAll="0" defaultSubtotal="0"/>
    <pivotField numFmtId="1" subtotalTop="0" showAll="0" defaultSubtotal="0"/>
    <pivotField numFmtId="9" subtotalTop="0" showAll="0" defaultSubtota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defaultSubtotal="0"/>
    <pivotField subtotalTop="0" showAll="0" defaultSubtotal="0"/>
    <pivotField subtotalTop="0" showAll="0" defaultSubtotal="0"/>
    <pivotField numFmtId="9" subtotalTop="0" showAll="0" defaultSubtotal="0"/>
    <pivotField numFmtId="9" subtotalTop="0" showAll="0" defaultSubtotal="0"/>
    <pivotField numFmtId="1" showAll="0" defaultSubtotal="0"/>
    <pivotField subtotalTop="0" showAll="0" defaultSubtotal="0"/>
    <pivotField numFmtId="1" showAll="0" defaultSubtotal="0"/>
    <pivotField numFmtId="1" showAll="0" defaultSubtotal="0"/>
    <pivotField showAll="0" defaultSubtotal="0"/>
    <pivotField numFmtId="9" showAll="0" defaultSubtotal="0"/>
    <pivotField numFmtId="164" showAll="0" defaultSubtotal="0"/>
    <pivotField numFmtId="164" showAll="0" defaultSubtotal="0"/>
    <pivotField numFmtId="164" showAll="0" defaultSubtotal="0"/>
    <pivotField numFmtId="164" showAll="0" defaultSubtotal="0"/>
    <pivotField showAll="0" defaultSubtotal="0"/>
    <pivotField numFmtId="164"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341">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s>
    </pivotField>
    <pivotField subtotalTop="0" showAll="0" defaultSubtotal="0"/>
    <pivotField subtotalTop="0" showAll="0" defaultSubtotal="0"/>
    <pivotField subtotalTop="0" showAll="0" defaultSubtotal="0"/>
    <pivotField axis="axisRow" subtotalTop="0" showAll="0" defaultSubtotal="0">
      <items count="5">
        <item x="0"/>
        <item x="1"/>
        <item h="1" m="1" x="4"/>
        <item h="1" m="1" x="2"/>
        <item h="1" m="1" x="3"/>
      </items>
    </pivotField>
    <pivotField axis="axisRow" subtotalTop="0" showAll="0" defaultSubtotal="0">
      <items count="3">
        <item n="reported" x="0"/>
        <item n=" " x="1"/>
        <item n="Not reported" x="2"/>
      </items>
    </pivotField>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145"/>
    <field x="146"/>
  </rowFields>
  <rowItems count="5">
    <i>
      <x/>
    </i>
    <i r="1">
      <x/>
    </i>
    <i r="1">
      <x v="2"/>
    </i>
    <i>
      <x v="1"/>
    </i>
    <i r="1">
      <x v="1"/>
    </i>
  </rowItems>
  <colItems count="1">
    <i/>
  </colItems>
  <pageFields count="3">
    <pageField fld="0" hier="-1"/>
    <pageField fld="6" hier="-1"/>
    <pageField fld="4" hier="-1"/>
  </pageFields>
  <dataFields count="1">
    <dataField name="Count of Site Name" fld="7" subtotal="count" baseField="0" baseItem="0"/>
  </dataFields>
  <formats count="12">
    <format dxfId="486">
      <pivotArea type="all" dataOnly="0" outline="0" fieldPosition="0"/>
    </format>
    <format dxfId="485">
      <pivotArea outline="0" collapsedLevelsAreSubtotals="1" fieldPosition="0"/>
    </format>
    <format dxfId="484">
      <pivotArea field="141" type="button" dataOnly="0" labelOnly="1" outline="0"/>
    </format>
    <format dxfId="483">
      <pivotArea type="all" dataOnly="0" outline="0" fieldPosition="0"/>
    </format>
    <format dxfId="482">
      <pivotArea field="141" type="button" dataOnly="0" labelOnly="1" outline="0"/>
    </format>
    <format dxfId="481">
      <pivotArea field="141" type="button" dataOnly="0" labelOnly="1" outline="0"/>
    </format>
    <format dxfId="480">
      <pivotArea type="all" dataOnly="0" outline="0" fieldPosition="0"/>
    </format>
    <format dxfId="479">
      <pivotArea outline="0" collapsedLevelsAreSubtotals="1" fieldPosition="0"/>
    </format>
    <format dxfId="478">
      <pivotArea field="141" type="button" dataOnly="0" labelOnly="1" outline="0"/>
    </format>
    <format dxfId="477">
      <pivotArea field="4" type="button" dataOnly="0" labelOnly="1" outline="0" axis="axisPage" fieldPosition="2"/>
    </format>
    <format dxfId="476">
      <pivotArea dataOnly="0" labelOnly="1" outline="0" fieldPosition="0">
        <references count="2">
          <reference field="4" count="0"/>
          <reference field="145" count="1" selected="0">
            <x v="0"/>
          </reference>
        </references>
      </pivotArea>
    </format>
    <format dxfId="475">
      <pivotArea outline="0" collapsedLevelsAreSubtotals="1" fieldPosition="0"/>
    </format>
  </formats>
  <chartFormats count="17">
    <chartFormat chart="62" format="0" series="1">
      <pivotArea type="data" outline="0" fieldPosition="0">
        <references count="3">
          <reference field="4294967294" count="1" selected="0">
            <x v="0"/>
          </reference>
          <reference field="145" count="1" selected="0">
            <x v="0"/>
          </reference>
          <reference field="146" count="1" selected="0">
            <x v="0"/>
          </reference>
        </references>
      </pivotArea>
    </chartFormat>
    <chartFormat chart="62" format="1" series="1">
      <pivotArea type="data" outline="0" fieldPosition="0">
        <references count="3">
          <reference field="4294967294" count="1" selected="0">
            <x v="0"/>
          </reference>
          <reference field="145" count="1" selected="0">
            <x v="0"/>
          </reference>
          <reference field="146" count="1" selected="0">
            <x v="1"/>
          </reference>
        </references>
      </pivotArea>
    </chartFormat>
    <chartFormat chart="62" format="2" series="1">
      <pivotArea type="data" outline="0" fieldPosition="0">
        <references count="2">
          <reference field="4294967294" count="1" selected="0">
            <x v="0"/>
          </reference>
          <reference field="145" count="1" selected="0">
            <x v="1"/>
          </reference>
        </references>
      </pivotArea>
    </chartFormat>
    <chartFormat chart="62" format="3" series="1">
      <pivotArea type="data" outline="0" fieldPosition="0">
        <references count="2">
          <reference field="4294967294" count="1" selected="0">
            <x v="0"/>
          </reference>
          <reference field="146" count="1" selected="0">
            <x v="0"/>
          </reference>
        </references>
      </pivotArea>
    </chartFormat>
    <chartFormat chart="62" format="4" series="1">
      <pivotArea type="data" outline="0" fieldPosition="0">
        <references count="2">
          <reference field="4294967294" count="1" selected="0">
            <x v="0"/>
          </reference>
          <reference field="146" count="1" selected="0">
            <x v="1"/>
          </reference>
        </references>
      </pivotArea>
    </chartFormat>
    <chartFormat chart="62" format="5" series="1">
      <pivotArea type="data" outline="0" fieldPosition="0">
        <references count="3">
          <reference field="4294967294" count="1" selected="0">
            <x v="0"/>
          </reference>
          <reference field="145" count="1" selected="0">
            <x v="1"/>
          </reference>
          <reference field="146" count="1" selected="0">
            <x v="1"/>
          </reference>
        </references>
      </pivotArea>
    </chartFormat>
    <chartFormat chart="62" format="6" series="1">
      <pivotArea type="data" outline="0" fieldPosition="0">
        <references count="2">
          <reference field="4294967294" count="1" selected="0">
            <x v="0"/>
          </reference>
          <reference field="145" count="1" selected="0">
            <x v="0"/>
          </reference>
        </references>
      </pivotArea>
    </chartFormat>
    <chartFormat chart="62" format="7" series="1">
      <pivotArea type="data" outline="0" fieldPosition="0">
        <references count="1">
          <reference field="4294967294" count="1" selected="0">
            <x v="0"/>
          </reference>
        </references>
      </pivotArea>
    </chartFormat>
    <chartFormat chart="62" format="8">
      <pivotArea type="data" outline="0" fieldPosition="0">
        <references count="3">
          <reference field="4294967294" count="1" selected="0">
            <x v="0"/>
          </reference>
          <reference field="145" count="1" selected="0">
            <x v="0"/>
          </reference>
          <reference field="146" count="1" selected="0">
            <x v="0"/>
          </reference>
        </references>
      </pivotArea>
    </chartFormat>
    <chartFormat chart="62" format="9">
      <pivotArea type="data" outline="0" fieldPosition="0">
        <references count="3">
          <reference field="4294967294" count="1" selected="0">
            <x v="0"/>
          </reference>
          <reference field="145" count="1" selected="0">
            <x v="0"/>
          </reference>
          <reference field="146" count="1" selected="0">
            <x v="1"/>
          </reference>
        </references>
      </pivotArea>
    </chartFormat>
    <chartFormat chart="62" format="10">
      <pivotArea type="data" outline="0" fieldPosition="0">
        <references count="3">
          <reference field="4294967294" count="1" selected="0">
            <x v="0"/>
          </reference>
          <reference field="145" count="1" selected="0">
            <x v="1"/>
          </reference>
          <reference field="146" count="1" selected="0">
            <x v="1"/>
          </reference>
        </references>
      </pivotArea>
    </chartFormat>
    <chartFormat chart="64" format="15" series="1">
      <pivotArea type="data" outline="0" fieldPosition="0">
        <references count="1">
          <reference field="4294967294" count="1" selected="0">
            <x v="0"/>
          </reference>
        </references>
      </pivotArea>
    </chartFormat>
    <chartFormat chart="64" format="16">
      <pivotArea type="data" outline="0" fieldPosition="0">
        <references count="3">
          <reference field="4294967294" count="1" selected="0">
            <x v="0"/>
          </reference>
          <reference field="145" count="1" selected="0">
            <x v="0"/>
          </reference>
          <reference field="146" count="1" selected="0">
            <x v="0"/>
          </reference>
        </references>
      </pivotArea>
    </chartFormat>
    <chartFormat chart="64" format="17">
      <pivotArea type="data" outline="0" fieldPosition="0">
        <references count="3">
          <reference field="4294967294" count="1" selected="0">
            <x v="0"/>
          </reference>
          <reference field="145" count="1" selected="0">
            <x v="0"/>
          </reference>
          <reference field="146" count="1" selected="0">
            <x v="1"/>
          </reference>
        </references>
      </pivotArea>
    </chartFormat>
    <chartFormat chart="64" format="18">
      <pivotArea type="data" outline="0" fieldPosition="0">
        <references count="3">
          <reference field="4294967294" count="1" selected="0">
            <x v="0"/>
          </reference>
          <reference field="145" count="1" selected="0">
            <x v="1"/>
          </reference>
          <reference field="146" count="1" selected="0">
            <x v="1"/>
          </reference>
        </references>
      </pivotArea>
    </chartFormat>
    <chartFormat chart="64" format="19">
      <pivotArea type="data" outline="0" fieldPosition="0">
        <references count="3">
          <reference field="4294967294" count="1" selected="0">
            <x v="0"/>
          </reference>
          <reference field="145" count="1" selected="0">
            <x v="0"/>
          </reference>
          <reference field="146" count="1" selected="0">
            <x v="2"/>
          </reference>
        </references>
      </pivotArea>
    </chartFormat>
    <chartFormat chart="62" format="11">
      <pivotArea type="data" outline="0" fieldPosition="0">
        <references count="3">
          <reference field="4294967294" count="1" selected="0">
            <x v="0"/>
          </reference>
          <reference field="145" count="1" selected="0">
            <x v="0"/>
          </reference>
          <reference field="146" count="1" selected="0">
            <x v="2"/>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5B3C6537-C2D6-4791-9BF1-695185B14FB7}" name="PivotTable10"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67">
  <location ref="M293:O296" firstHeaderRow="1" firstDataRow="2" firstDataCol="1" rowPageCount="1"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multipleItemSelectionAllowed="1" showAll="0">
      <items count="7">
        <item x="0"/>
        <item m="1" x="4"/>
        <item x="1"/>
        <item m="1" x="2"/>
        <item m="1" x="3"/>
        <item m="1" x="5"/>
        <item t="default"/>
      </items>
    </pivotField>
    <pivotField subtotalTop="0" showAll="0"/>
    <pivotField showAll="0" defaultSubtotal="0"/>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145"/>
  </colFields>
  <colItems count="2">
    <i>
      <x/>
    </i>
    <i>
      <x v="1"/>
    </i>
  </colItems>
  <pageFields count="1">
    <pageField fld="0" hier="-1"/>
  </pageFields>
  <dataFields count="1">
    <dataField name="Count of Site Name" fld="7" subtotal="count" baseField="0" baseItem="0"/>
  </dataFields>
  <formats count="19">
    <format dxfId="505">
      <pivotArea type="all" dataOnly="0" outline="0" fieldPosition="0"/>
    </format>
    <format dxfId="504">
      <pivotArea outline="0" collapsedLevelsAreSubtotals="1" fieldPosition="0"/>
    </format>
    <format dxfId="503">
      <pivotArea field="4" type="button" dataOnly="0" labelOnly="1" outline="0" axis="axisRow" fieldPosition="0"/>
    </format>
    <format dxfId="502">
      <pivotArea dataOnly="0" labelOnly="1" fieldPosition="0">
        <references count="1">
          <reference field="4" count="0"/>
        </references>
      </pivotArea>
    </format>
    <format dxfId="501">
      <pivotArea dataOnly="0" labelOnly="1" grandRow="1" outline="0" fieldPosition="0"/>
    </format>
    <format dxfId="500">
      <pivotArea dataOnly="0" labelOnly="1" outline="0" fieldPosition="0">
        <references count="1">
          <reference field="4294967294" count="1">
            <x v="0"/>
          </reference>
        </references>
      </pivotArea>
    </format>
    <format dxfId="499">
      <pivotArea type="all" dataOnly="0" outline="0" fieldPosition="0"/>
    </format>
    <format dxfId="498">
      <pivotArea outline="0" collapsedLevelsAreSubtotals="1" fieldPosition="0"/>
    </format>
    <format dxfId="497">
      <pivotArea type="origin" dataOnly="0" labelOnly="1" outline="0" fieldPosition="0"/>
    </format>
    <format dxfId="496">
      <pivotArea field="145" type="button" dataOnly="0" labelOnly="1" outline="0" axis="axisCol" fieldPosition="0"/>
    </format>
    <format dxfId="495">
      <pivotArea type="topRight" dataOnly="0" labelOnly="1" outline="0" fieldPosition="0"/>
    </format>
    <format dxfId="494">
      <pivotArea dataOnly="0" labelOnly="1" fieldPosition="0">
        <references count="1">
          <reference field="145" count="0"/>
        </references>
      </pivotArea>
    </format>
    <format dxfId="493">
      <pivotArea type="all" dataOnly="0" outline="0" fieldPosition="0"/>
    </format>
    <format dxfId="492">
      <pivotArea outline="0" collapsedLevelsAreSubtotals="1" fieldPosition="0"/>
    </format>
    <format dxfId="491">
      <pivotArea dataOnly="0" labelOnly="1" fieldPosition="0">
        <references count="1">
          <reference field="145" count="0"/>
        </references>
      </pivotArea>
    </format>
    <format dxfId="490">
      <pivotArea field="4" type="button" dataOnly="0" labelOnly="1" outline="0" axis="axisRow" fieldPosition="0"/>
    </format>
    <format dxfId="489">
      <pivotArea dataOnly="0" labelOnly="1" outline="0" fieldPosition="0">
        <references count="2">
          <reference field="0" count="1" selected="0">
            <x v="8"/>
          </reference>
          <reference field="4" count="0"/>
        </references>
      </pivotArea>
    </format>
    <format dxfId="488">
      <pivotArea dataOnly="0" labelOnly="1" outline="0" fieldPosition="0">
        <references count="2">
          <reference field="0" count="1" selected="0">
            <x v="9"/>
          </reference>
          <reference field="4" count="0"/>
        </references>
      </pivotArea>
    </format>
    <format dxfId="487">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45" count="1" selected="0">
            <x v="0"/>
          </reference>
        </references>
      </pivotArea>
    </chartFormat>
    <chartFormat chart="7" format="9" series="1">
      <pivotArea type="data" outline="0" fieldPosition="0">
        <references count="2">
          <reference field="4294967294" count="1" selected="0">
            <x v="0"/>
          </reference>
          <reference field="145" count="1" selected="0">
            <x v="1"/>
          </reference>
        </references>
      </pivotArea>
    </chartFormat>
    <chartFormat chart="10" format="8" series="1">
      <pivotArea type="data" outline="0" fieldPosition="0">
        <references count="2">
          <reference field="4294967294" count="1" selected="0">
            <x v="0"/>
          </reference>
          <reference field="145" count="1" selected="0">
            <x v="0"/>
          </reference>
        </references>
      </pivotArea>
    </chartFormat>
    <chartFormat chart="10" format="9" series="1">
      <pivotArea type="data" outline="0" fieldPosition="0">
        <references count="2">
          <reference field="4294967294" count="1" selected="0">
            <x v="0"/>
          </reference>
          <reference field="145" count="1" selected="0">
            <x v="1"/>
          </reference>
        </references>
      </pivotArea>
    </chartFormat>
    <chartFormat chart="40" format="8" series="1">
      <pivotArea type="data" outline="0" fieldPosition="0">
        <references count="2">
          <reference field="4294967294" count="1" selected="0">
            <x v="0"/>
          </reference>
          <reference field="145" count="1" selected="0">
            <x v="0"/>
          </reference>
        </references>
      </pivotArea>
    </chartFormat>
    <chartFormat chart="40" format="9" series="1">
      <pivotArea type="data" outline="0" fieldPosition="0">
        <references count="2">
          <reference field="4294967294" count="1" selected="0">
            <x v="0"/>
          </reference>
          <reference field="145" count="1" selected="0">
            <x v="1"/>
          </reference>
        </references>
      </pivotArea>
    </chartFormat>
    <chartFormat chart="42" format="12" series="1">
      <pivotArea type="data" outline="0" fieldPosition="0">
        <references count="2">
          <reference field="4294967294" count="1" selected="0">
            <x v="0"/>
          </reference>
          <reference field="145" count="1" selected="0">
            <x v="0"/>
          </reference>
        </references>
      </pivotArea>
    </chartFormat>
    <chartFormat chart="42" format="13" series="1">
      <pivotArea type="data" outline="0" fieldPosition="0">
        <references count="2">
          <reference field="4294967294" count="1" selected="0">
            <x v="0"/>
          </reference>
          <reference field="145" count="1" selected="0">
            <x v="1"/>
          </reference>
        </references>
      </pivotArea>
    </chartFormat>
    <chartFormat chart="60" format="12" series="1">
      <pivotArea type="data" outline="0" fieldPosition="0">
        <references count="2">
          <reference field="4294967294" count="1" selected="0">
            <x v="0"/>
          </reference>
          <reference field="145" count="1" selected="0">
            <x v="0"/>
          </reference>
        </references>
      </pivotArea>
    </chartFormat>
    <chartFormat chart="60" format="13" series="1">
      <pivotArea type="data" outline="0" fieldPosition="0">
        <references count="2">
          <reference field="4294967294" count="1" selected="0">
            <x v="0"/>
          </reference>
          <reference field="145"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3">
  <location ref="C120:E128" firstHeaderRow="1" firstDataRow="2" firstDataCol="1" rowPageCount="5"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subtotalTop="0" showAll="0"/>
    <pivotField axis="axisPage" multipleItemSelectionAllowed="1" showAll="0" defaultSubtotal="0">
      <items count="15">
        <item x="1"/>
        <item x="2"/>
        <item m="1" x="11"/>
        <item h="1" m="1" x="9"/>
        <item m="1" x="7"/>
        <item m="1" x="6"/>
        <item h="1" m="1" x="13"/>
        <item m="1" x="10"/>
        <item h="1" m="1" x="14"/>
        <item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41"/>
  </colFields>
  <colItems count="2">
    <i>
      <x v="339"/>
    </i>
    <i>
      <x v="340"/>
    </i>
  </colItems>
  <pageFields count="5">
    <pageField fld="146" item="0" hier="-1"/>
    <pageField fld="0" hier="-1"/>
    <pageField fld="4" item="0" hier="-1"/>
    <pageField fld="145" item="0" hier="-1"/>
    <pageField fld="6" hier="-1"/>
  </pageFields>
  <dataFields count="7">
    <dataField name="# latrines (target)" fld="111" baseField="0" baseItem="0"/>
    <dataField name="# Operation &amp; maintenance of latrines" fld="46" baseField="0" baseItem="0"/>
    <dataField name="# Latrines desludged" fld="47" baseField="0" baseItem="0"/>
    <dataField name="# handed over" fld="49" baseField="0" baseItem="0"/>
    <dataField name="Sum of # Existing functional latrines" fld="105" baseField="0" baseItem="0"/>
    <dataField name="  Total # of latrine" fld="149" baseField="0" baseItem="0"/>
    <dataField name="Sum of #_Non-functional latrines" fld="45" baseField="0" baseItem="0"/>
  </dataFields>
  <formats count="14">
    <format dxfId="519">
      <pivotArea field="4" type="button" dataOnly="0" labelOnly="1" outline="0" axis="axisPage" fieldPosition="2"/>
    </format>
    <format dxfId="518">
      <pivotArea type="all" dataOnly="0" outline="0" fieldPosition="0"/>
    </format>
    <format dxfId="517">
      <pivotArea type="origin" dataOnly="0" labelOnly="1" outline="0" fieldPosition="0"/>
    </format>
    <format dxfId="516">
      <pivotArea type="topRight" dataOnly="0" labelOnly="1" outline="0" fieldPosition="0"/>
    </format>
    <format dxfId="515">
      <pivotArea field="-2" type="button" dataOnly="0" labelOnly="1" outline="0" axis="axisRow" fieldPosition="0"/>
    </format>
    <format dxfId="514">
      <pivotArea type="all" dataOnly="0" outline="0" fieldPosition="0"/>
    </format>
    <format dxfId="513">
      <pivotArea outline="0" collapsedLevelsAreSubtotals="1" fieldPosition="0"/>
    </format>
    <format dxfId="512">
      <pivotArea type="origin" dataOnly="0" labelOnly="1" outline="0" fieldPosition="0"/>
    </format>
    <format dxfId="511">
      <pivotArea type="topRight" dataOnly="0" labelOnly="1" outline="0" fieldPosition="0"/>
    </format>
    <format dxfId="510">
      <pivotArea field="-2" type="button" dataOnly="0" labelOnly="1" outline="0" axis="axisRow" fieldPosition="0"/>
    </format>
    <format dxfId="509">
      <pivotArea dataOnly="0" labelOnly="1" outline="0" fieldPosition="0">
        <references count="3">
          <reference field="0" count="1" selected="0">
            <x v="7"/>
          </reference>
          <reference field="4" count="1">
            <x v="0"/>
          </reference>
          <reference field="145" count="1" selected="0">
            <x v="0"/>
          </reference>
        </references>
      </pivotArea>
    </format>
    <format dxfId="508">
      <pivotArea type="all" dataOnly="0" outline="0" fieldPosition="0"/>
    </format>
    <format dxfId="507">
      <pivotArea outline="0" collapsedLevelsAreSubtotals="1" fieldPosition="0"/>
    </format>
    <format dxfId="506">
      <pivotArea dataOnly="0" labelOnly="1" outline="0" fieldPosition="0">
        <references count="1">
          <reference field="4294967294" count="1">
            <x v="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149D3C6-8789-4AF0-81CB-6DB4215F9A62}" name="PivotTable1" cacheId="3" applyNumberFormats="0" applyBorderFormats="0" applyFontFormats="0" applyPatternFormats="0" applyAlignmentFormats="0" applyWidthHeightFormats="1" dataCaption="Values" updatedVersion="7" minRefreshableVersion="3" rowGrandTotals="0" colGrandTotals="0" itemPrintTitles="1" createdVersion="6" indent="0" showHeaders="0" compact="0" compactData="0" multipleFieldFilters="0">
  <location ref="A6:O129" firstHeaderRow="0" firstDataRow="1" firstDataCol="1" rowPageCount="4" colPageCount="1"/>
  <pivotFields count="158">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0"/>
        <item m="1" x="4"/>
        <item x="1"/>
        <item m="1" x="2"/>
        <item m="1" x="3"/>
        <item m="1" x="5"/>
      </items>
    </pivotField>
    <pivotField compact="0" outline="0" subtotalTop="0" showAll="0" defaultSubtotal="0"/>
    <pivotField axis="axisPage" compact="0" outline="0" multipleItemSelectionAllowed="1" showAll="0" defaultSubtotal="0">
      <items count="15">
        <item x="1"/>
        <item x="2"/>
        <item m="1" x="11"/>
        <item h="1" m="1" x="13"/>
        <item h="1" m="1" x="14"/>
        <item h="1" m="1" x="7"/>
        <item h="1" m="1" x="10"/>
        <item h="1" m="1" x="6"/>
        <item m="1" x="8"/>
        <item m="1" x="9"/>
        <item h="1" m="1" x="12"/>
        <item h="1" m="1" x="4"/>
        <item h="1" m="1" x="5"/>
        <item x="3"/>
        <item x="0"/>
      </items>
    </pivotField>
    <pivotField axis="axisRow" compact="0" outline="0" subtotalTop="0" showAll="0" defaultSubtotal="0">
      <items count="1093">
        <item m="1" x="933"/>
        <item m="1" x="1076"/>
        <item m="1" x="507"/>
        <item m="1" x="754"/>
        <item m="1" x="323"/>
        <item m="1" x="518"/>
        <item m="1" x="636"/>
        <item m="1" x="1040"/>
        <item m="1" x="1049"/>
        <item x="21"/>
        <item x="5"/>
        <item x="12"/>
        <item x="49"/>
        <item m="1" x="491"/>
        <item m="1" x="374"/>
        <item m="1" x="624"/>
        <item m="1" x="287"/>
        <item m="1" x="750"/>
        <item m="1" x="330"/>
        <item m="1" x="598"/>
        <item m="1" x="716"/>
        <item m="1" x="730"/>
        <item m="1" x="922"/>
        <item m="1" x="866"/>
        <item m="1" x="503"/>
        <item m="1" x="789"/>
        <item m="1" x="332"/>
        <item m="1" x="998"/>
        <item m="1" x="902"/>
        <item m="1" x="344"/>
        <item m="1" x="779"/>
        <item m="1" x="559"/>
        <item m="1" x="940"/>
        <item m="1" x="880"/>
        <item m="1" x="963"/>
        <item m="1" x="910"/>
        <item m="1" x="845"/>
        <item m="1" x="728"/>
        <item m="1" x="441"/>
        <item m="1" x="985"/>
        <item m="1" x="412"/>
        <item m="1" x="857"/>
        <item m="1" x="479"/>
        <item m="1" x="1000"/>
        <item m="1" x="447"/>
        <item m="1" x="464"/>
        <item m="1" x="844"/>
        <item m="1" x="446"/>
        <item m="1" x="826"/>
        <item m="1" x="574"/>
        <item m="1" x="1025"/>
        <item m="1" x="331"/>
        <item m="1" x="753"/>
        <item m="1" x="462"/>
        <item m="1" x="1077"/>
        <item m="1" x="370"/>
        <item m="1" x="901"/>
        <item m="1" x="1075"/>
        <item m="1" x="239"/>
        <item m="1" x="803"/>
        <item m="1" x="622"/>
        <item m="1" x="693"/>
        <item m="1" x="694"/>
        <item m="1" x="688"/>
        <item m="1" x="258"/>
        <item x="23"/>
        <item m="1" x="1036"/>
        <item m="1" x="1078"/>
        <item m="1" x="790"/>
        <item m="1" x="515"/>
        <item m="1" x="1071"/>
        <item m="1" x="705"/>
        <item m="1" x="1086"/>
        <item m="1" x="538"/>
        <item m="1" x="1048"/>
        <item m="1" x="399"/>
        <item m="1" x="261"/>
        <item m="1" x="251"/>
        <item m="1" x="725"/>
        <item m="1" x="991"/>
        <item m="1" x="432"/>
        <item x="17"/>
        <item m="1" x="354"/>
        <item m="1" x="448"/>
        <item m="1" x="938"/>
        <item m="1" x="891"/>
        <item m="1" x="722"/>
        <item m="1" x="955"/>
        <item m="1" x="276"/>
        <item m="1" x="385"/>
        <item m="1" x="611"/>
        <item m="1" x="237"/>
        <item m="1" x="850"/>
        <item m="1" x="673"/>
        <item m="1" x="1004"/>
        <item m="1" x="851"/>
        <item m="1" x="947"/>
        <item m="1" x="607"/>
        <item m="1" x="653"/>
        <item m="1" x="760"/>
        <item m="1" x="581"/>
        <item m="1" x="563"/>
        <item m="1" x="488"/>
        <item m="1" x="442"/>
        <item x="13"/>
        <item m="1" x="1072"/>
        <item m="1" x="1026"/>
        <item m="1" x="787"/>
        <item m="1" x="530"/>
        <item m="1" x="846"/>
        <item x="25"/>
        <item m="1" x="664"/>
        <item m="1" x="992"/>
        <item m="1" x="474"/>
        <item m="1" x="382"/>
        <item m="1" x="777"/>
        <item m="1" x="748"/>
        <item m="1" x="809"/>
        <item m="1" x="249"/>
        <item m="1" x="272"/>
        <item x="20"/>
        <item m="1" x="965"/>
        <item m="1" x="484"/>
        <item m="1" x="397"/>
        <item m="1" x="480"/>
        <item x="32"/>
        <item m="1" x="674"/>
        <item m="1" x="650"/>
        <item m="1" x="434"/>
        <item m="1" x="244"/>
        <item m="1" x="799"/>
        <item m="1" x="839"/>
        <item m="1" x="229"/>
        <item m="1" x="783"/>
        <item m="1" x="1029"/>
        <item m="1" x="697"/>
        <item m="1" x="277"/>
        <item m="1" x="916"/>
        <item m="1" x="303"/>
        <item m="1" x="416"/>
        <item m="1" x="271"/>
        <item m="1" x="958"/>
        <item x="35"/>
        <item m="1" x="890"/>
        <item m="1" x="613"/>
        <item m="1" x="504"/>
        <item m="1" x="810"/>
        <item m="1" x="482"/>
        <item m="1" x="948"/>
        <item m="1" x="996"/>
        <item m="1" x="908"/>
        <item m="1" x="670"/>
        <item m="1" x="431"/>
        <item x="69"/>
        <item m="1" x="859"/>
        <item x="38"/>
        <item m="1" x="676"/>
        <item x="72"/>
        <item x="86"/>
        <item m="1" x="1013"/>
        <item m="1" x="372"/>
        <item x="87"/>
        <item m="1" x="1034"/>
        <item m="1" x="349"/>
        <item m="1" x="745"/>
        <item m="1" x="621"/>
        <item m="1" x="971"/>
        <item m="1" x="651"/>
        <item m="1" x="918"/>
        <item m="1" x="279"/>
        <item m="1" x="813"/>
        <item m="1" x="738"/>
        <item m="1" x="1011"/>
        <item m="1" x="952"/>
        <item m="1" x="853"/>
        <item m="1" x="723"/>
        <item m="1" x="583"/>
        <item m="1" x="804"/>
        <item m="1" x="655"/>
        <item m="1" x="823"/>
        <item m="1" x="912"/>
        <item m="1" x="219"/>
        <item m="1" x="314"/>
        <item m="1" x="689"/>
        <item m="1" x="247"/>
        <item x="76"/>
        <item x="14"/>
        <item x="51"/>
        <item x="181"/>
        <item m="1" x="340"/>
        <item m="1" x="236"/>
        <item m="1" x="646"/>
        <item x="4"/>
        <item m="1" x="241"/>
        <item m="1" x="548"/>
        <item m="1" x="616"/>
        <item m="1" x="829"/>
        <item m="1" x="505"/>
        <item m="1" x="265"/>
        <item m="1" x="774"/>
        <item m="1" x="972"/>
        <item x="152"/>
        <item m="1" x="769"/>
        <item x="50"/>
        <item m="1" x="343"/>
        <item m="1" x="506"/>
        <item m="1" x="775"/>
        <item m="1" x="1007"/>
        <item x="3"/>
        <item m="1" x="260"/>
        <item m="1" x="994"/>
        <item m="1" x="838"/>
        <item x="37"/>
        <item m="1" x="369"/>
        <item m="1" x="712"/>
        <item m="1" x="685"/>
        <item m="1" x="453"/>
        <item x="131"/>
        <item x="26"/>
        <item x="90"/>
        <item x="16"/>
        <item m="1" x="785"/>
        <item m="1" x="827"/>
        <item m="1" x="473"/>
        <item m="1" x="301"/>
        <item m="1" x="396"/>
        <item m="1" x="794"/>
        <item m="1" x="752"/>
        <item m="1" x="414"/>
        <item x="73"/>
        <item x="1"/>
        <item x="77"/>
        <item x="191"/>
        <item m="1" x="710"/>
        <item x="2"/>
        <item m="1" x="1044"/>
        <item m="1" x="1088"/>
        <item m="1" x="593"/>
        <item m="1" x="953"/>
        <item m="1" x="981"/>
        <item m="1" x="449"/>
        <item m="1" x="569"/>
        <item m="1" x="540"/>
        <item x="64"/>
        <item m="1" x="467"/>
        <item m="1" x="718"/>
        <item m="1" x="679"/>
        <item m="1" x="554"/>
        <item m="1" x="671"/>
        <item m="1" x="893"/>
        <item m="1" x="427"/>
        <item m="1" x="830"/>
        <item m="1" x="375"/>
        <item m="1" x="421"/>
        <item m="1" x="762"/>
        <item m="1" x="423"/>
        <item m="1" x="495"/>
        <item m="1" x="657"/>
        <item m="1" x="818"/>
        <item m="1" x="1003"/>
        <item m="1" x="555"/>
        <item m="1" x="770"/>
        <item m="1" x="296"/>
        <item m="1" x="924"/>
        <item m="1" x="680"/>
        <item m="1" x="956"/>
        <item m="1" x="359"/>
        <item x="75"/>
        <item m="1" x="300"/>
        <item m="1" x="687"/>
        <item m="1" x="463"/>
        <item m="1" x="524"/>
        <item m="1" x="615"/>
        <item m="1" x="1062"/>
        <item m="1" x="292"/>
        <item m="1" x="633"/>
        <item m="1" x="455"/>
        <item m="1" x="586"/>
        <item x="158"/>
        <item m="1" x="529"/>
        <item m="1" x="1080"/>
        <item m="1" x="376"/>
        <item m="1" x="588"/>
        <item m="1" x="773"/>
        <item m="1" x="708"/>
        <item m="1" x="398"/>
        <item m="1" x="490"/>
        <item m="1" x="811"/>
        <item m="1" x="780"/>
        <item m="1" x="533"/>
        <item m="1" x="828"/>
        <item m="1" x="527"/>
        <item m="1" x="316"/>
        <item m="1" x="400"/>
        <item m="1" x="329"/>
        <item m="1" x="786"/>
        <item m="1" x="1031"/>
        <item m="1" x="440"/>
        <item m="1" x="587"/>
        <item m="1" x="766"/>
        <item m="1" x="337"/>
        <item x="91"/>
        <item x="116"/>
        <item m="1" x="1052"/>
        <item m="1" x="628"/>
        <item m="1" x="321"/>
        <item m="1" x="544"/>
        <item m="1" x="1045"/>
        <item m="1" x="391"/>
        <item m="1" x="363"/>
        <item m="1" x="800"/>
        <item m="1" x="868"/>
        <item m="1" x="358"/>
        <item m="1" x="856"/>
        <item m="1" x="280"/>
        <item m="1" x="356"/>
        <item m="1" x="939"/>
        <item m="1" x="406"/>
        <item m="1" x="663"/>
        <item m="1" x="986"/>
        <item m="1" x="1066"/>
        <item m="1" x="1082"/>
        <item m="1" x="339"/>
        <item m="1" x="297"/>
        <item m="1" x="444"/>
        <item m="1" x="949"/>
        <item m="1" x="721"/>
        <item m="1" x="392"/>
        <item m="1" x="814"/>
        <item m="1" x="1024"/>
        <item m="1" x="677"/>
        <item m="1" x="393"/>
        <item m="1" x="426"/>
        <item m="1" x="499"/>
        <item m="1" x="275"/>
        <item m="1" x="886"/>
        <item m="1" x="347"/>
        <item m="1" x="837"/>
        <item m="1" x="294"/>
        <item m="1" x="964"/>
        <item m="1" x="1002"/>
        <item m="1" x="342"/>
        <item m="1" x="614"/>
        <item m="1" x="967"/>
        <item m="1" x="413"/>
        <item m="1" x="1005"/>
        <item m="1" x="285"/>
        <item x="94"/>
        <item m="1" x="573"/>
        <item m="1" x="640"/>
        <item m="1" x="733"/>
        <item m="1" x="232"/>
        <item m="1" x="1064"/>
        <item x="19"/>
        <item m="1" x="951"/>
        <item m="1" x="666"/>
        <item m="1" x="476"/>
        <item m="1" x="1001"/>
        <item m="1" x="419"/>
        <item m="1" x="367"/>
        <item x="65"/>
        <item m="1" x="957"/>
        <item m="1" x="267"/>
        <item m="1" x="500"/>
        <item m="1" x="605"/>
        <item m="1" x="322"/>
        <item x="40"/>
        <item m="1" x="299"/>
        <item m="1" x="713"/>
        <item m="1" x="311"/>
        <item m="1" x="935"/>
        <item m="1" x="291"/>
        <item m="1" x="848"/>
        <item x="52"/>
        <item m="1" x="281"/>
        <item x="78"/>
        <item x="132"/>
        <item m="1" x="390"/>
        <item m="1" x="1090"/>
        <item m="1" x="606"/>
        <item m="1" x="278"/>
        <item m="1" x="220"/>
        <item m="1" x="909"/>
        <item m="1" x="550"/>
        <item m="1" x="273"/>
        <item m="1" x="755"/>
        <item m="1" x="510"/>
        <item m="1" x="335"/>
        <item x="53"/>
        <item m="1" x="706"/>
        <item m="1" x="869"/>
        <item m="1" x="539"/>
        <item m="1" x="652"/>
        <item x="54"/>
        <item x="60"/>
        <item x="28"/>
        <item x="124"/>
        <item x="159"/>
        <item x="160"/>
        <item x="161"/>
        <item x="27"/>
        <item m="1" x="350"/>
        <item m="1" x="289"/>
        <item m="1" x="336"/>
        <item m="1" x="764"/>
        <item m="1" x="995"/>
        <item m="1" x="875"/>
        <item m="1" x="919"/>
        <item x="22"/>
        <item m="1" x="913"/>
        <item m="1" x="386"/>
        <item m="1" x="561"/>
        <item x="182"/>
        <item x="183"/>
        <item x="95"/>
        <item m="1" x="436"/>
        <item x="74"/>
        <item x="18"/>
        <item x="184"/>
        <item x="185"/>
        <item x="193"/>
        <item x="43"/>
        <item m="1" x="941"/>
        <item x="168"/>
        <item x="162"/>
        <item x="163"/>
        <item x="169"/>
        <item x="196"/>
        <item m="1" x="411"/>
        <item x="99"/>
        <item m="1" x="1050"/>
        <item m="1" x="580"/>
        <item x="44"/>
        <item x="56"/>
        <item x="59"/>
        <item x="61"/>
        <item m="1" x="727"/>
        <item m="1" x="221"/>
        <item m="1" x="378"/>
        <item x="98"/>
        <item x="111"/>
        <item m="1" x="231"/>
        <item m="1" x="327"/>
        <item x="128"/>
        <item m="1" x="638"/>
        <item m="1" x="286"/>
        <item m="1" x="1012"/>
        <item m="1" x="966"/>
        <item m="1" x="424"/>
        <item m="1" x="513"/>
        <item m="1" x="341"/>
        <item x="198"/>
        <item x="199"/>
        <item m="1" x="263"/>
        <item m="1" x="326"/>
        <item m="1" x="937"/>
        <item x="30"/>
        <item m="1" x="439"/>
        <item m="1" x="528"/>
        <item m="1" x="256"/>
        <item m="1" x="478"/>
        <item m="1" x="338"/>
        <item m="1" x="348"/>
        <item m="1" x="497"/>
        <item m="1" x="357"/>
        <item m="1" x="361"/>
        <item m="1" x="534"/>
        <item m="1" x="1054"/>
        <item m="1" x="415"/>
        <item m="1" x="719"/>
        <item m="1" x="979"/>
        <item m="1" x="1037"/>
        <item m="1" x="364"/>
        <item m="1" x="776"/>
        <item x="117"/>
        <item m="1" x="897"/>
        <item m="1" x="282"/>
        <item m="1" x="743"/>
        <item m="1" x="585"/>
        <item x="164"/>
        <item x="0"/>
        <item m="1" x="608"/>
        <item m="1" x="788"/>
        <item m="1" x="736"/>
        <item m="1" x="999"/>
        <item x="118"/>
        <item m="1" x="824"/>
        <item m="1" x="394"/>
        <item m="1" x="609"/>
        <item m="1" x="684"/>
        <item m="1" x="295"/>
        <item m="1" x="889"/>
        <item m="1" x="570"/>
        <item x="7"/>
        <item m="1" x="759"/>
        <item m="1" x="346"/>
        <item m="1" x="969"/>
        <item m="1" x="496"/>
        <item m="1" x="1081"/>
        <item m="1" x="686"/>
        <item m="1" x="1017"/>
        <item m="1" x="516"/>
        <item m="1" x="974"/>
        <item m="1" x="867"/>
        <item m="1" x="978"/>
        <item m="1" x="408"/>
        <item m="1" x="791"/>
        <item m="1" x="547"/>
        <item m="1" x="522"/>
        <item m="1" x="575"/>
        <item m="1" x="599"/>
        <item x="101"/>
        <item x="102"/>
        <item x="123"/>
        <item x="126"/>
        <item m="1" x="707"/>
        <item x="103"/>
        <item m="1" x="417"/>
        <item x="106"/>
        <item x="200"/>
        <item m="1" x="525"/>
        <item x="104"/>
        <item x="125"/>
        <item m="1" x="1042"/>
        <item x="29"/>
        <item m="1" x="430"/>
        <item x="36"/>
        <item m="1" x="884"/>
        <item x="6"/>
        <item m="1" x="840"/>
        <item m="1" x="1009"/>
        <item x="31"/>
        <item m="1" x="306"/>
        <item m="1" x="558"/>
        <item m="1" x="896"/>
        <item x="41"/>
        <item m="1" x="409"/>
        <item m="1" x="936"/>
        <item m="1" x="973"/>
        <item m="1" x="984"/>
        <item m="1" x="228"/>
        <item m="1" x="317"/>
        <item x="201"/>
        <item x="46"/>
        <item m="1" x="675"/>
        <item m="1" x="223"/>
        <item m="1" x="568"/>
        <item x="178"/>
        <item m="1" x="1084"/>
        <item x="113"/>
        <item m="1" x="475"/>
        <item m="1" x="717"/>
        <item m="1" x="591"/>
        <item m="1" x="812"/>
        <item m="1" x="870"/>
        <item m="1" x="702"/>
        <item m="1" x="620"/>
        <item m="1" x="549"/>
        <item m="1" x="365"/>
        <item m="1" x="578"/>
        <item m="1" x="631"/>
        <item m="1" x="962"/>
        <item m="1" x="395"/>
        <item m="1" x="667"/>
        <item m="1" x="227"/>
        <item m="1" x="519"/>
        <item m="1" x="1015"/>
        <item m="1" x="387"/>
        <item m="1" x="443"/>
        <item m="1" x="895"/>
        <item m="1" x="514"/>
        <item m="1" x="644"/>
        <item m="1" x="373"/>
        <item m="1" x="433"/>
        <item m="1" x="765"/>
        <item m="1" x="989"/>
        <item m="1" x="854"/>
        <item x="42"/>
        <item m="1" x="366"/>
        <item m="1" x="315"/>
        <item x="170"/>
        <item m="1" x="383"/>
        <item m="1" x="619"/>
        <item m="1" x="1046"/>
        <item m="1" x="600"/>
        <item m="1" x="900"/>
        <item x="165"/>
        <item m="1" x="556"/>
        <item m="1" x="302"/>
        <item m="1" x="456"/>
        <item m="1" x="1069"/>
        <item m="1" x="647"/>
        <item m="1" x="532"/>
        <item m="1" x="298"/>
        <item m="1" x="904"/>
        <item m="1" x="557"/>
        <item m="1" x="761"/>
        <item m="1" x="402"/>
        <item m="1" x="485"/>
        <item m="1" x="1010"/>
        <item m="1" x="662"/>
        <item m="1" x="932"/>
        <item m="1" x="997"/>
        <item m="1" x="401"/>
        <item m="1" x="798"/>
        <item m="1" x="468"/>
        <item m="1" x="1068"/>
        <item x="8"/>
        <item x="11"/>
        <item x="39"/>
        <item m="1" x="842"/>
        <item m="1" x="543"/>
        <item m="1" x="672"/>
        <item x="186"/>
        <item m="1" x="801"/>
        <item m="1" x="410"/>
        <item m="1" x="595"/>
        <item m="1" x="472"/>
        <item x="119"/>
        <item m="1" x="945"/>
        <item m="1" x="240"/>
        <item m="1" x="520"/>
        <item m="1" x="213"/>
        <item x="177"/>
        <item m="1" x="658"/>
        <item m="1" x="1047"/>
        <item m="1" x="835"/>
        <item m="1" x="914"/>
        <item m="1" x="734"/>
        <item m="1" x="517"/>
        <item m="1" x="1070"/>
        <item x="130"/>
        <item m="1" x="545"/>
        <item m="1" x="1016"/>
        <item m="1" x="892"/>
        <item m="1" x="700"/>
        <item m="1" x="603"/>
        <item m="1" x="576"/>
        <item m="1" x="360"/>
        <item m="1" x="418"/>
        <item m="1" x="726"/>
        <item m="1" x="784"/>
        <item m="1" x="457"/>
        <item m="1" x="724"/>
        <item m="1" x="627"/>
        <item m="1" x="696"/>
        <item m="1" x="388"/>
        <item m="1" x="266"/>
        <item m="1" x="494"/>
        <item m="1" x="863"/>
        <item m="1" x="345"/>
        <item m="1" x="820"/>
        <item m="1" x="923"/>
        <item m="1" x="618"/>
        <item m="1" x="1021"/>
        <item m="1" x="623"/>
        <item m="1" x="954"/>
        <item m="1" x="270"/>
        <item m="1" x="512"/>
        <item m="1" x="656"/>
        <item m="1" x="1030"/>
        <item m="1" x="541"/>
        <item m="1" x="862"/>
        <item m="1" x="756"/>
        <item m="1" x="695"/>
        <item m="1" x="242"/>
        <item m="1" x="379"/>
        <item x="203"/>
        <item x="187"/>
        <item m="1" x="690"/>
        <item m="1" x="309"/>
        <item m="1" x="542"/>
        <item m="1" x="564"/>
        <item m="1" x="751"/>
        <item m="1" x="729"/>
        <item m="1" x="1020"/>
        <item m="1" x="368"/>
        <item m="1" x="465"/>
        <item m="1" x="216"/>
        <item m="1" x="353"/>
        <item m="1" x="333"/>
        <item x="204"/>
        <item m="1" x="796"/>
        <item m="1" x="815"/>
        <item x="129"/>
        <item m="1" x="864"/>
        <item m="1" x="551"/>
        <item m="1" x="757"/>
        <item m="1" x="610"/>
        <item m="1" x="982"/>
        <item m="1" x="659"/>
        <item m="1" x="225"/>
        <item m="1" x="377"/>
        <item x="135"/>
        <item m="1" x="604"/>
        <item x="179"/>
        <item m="1" x="643"/>
        <item m="1" x="1022"/>
        <item m="1" x="987"/>
        <item m="1" x="1014"/>
        <item m="1" x="511"/>
        <item m="1" x="489"/>
        <item x="45"/>
        <item m="1" x="1038"/>
        <item m="1" x="487"/>
        <item m="1" x="567"/>
        <item m="1" x="637"/>
        <item m="1" x="816"/>
        <item m="1" x="861"/>
        <item m="1" x="894"/>
        <item m="1" x="698"/>
        <item m="1" x="852"/>
        <item m="1" x="968"/>
        <item m="1" x="887"/>
        <item m="1" x="562"/>
        <item m="1" x="749"/>
        <item m="1" x="917"/>
        <item m="1" x="720"/>
        <item m="1" x="899"/>
        <item m="1" x="832"/>
        <item x="58"/>
        <item m="1" x="1073"/>
        <item m="1" x="903"/>
        <item x="166"/>
        <item m="1" x="217"/>
        <item m="1" x="308"/>
        <item m="1" x="560"/>
        <item m="1" x="822"/>
        <item m="1" x="931"/>
        <item x="188"/>
        <item m="1" x="1085"/>
        <item x="15"/>
        <item m="1" x="699"/>
        <item m="1" x="565"/>
        <item m="1" x="1061"/>
        <item x="171"/>
        <item x="207"/>
        <item m="1" x="313"/>
        <item m="1" x="577"/>
        <item x="189"/>
        <item m="1" x="833"/>
        <item m="1" x="371"/>
        <item m="1" x="1067"/>
        <item x="82"/>
        <item x="83"/>
        <item m="1" x="703"/>
        <item m="1" x="536"/>
        <item m="1" x="834"/>
        <item m="1" x="767"/>
        <item m="1" x="592"/>
        <item m="1" x="246"/>
        <item m="1" x="669"/>
        <item m="1" x="704"/>
        <item m="1" x="320"/>
        <item m="1" x="435"/>
        <item m="1" x="492"/>
        <item m="1" x="602"/>
        <item m="1" x="873"/>
        <item x="172"/>
        <item m="1" x="483"/>
        <item m="1" x="245"/>
        <item m="1" x="898"/>
        <item m="1" x="943"/>
        <item m="1" x="860"/>
        <item m="1" x="1060"/>
        <item m="1" x="983"/>
        <item m="1" x="252"/>
        <item m="1" x="248"/>
        <item m="1" x="678"/>
        <item m="1" x="234"/>
        <item m="1" x="691"/>
        <item m="1" x="950"/>
        <item m="1" x="858"/>
        <item m="1" x="501"/>
        <item m="1" x="466"/>
        <item m="1" x="429"/>
        <item m="1" x="806"/>
        <item m="1" x="582"/>
        <item m="1" x="872"/>
        <item m="1" x="226"/>
        <item m="1" x="876"/>
        <item m="1" x="692"/>
        <item m="1" x="929"/>
        <item x="67"/>
        <item m="1" x="589"/>
        <item m="1" x="874"/>
        <item m="1" x="310"/>
        <item m="1" x="927"/>
        <item m="1" x="841"/>
        <item m="1" x="389"/>
        <item m="1" x="1087"/>
        <item m="1" x="380"/>
        <item m="1" x="290"/>
        <item m="1" x="1008"/>
        <item m="1" x="930"/>
        <item m="1" x="944"/>
        <item m="1" x="795"/>
        <item m="1" x="778"/>
        <item m="1" x="881"/>
        <item x="68"/>
        <item x="180"/>
        <item m="1" x="218"/>
        <item m="1" x="508"/>
        <item m="1" x="1063"/>
        <item m="1" x="946"/>
        <item x="173"/>
        <item x="208"/>
        <item m="1" x="526"/>
        <item x="174"/>
        <item x="175"/>
        <item m="1" x="351"/>
        <item m="1" x="921"/>
        <item m="1" x="768"/>
        <item m="1" x="701"/>
        <item m="1" x="763"/>
        <item m="1" x="781"/>
        <item m="1" x="590"/>
        <item m="1" x="243"/>
        <item m="1" x="630"/>
        <item m="1" x="1059"/>
        <item m="1" x="732"/>
        <item m="1" x="307"/>
        <item m="1" x="819"/>
        <item m="1" x="1065"/>
        <item m="1" x="293"/>
        <item m="1" x="1056"/>
        <item m="1" x="1057"/>
        <item m="1" x="885"/>
        <item m="1" x="1058"/>
        <item m="1" x="404"/>
        <item m="1" x="735"/>
        <item m="1" x="836"/>
        <item m="1" x="961"/>
        <item m="1" x="224"/>
        <item m="1" x="325"/>
        <item m="1" x="493"/>
        <item m="1" x="381"/>
        <item m="1" x="222"/>
        <item m="1" x="740"/>
        <item m="1" x="634"/>
        <item m="1" x="1033"/>
        <item m="1" x="1083"/>
        <item m="1" x="1041"/>
        <item m="1" x="990"/>
        <item m="1" x="312"/>
        <item m="1" x="731"/>
        <item m="1" x="579"/>
        <item m="1" x="498"/>
        <item m="1" x="407"/>
        <item m="1" x="470"/>
        <item m="1" x="257"/>
        <item m="1" x="1019"/>
        <item m="1" x="566"/>
        <item m="1" x="584"/>
        <item m="1" x="553"/>
        <item m="1" x="793"/>
        <item m="1" x="1091"/>
        <item m="1" x="1018"/>
        <item m="1" x="571"/>
        <item m="1" x="454"/>
        <item m="1" x="635"/>
        <item m="1" x="934"/>
        <item m="1" x="288"/>
        <item m="1" x="1023"/>
        <item m="1" x="461"/>
        <item x="209"/>
        <item m="1" x="711"/>
        <item m="1" x="1027"/>
        <item m="1" x="617"/>
        <item m="1" x="471"/>
        <item m="1" x="661"/>
        <item m="1" x="1053"/>
        <item m="1" x="1028"/>
        <item m="1" x="739"/>
        <item m="1" x="668"/>
        <item m="1" x="535"/>
        <item m="1" x="451"/>
        <item m="1" x="452"/>
        <item m="1" x="405"/>
        <item m="1" x="255"/>
        <item m="1" x="403"/>
        <item m="1" x="230"/>
        <item m="1" x="215"/>
        <item m="1" x="871"/>
        <item m="1" x="502"/>
        <item m="1" x="420"/>
        <item m="1" x="639"/>
        <item m="1" x="422"/>
        <item m="1" x="572"/>
        <item m="1" x="269"/>
        <item m="1" x="660"/>
        <item m="1" x="681"/>
        <item m="1" x="715"/>
        <item m="1" x="744"/>
        <item m="1" x="928"/>
        <item m="1" x="362"/>
        <item m="1" x="665"/>
        <item m="1" x="831"/>
        <item m="1" x="797"/>
        <item m="1" x="988"/>
        <item m="1" x="352"/>
        <item m="1" x="521"/>
        <item m="1" x="1079"/>
        <item m="1" x="537"/>
        <item m="1" x="747"/>
        <item m="1" x="792"/>
        <item m="1" x="460"/>
        <item m="1" x="883"/>
        <item m="1" x="808"/>
        <item m="1" x="926"/>
        <item m="1" x="596"/>
        <item m="1" x="425"/>
        <item m="1" x="772"/>
        <item x="176"/>
        <item m="1" x="318"/>
        <item x="112"/>
        <item m="1" x="654"/>
        <item m="1" x="879"/>
        <item m="1" x="319"/>
        <item m="1" x="865"/>
        <item m="1" x="1055"/>
        <item m="1" x="649"/>
        <item m="1" x="648"/>
        <item m="1" x="355"/>
        <item m="1" x="855"/>
        <item m="1" x="384"/>
        <item m="1" x="632"/>
        <item m="1" x="878"/>
        <item m="1" x="334"/>
        <item m="1" x="253"/>
        <item m="1" x="458"/>
        <item m="1" x="477"/>
        <item x="190"/>
        <item x="210"/>
        <item m="1" x="305"/>
        <item m="1" x="825"/>
        <item m="1" x="911"/>
        <item m="1" x="1006"/>
        <item m="1" x="428"/>
        <item x="211"/>
        <item m="1" x="1043"/>
        <item m="1" x="469"/>
        <item m="1" x="1039"/>
        <item m="1" x="977"/>
        <item m="1" x="915"/>
        <item m="1" x="459"/>
        <item m="1" x="849"/>
        <item x="84"/>
        <item x="167"/>
        <item x="194"/>
        <item m="1" x="959"/>
        <item m="1" x="233"/>
        <item m="1" x="802"/>
        <item m="1" x="641"/>
        <item m="1" x="709"/>
        <item m="1" x="509"/>
        <item m="1" x="601"/>
        <item m="1" x="920"/>
        <item m="1" x="594"/>
        <item m="1" x="807"/>
        <item m="1" x="758"/>
        <item m="1" x="976"/>
        <item m="1" x="821"/>
        <item m="1" x="737"/>
        <item m="1" x="1032"/>
        <item m="1" x="597"/>
        <item m="1" x="262"/>
        <item m="1" x="1089"/>
        <item m="1" x="1074"/>
        <item m="1" x="324"/>
        <item m="1" x="1092"/>
        <item x="212"/>
        <item m="1" x="642"/>
        <item m="1" x="259"/>
        <item m="1" x="238"/>
        <item m="1" x="888"/>
        <item m="1" x="906"/>
        <item m="1" x="907"/>
        <item m="1" x="980"/>
        <item m="1" x="942"/>
        <item m="1" x="328"/>
        <item m="1" x="629"/>
        <item m="1" x="437"/>
        <item m="1" x="438"/>
        <item m="1" x="1051"/>
        <item m="1" x="993"/>
        <item m="1" x="546"/>
        <item m="1" x="274"/>
        <item m="1" x="645"/>
        <item m="1" x="975"/>
        <item m="1" x="250"/>
        <item m="1" x="625"/>
        <item m="1" x="1035"/>
        <item m="1" x="626"/>
        <item m="1" x="970"/>
        <item m="1" x="552"/>
        <item m="1" x="486"/>
        <item m="1" x="843"/>
        <item m="1" x="254"/>
        <item m="1" x="268"/>
        <item m="1" x="782"/>
        <item m="1" x="746"/>
        <item m="1" x="283"/>
        <item m="1" x="925"/>
        <item m="1" x="264"/>
        <item m="1" x="481"/>
        <item m="1" x="682"/>
        <item m="1" x="612"/>
        <item m="1" x="284"/>
        <item m="1" x="960"/>
        <item m="1" x="742"/>
        <item m="1" x="683"/>
        <item m="1" x="714"/>
        <item x="120"/>
        <item m="1" x="445"/>
        <item m="1" x="214"/>
        <item m="1" x="450"/>
        <item m="1" x="741"/>
        <item x="88"/>
        <item x="108"/>
        <item m="1" x="905"/>
        <item m="1" x="235"/>
        <item x="79"/>
        <item x="121"/>
        <item m="1" x="847"/>
        <item x="92"/>
        <item x="55"/>
        <item x="81"/>
        <item x="142"/>
        <item m="1" x="771"/>
        <item m="1" x="805"/>
        <item x="157"/>
        <item m="1" x="304"/>
        <item m="1" x="531"/>
        <item x="9"/>
        <item x="10"/>
        <item m="1" x="877"/>
        <item x="134"/>
        <item x="133"/>
        <item x="93"/>
        <item x="107"/>
        <item x="192"/>
        <item x="70"/>
        <item x="71"/>
        <item x="85"/>
        <item x="127"/>
        <item x="114"/>
        <item x="80"/>
        <item x="47"/>
        <item m="1" x="817"/>
        <item x="48"/>
        <item x="115"/>
        <item x="62"/>
        <item x="63"/>
        <item x="57"/>
        <item x="24"/>
        <item x="206"/>
        <item m="1" x="882"/>
        <item x="33"/>
        <item x="97"/>
        <item x="100"/>
        <item x="105"/>
        <item x="109"/>
        <item x="110"/>
        <item x="122"/>
        <item m="1" x="523"/>
        <item x="89"/>
        <item x="197"/>
        <item x="34"/>
        <item x="66"/>
        <item x="136"/>
        <item x="137"/>
        <item x="138"/>
        <item x="139"/>
        <item x="140"/>
        <item x="141"/>
        <item x="143"/>
        <item x="144"/>
        <item x="145"/>
        <item x="146"/>
        <item x="147"/>
        <item x="148"/>
        <item x="96"/>
        <item x="149"/>
        <item x="150"/>
        <item x="151"/>
        <item x="195"/>
        <item x="153"/>
        <item x="154"/>
        <item x="155"/>
        <item x="156"/>
        <item x="202"/>
        <item x="205"/>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axis="axisPage" compact="0" outline="0" subtotalTop="0" showAll="0" defaultSubtotal="0">
      <items count="3">
        <item x="1"/>
        <item x="0"/>
        <item x="2"/>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23">
    <i>
      <x v="9"/>
    </i>
    <i>
      <x v="10"/>
    </i>
    <i>
      <x v="11"/>
    </i>
    <i>
      <x v="12"/>
    </i>
    <i>
      <x v="65"/>
    </i>
    <i>
      <x v="81"/>
    </i>
    <i>
      <x v="104"/>
    </i>
    <i>
      <x v="120"/>
    </i>
    <i>
      <x v="125"/>
    </i>
    <i>
      <x v="142"/>
    </i>
    <i>
      <x v="153"/>
    </i>
    <i>
      <x v="155"/>
    </i>
    <i>
      <x v="187"/>
    </i>
    <i>
      <x v="188"/>
    </i>
    <i>
      <x v="192"/>
    </i>
    <i>
      <x v="203"/>
    </i>
    <i>
      <x v="208"/>
    </i>
    <i>
      <x v="212"/>
    </i>
    <i>
      <x v="217"/>
    </i>
    <i>
      <x v="218"/>
    </i>
    <i>
      <x v="220"/>
    </i>
    <i>
      <x v="229"/>
    </i>
    <i>
      <x v="230"/>
    </i>
    <i>
      <x v="231"/>
    </i>
    <i>
      <x v="232"/>
    </i>
    <i>
      <x v="234"/>
    </i>
    <i>
      <x v="243"/>
    </i>
    <i>
      <x v="267"/>
    </i>
    <i>
      <x v="278"/>
    </i>
    <i>
      <x v="353"/>
    </i>
    <i>
      <x v="360"/>
    </i>
    <i>
      <x v="373"/>
    </i>
    <i>
      <x v="375"/>
    </i>
    <i>
      <x v="376"/>
    </i>
    <i>
      <x v="388"/>
    </i>
    <i>
      <x v="393"/>
    </i>
    <i>
      <x v="394"/>
    </i>
    <i>
      <x v="395"/>
    </i>
    <i>
      <x v="397"/>
    </i>
    <i>
      <x v="398"/>
    </i>
    <i>
      <x v="399"/>
    </i>
    <i>
      <x v="400"/>
    </i>
    <i>
      <x v="408"/>
    </i>
    <i>
      <x v="412"/>
    </i>
    <i>
      <x v="413"/>
    </i>
    <i>
      <x v="416"/>
    </i>
    <i>
      <x v="417"/>
    </i>
    <i>
      <x v="418"/>
    </i>
    <i>
      <x v="419"/>
    </i>
    <i>
      <x v="420"/>
    </i>
    <i>
      <x v="421"/>
    </i>
    <i>
      <x v="423"/>
    </i>
    <i>
      <x v="424"/>
    </i>
    <i>
      <x v="425"/>
    </i>
    <i>
      <x v="426"/>
    </i>
    <i>
      <x v="432"/>
    </i>
    <i>
      <x v="433"/>
    </i>
    <i>
      <x v="434"/>
    </i>
    <i>
      <x v="435"/>
    </i>
    <i>
      <x v="443"/>
    </i>
    <i>
      <x v="451"/>
    </i>
    <i>
      <x v="452"/>
    </i>
    <i>
      <x v="479"/>
    </i>
    <i>
      <x v="480"/>
    </i>
    <i>
      <x v="493"/>
    </i>
    <i>
      <x v="519"/>
    </i>
    <i>
      <x v="524"/>
    </i>
    <i>
      <x v="526"/>
    </i>
    <i>
      <x v="528"/>
    </i>
    <i>
      <x v="531"/>
    </i>
    <i>
      <x v="535"/>
    </i>
    <i>
      <x v="542"/>
    </i>
    <i>
      <x v="543"/>
    </i>
    <i>
      <x v="547"/>
    </i>
    <i>
      <x v="580"/>
    </i>
    <i>
      <x v="586"/>
    </i>
    <i>
      <x v="607"/>
    </i>
    <i>
      <x v="608"/>
    </i>
    <i>
      <x v="613"/>
    </i>
    <i>
      <x v="623"/>
    </i>
    <i>
      <x v="631"/>
    </i>
    <i>
      <x v="667"/>
    </i>
    <i>
      <x v="668"/>
    </i>
    <i>
      <x v="681"/>
    </i>
    <i>
      <x v="684"/>
    </i>
    <i>
      <x v="695"/>
    </i>
    <i>
      <x v="702"/>
    </i>
    <i>
      <x v="720"/>
    </i>
    <i>
      <x v="723"/>
    </i>
    <i>
      <x v="729"/>
    </i>
    <i>
      <x v="731"/>
    </i>
    <i>
      <x v="735"/>
    </i>
    <i>
      <x v="736"/>
    </i>
    <i>
      <x v="739"/>
    </i>
    <i>
      <x v="743"/>
    </i>
    <i>
      <x v="744"/>
    </i>
    <i>
      <x v="758"/>
    </i>
    <i>
      <x v="783"/>
    </i>
    <i>
      <x v="799"/>
    </i>
    <i>
      <x v="800"/>
    </i>
    <i>
      <x v="805"/>
    </i>
    <i>
      <x v="806"/>
    </i>
    <i>
      <x v="808"/>
    </i>
    <i>
      <x v="809"/>
    </i>
    <i>
      <x v="865"/>
    </i>
    <i>
      <x v="913"/>
    </i>
    <i>
      <x v="932"/>
    </i>
    <i>
      <x v="933"/>
    </i>
    <i>
      <x v="939"/>
    </i>
    <i>
      <x v="947"/>
    </i>
    <i>
      <x v="948"/>
    </i>
    <i>
      <x v="949"/>
    </i>
    <i>
      <x v="971"/>
    </i>
    <i>
      <x v="1026"/>
    </i>
    <i>
      <x v="1041"/>
    </i>
    <i>
      <x v="1042"/>
    </i>
    <i>
      <x v="1043"/>
    </i>
    <i>
      <x v="1046"/>
    </i>
    <i>
      <x v="1056"/>
    </i>
    <i>
      <x v="1058"/>
    </i>
    <i>
      <x v="1067"/>
    </i>
    <i>
      <x v="1091"/>
    </i>
    <i>
      <x v="1092"/>
    </i>
  </rowItems>
  <colFields count="1">
    <field x="-2"/>
  </colFields>
  <colItems count="14">
    <i>
      <x/>
    </i>
    <i i="1">
      <x v="1"/>
    </i>
    <i i="2">
      <x v="2"/>
    </i>
    <i i="3">
      <x v="3"/>
    </i>
    <i i="4">
      <x v="4"/>
    </i>
    <i i="5">
      <x v="5"/>
    </i>
    <i i="6">
      <x v="6"/>
    </i>
    <i i="7">
      <x v="7"/>
    </i>
    <i i="8">
      <x v="8"/>
    </i>
    <i i="9">
      <x v="9"/>
    </i>
    <i i="10">
      <x v="10"/>
    </i>
    <i i="11">
      <x v="11"/>
    </i>
    <i i="12">
      <x v="12"/>
    </i>
    <i i="13">
      <x v="13"/>
    </i>
  </colItems>
  <pageFields count="4">
    <pageField fld="145" item="0" hier="-1"/>
    <pageField fld="6" hier="-1"/>
    <pageField fld="4" item="0" hier="-1"/>
    <pageField fld="146" item="1"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4" subtotal="max" baseField="7" baseItem="7"/>
    <dataField name="Max of HRP5" fld="135" subtotal="max" baseField="7" baseItem="7"/>
    <dataField name="Max of HRP6" fld="136" subtotal="max" baseField="7" baseItem="9"/>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7"/>
    <dataField name="Max of # People access to water in THF_HRP6" fld="91" subtotal="max" baseField="7" baseItem="7"/>
    <dataField name="Max of # students access to functioning school latrines_HRP5" fld="109" subtotal="max" baseField="7" baseItem="7"/>
    <dataField name="Max of # People access to functioning latrines in THF_HRP6" fld="110" subtotal="max" baseField="7" baseItem="7"/>
  </dataFields>
  <formats count="58">
    <format dxfId="738">
      <pivotArea field="4" type="button" dataOnly="0" labelOnly="1" outline="0" axis="axisPage" fieldPosition="2"/>
    </format>
    <format dxfId="737">
      <pivotArea type="all" dataOnly="0" outline="0" fieldPosition="0"/>
    </format>
    <format dxfId="736">
      <pivotArea field="4" type="button" dataOnly="0" labelOnly="1" outline="0" axis="axisPage" fieldPosition="2"/>
    </format>
    <format dxfId="735">
      <pivotArea outline="0" fieldPosition="0">
        <references count="1">
          <reference field="4294967294" count="1">
            <x v="0"/>
          </reference>
        </references>
      </pivotArea>
    </format>
    <format dxfId="734">
      <pivotArea dataOnly="0" labelOnly="1" outline="0" fieldPosition="0">
        <references count="1">
          <reference field="4294967294" count="1">
            <x v="0"/>
          </reference>
        </references>
      </pivotArea>
    </format>
    <format dxfId="733">
      <pivotArea type="all" dataOnly="0" outline="0" fieldPosition="0"/>
    </format>
    <format dxfId="732">
      <pivotArea outline="0" collapsedLevelsAreSubtotals="1" fieldPosition="0"/>
    </format>
    <format dxfId="731">
      <pivotArea dataOnly="0" labelOnly="1" fieldPosition="0">
        <references count="1">
          <reference field="4" count="0"/>
        </references>
      </pivotArea>
    </format>
    <format dxfId="730">
      <pivotArea dataOnly="0" labelOnly="1" grandRow="1" outline="0" fieldPosition="0"/>
    </format>
    <format dxfId="729">
      <pivotArea dataOnly="0" labelOnly="1" outline="0" fieldPosition="0">
        <references count="1">
          <reference field="4294967294" count="1">
            <x v="0"/>
          </reference>
        </references>
      </pivotArea>
    </format>
    <format dxfId="728">
      <pivotArea type="all" dataOnly="0" outline="0" fieldPosition="0"/>
    </format>
    <format dxfId="727">
      <pivotArea outline="0" collapsedLevelsAreSubtotals="1" fieldPosition="0"/>
    </format>
    <format dxfId="726">
      <pivotArea dataOnly="0" labelOnly="1" fieldPosition="0">
        <references count="1">
          <reference field="4" count="0"/>
        </references>
      </pivotArea>
    </format>
    <format dxfId="725">
      <pivotArea dataOnly="0" labelOnly="1" grandRow="1" outline="0" fieldPosition="0"/>
    </format>
    <format dxfId="724">
      <pivotArea dataOnly="0" labelOnly="1" outline="0" fieldPosition="0">
        <references count="1">
          <reference field="4294967294" count="1">
            <x v="0"/>
          </reference>
        </references>
      </pivotArea>
    </format>
    <format dxfId="723">
      <pivotArea outline="0" collapsedLevelsAreSubtotals="1" fieldPosition="0"/>
    </format>
    <format dxfId="722">
      <pivotArea outline="0" collapsedLevelsAreSubtotals="1" fieldPosition="0">
        <references count="1">
          <reference field="4294967294" count="1" selected="0">
            <x v="1"/>
          </reference>
        </references>
      </pivotArea>
    </format>
    <format dxfId="721">
      <pivotArea dataOnly="0" labelOnly="1" outline="0" fieldPosition="0">
        <references count="1">
          <reference field="4294967294" count="1">
            <x v="1"/>
          </reference>
        </references>
      </pivotArea>
    </format>
    <format dxfId="720">
      <pivotArea outline="0" collapsedLevelsAreSubtotals="1" fieldPosition="0">
        <references count="1">
          <reference field="4294967294" count="1" selected="0">
            <x v="1"/>
          </reference>
        </references>
      </pivotArea>
    </format>
    <format dxfId="719">
      <pivotArea dataOnly="0" labelOnly="1" outline="0" fieldPosition="0">
        <references count="1">
          <reference field="4294967294" count="1">
            <x v="1"/>
          </reference>
        </references>
      </pivotArea>
    </format>
    <format dxfId="718">
      <pivotArea outline="0" collapsedLevelsAreSubtotals="1" fieldPosition="0">
        <references count="1">
          <reference field="4294967294" count="1" selected="0">
            <x v="2"/>
          </reference>
        </references>
      </pivotArea>
    </format>
    <format dxfId="717">
      <pivotArea dataOnly="0" labelOnly="1" outline="0" fieldPosition="0">
        <references count="1">
          <reference field="4294967294" count="1">
            <x v="2"/>
          </reference>
        </references>
      </pivotArea>
    </format>
    <format dxfId="716">
      <pivotArea outline="0" collapsedLevelsAreSubtotals="1" fieldPosition="0">
        <references count="1">
          <reference field="4294967294" count="1" selected="0">
            <x v="2"/>
          </reference>
        </references>
      </pivotArea>
    </format>
    <format dxfId="715">
      <pivotArea dataOnly="0" labelOnly="1" outline="0" fieldPosition="0">
        <references count="1">
          <reference field="4294967294" count="1">
            <x v="2"/>
          </reference>
        </references>
      </pivotArea>
    </format>
    <format dxfId="714">
      <pivotArea outline="0" collapsedLevelsAreSubtotals="1" fieldPosition="0">
        <references count="1">
          <reference field="4294967294" count="1" selected="0">
            <x v="3"/>
          </reference>
        </references>
      </pivotArea>
    </format>
    <format dxfId="713">
      <pivotArea dataOnly="0" labelOnly="1" outline="0" fieldPosition="0">
        <references count="1">
          <reference field="4294967294" count="1">
            <x v="3"/>
          </reference>
        </references>
      </pivotArea>
    </format>
    <format dxfId="712">
      <pivotArea outline="0" collapsedLevelsAreSubtotals="1" fieldPosition="0">
        <references count="1">
          <reference field="4294967294" count="1" selected="0">
            <x v="3"/>
          </reference>
        </references>
      </pivotArea>
    </format>
    <format dxfId="711">
      <pivotArea dataOnly="0" labelOnly="1" outline="0" fieldPosition="0">
        <references count="1">
          <reference field="4294967294" count="1">
            <x v="3"/>
          </reference>
        </references>
      </pivotArea>
    </format>
    <format dxfId="710">
      <pivotArea outline="0" collapsedLevelsAreSubtotals="1" fieldPosition="0">
        <references count="1">
          <reference field="4294967294" count="1" selected="0">
            <x v="0"/>
          </reference>
        </references>
      </pivotArea>
    </format>
    <format dxfId="709">
      <pivotArea dataOnly="0" labelOnly="1" outline="0" fieldPosition="0">
        <references count="1">
          <reference field="4294967294" count="1">
            <x v="0"/>
          </reference>
        </references>
      </pivotArea>
    </format>
    <format dxfId="708">
      <pivotArea outline="0" collapsedLevelsAreSubtotals="1" fieldPosition="0">
        <references count="1">
          <reference field="4294967294" count="1" selected="0">
            <x v="0"/>
          </reference>
        </references>
      </pivotArea>
    </format>
    <format dxfId="707">
      <pivotArea dataOnly="0" labelOnly="1" outline="0" fieldPosition="0">
        <references count="1">
          <reference field="4294967294" count="1">
            <x v="0"/>
          </reference>
        </references>
      </pivotArea>
    </format>
    <format dxfId="706">
      <pivotArea dataOnly="0" labelOnly="1" outline="0" fieldPosition="0">
        <references count="1">
          <reference field="4294967294" count="4">
            <x v="0"/>
            <x v="1"/>
            <x v="2"/>
            <x v="3"/>
          </reference>
        </references>
      </pivotArea>
    </format>
    <format dxfId="705">
      <pivotArea dataOnly="0" labelOnly="1" outline="0" fieldPosition="0">
        <references count="1">
          <reference field="4294967294" count="4">
            <x v="0"/>
            <x v="1"/>
            <x v="2"/>
            <x v="3"/>
          </reference>
        </references>
      </pivotArea>
    </format>
    <format dxfId="704">
      <pivotArea dataOnly="0" labelOnly="1" outline="0" fieldPosition="0">
        <references count="1">
          <reference field="4294967294" count="1">
            <x v="7"/>
          </reference>
        </references>
      </pivotArea>
    </format>
    <format dxfId="703">
      <pivotArea dataOnly="0" labelOnly="1" outline="0" fieldPosition="0">
        <references count="1">
          <reference field="4294967294" count="1">
            <x v="7"/>
          </reference>
        </references>
      </pivotArea>
    </format>
    <format dxfId="702">
      <pivotArea dataOnly="0" labelOnly="1" outline="0" fieldPosition="0">
        <references count="1">
          <reference field="4294967294" count="1">
            <x v="9"/>
          </reference>
        </references>
      </pivotArea>
    </format>
    <format dxfId="701">
      <pivotArea outline="0" collapsedLevelsAreSubtotals="1" fieldPosition="0">
        <references count="1">
          <reference field="4294967294" count="2" selected="0">
            <x v="7"/>
            <x v="9"/>
          </reference>
        </references>
      </pivotArea>
    </format>
    <format dxfId="700">
      <pivotArea dataOnly="0" labelOnly="1" outline="0" fieldPosition="0">
        <references count="1">
          <reference field="4294967294" count="1">
            <x v="8"/>
          </reference>
        </references>
      </pivotArea>
    </format>
    <format dxfId="699">
      <pivotArea collapsedLevelsAreSubtotals="1" fieldPosition="0">
        <references count="2">
          <reference field="4294967294" count="1" selected="0">
            <x v="8"/>
          </reference>
          <reference field="4" count="1">
            <x v="0"/>
          </reference>
        </references>
      </pivotArea>
    </format>
    <format dxfId="698">
      <pivotArea outline="0" collapsedLevelsAreSubtotals="1" fieldPosition="0">
        <references count="1">
          <reference field="4294967294" count="3" selected="0">
            <x v="7"/>
            <x v="8"/>
            <x v="9"/>
          </reference>
        </references>
      </pivotArea>
    </format>
    <format dxfId="697">
      <pivotArea dataOnly="0" labelOnly="1" outline="0" fieldPosition="0">
        <references count="1">
          <reference field="4294967294" count="3">
            <x v="7"/>
            <x v="8"/>
            <x v="9"/>
          </reference>
        </references>
      </pivotArea>
    </format>
    <format dxfId="696">
      <pivotArea outline="0" collapsedLevelsAreSubtotals="1" fieldPosition="0">
        <references count="1">
          <reference field="4294967294" count="3" selected="0">
            <x v="7"/>
            <x v="8"/>
            <x v="9"/>
          </reference>
        </references>
      </pivotArea>
    </format>
    <format dxfId="695">
      <pivotArea dataOnly="0" labelOnly="1" outline="0" fieldPosition="0">
        <references count="1">
          <reference field="4294967294" count="3">
            <x v="7"/>
            <x v="8"/>
            <x v="9"/>
          </reference>
        </references>
      </pivotArea>
    </format>
    <format dxfId="694">
      <pivotArea outline="0" collapsedLevelsAreSubtotals="1" fieldPosition="0">
        <references count="1">
          <reference field="4294967294" count="1" selected="0">
            <x v="4"/>
          </reference>
        </references>
      </pivotArea>
    </format>
    <format dxfId="693">
      <pivotArea dataOnly="0" labelOnly="1" outline="0" fieldPosition="0">
        <references count="1">
          <reference field="4294967294" count="1">
            <x v="4"/>
          </reference>
        </references>
      </pivotArea>
    </format>
    <format dxfId="692">
      <pivotArea outline="0" collapsedLevelsAreSubtotals="1" fieldPosition="0">
        <references count="1">
          <reference field="4294967294" count="1" selected="0">
            <x v="5"/>
          </reference>
        </references>
      </pivotArea>
    </format>
    <format dxfId="691">
      <pivotArea dataOnly="0" labelOnly="1" outline="0" fieldPosition="0">
        <references count="1">
          <reference field="4294967294" count="1">
            <x v="5"/>
          </reference>
        </references>
      </pivotArea>
    </format>
    <format dxfId="690">
      <pivotArea dataOnly="0" outline="0" fieldPosition="0">
        <references count="2">
          <reference field="4" count="0" defaultSubtotal="1"/>
          <reference field="145" count="1" selected="0">
            <x v="0"/>
          </reference>
        </references>
      </pivotArea>
    </format>
    <format dxfId="689">
      <pivotArea dataOnly="0" labelOnly="1" outline="0" fieldPosition="0">
        <references count="1">
          <reference field="4294967294" count="10">
            <x v="0"/>
            <x v="1"/>
            <x v="2"/>
            <x v="3"/>
            <x v="4"/>
            <x v="5"/>
            <x v="7"/>
            <x v="8"/>
            <x v="9"/>
            <x v="12"/>
          </reference>
        </references>
      </pivotArea>
    </format>
    <format dxfId="688">
      <pivotArea dataOnly="0" labelOnly="1" outline="0" fieldPosition="0">
        <references count="1">
          <reference field="4294967294" count="10">
            <x v="0"/>
            <x v="1"/>
            <x v="2"/>
            <x v="3"/>
            <x v="4"/>
            <x v="5"/>
            <x v="7"/>
            <x v="8"/>
            <x v="9"/>
            <x v="12"/>
          </reference>
        </references>
      </pivotArea>
    </format>
    <format dxfId="687">
      <pivotArea dataOnly="0" labelOnly="1" outline="0" fieldPosition="0">
        <references count="1">
          <reference field="4294967294" count="10">
            <x v="0"/>
            <x v="1"/>
            <x v="2"/>
            <x v="3"/>
            <x v="4"/>
            <x v="5"/>
            <x v="7"/>
            <x v="8"/>
            <x v="9"/>
            <x v="12"/>
          </reference>
        </references>
      </pivotArea>
    </format>
    <format dxfId="686">
      <pivotArea dataOnly="0" outline="0" fieldPosition="0">
        <references count="3">
          <reference field="4294967294" count="1">
            <x v="6"/>
          </reference>
          <reference field="4" count="1" selected="0">
            <x v="0"/>
          </reference>
          <reference field="145" count="1" selected="0">
            <x v="0"/>
          </reference>
        </references>
      </pivotArea>
    </format>
    <format dxfId="685">
      <pivotArea dataOnly="0" labelOnly="1" outline="0" fieldPosition="0">
        <references count="1">
          <reference field="4294967294" count="1">
            <x v="6"/>
          </reference>
        </references>
      </pivotArea>
    </format>
    <format dxfId="684">
      <pivotArea dataOnly="0" labelOnly="1" outline="0" fieldPosition="0">
        <references count="1">
          <reference field="4294967294" count="1">
            <x v="11"/>
          </reference>
        </references>
      </pivotArea>
    </format>
    <format dxfId="683">
      <pivotArea dataOnly="0" labelOnly="1" outline="0" fieldPosition="0">
        <references count="1">
          <reference field="4294967294" count="1">
            <x v="10"/>
          </reference>
        </references>
      </pivotArea>
    </format>
    <format dxfId="682">
      <pivotArea dataOnly="0" labelOnly="1" outline="0" fieldPosition="0">
        <references count="1">
          <reference field="4294967294" count="1">
            <x v="10"/>
          </reference>
        </references>
      </pivotArea>
    </format>
    <format dxfId="681">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759B72DB-9407-4B8F-A3A5-4416A3177B54}" name="PivotTable13"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0">
  <location ref="AI120:AK133" firstHeaderRow="0" firstDataRow="1" firstDataCol="1" rowPageCount="4"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m="1" x="3"/>
        <item h="1" m="1" x="4"/>
        <item h="1" m="1" x="6"/>
        <item h="1"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items count="48">
        <item m="1" x="31"/>
        <item x="0"/>
        <item m="1" x="44"/>
        <item m="1" x="36"/>
        <item x="2"/>
        <item x="3"/>
        <item x="21"/>
        <item x="23"/>
        <item x="11"/>
        <item x="13"/>
        <item x="17"/>
        <item m="1" x="39"/>
        <item m="1" x="26"/>
        <item x="14"/>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4"/>
        <item m="1" x="24"/>
        <item m="1" x="46"/>
        <item x="22"/>
        <item t="default"/>
      </items>
    </pivotField>
    <pivotField axis="axisPage" multipleItemSelectionAllowed="1" showAll="0" defaultSubtotal="0">
      <items count="15">
        <item x="1"/>
        <item x="2"/>
        <item m="1" x="11"/>
        <item h="1" m="1" x="9"/>
        <item m="1" x="7"/>
        <item m="1" x="6"/>
        <item h="1" m="1" x="13"/>
        <item m="1" x="10"/>
        <item h="1" m="1" x="14"/>
        <item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4"/>
    </i>
    <i>
      <x v="5"/>
    </i>
    <i>
      <x v="8"/>
    </i>
    <i>
      <x v="16"/>
    </i>
    <i>
      <x v="20"/>
    </i>
    <i>
      <x v="21"/>
    </i>
    <i>
      <x v="23"/>
    </i>
    <i>
      <x v="27"/>
    </i>
    <i>
      <x v="39"/>
    </i>
    <i>
      <x v="41"/>
    </i>
    <i>
      <x v="42"/>
    </i>
    <i>
      <x v="43"/>
    </i>
  </rowItems>
  <colFields count="1">
    <field x="-2"/>
  </colFields>
  <colItems count="2">
    <i>
      <x/>
    </i>
    <i i="1">
      <x v="1"/>
    </i>
  </colItems>
  <pageFields count="4">
    <pageField fld="0" hier="-1"/>
    <pageField fld="4" item="0" hier="-1"/>
    <pageField fld="145" item="0" hier="-1"/>
    <pageField fld="6" hier="-1"/>
  </pageFields>
  <dataFields count="2">
    <dataField name="Reached" fld="105" baseField="0" baseItem="0"/>
    <dataField name="Target (20:1)" fld="111" baseField="0" baseItem="0"/>
  </dataFields>
  <formats count="14">
    <format dxfId="533">
      <pivotArea field="4" type="button" dataOnly="0" labelOnly="1" outline="0" axis="axisPage" fieldPosition="1"/>
    </format>
    <format dxfId="532">
      <pivotArea type="all" dataOnly="0" outline="0" fieldPosition="0"/>
    </format>
    <format dxfId="531">
      <pivotArea type="origin" dataOnly="0" labelOnly="1" outline="0" fieldPosition="0"/>
    </format>
    <format dxfId="530">
      <pivotArea type="topRight" dataOnly="0" labelOnly="1" outline="0" fieldPosition="0"/>
    </format>
    <format dxfId="529">
      <pivotArea field="-2" type="button" dataOnly="0" labelOnly="1" outline="0" axis="axisCol" fieldPosition="0"/>
    </format>
    <format dxfId="528">
      <pivotArea type="all" dataOnly="0" outline="0" fieldPosition="0"/>
    </format>
    <format dxfId="527">
      <pivotArea outline="0" collapsedLevelsAreSubtotals="1" fieldPosition="0"/>
    </format>
    <format dxfId="526">
      <pivotArea type="origin" dataOnly="0" labelOnly="1" outline="0" fieldPosition="0"/>
    </format>
    <format dxfId="525">
      <pivotArea type="topRight" dataOnly="0" labelOnly="1" outline="0" fieldPosition="0"/>
    </format>
    <format dxfId="524">
      <pivotArea field="-2" type="button" dataOnly="0" labelOnly="1" outline="0" axis="axisCol" fieldPosition="0"/>
    </format>
    <format dxfId="523">
      <pivotArea dataOnly="0" labelOnly="1" outline="0" fieldPosition="0">
        <references count="3">
          <reference field="0" count="1" selected="0">
            <x v="7"/>
          </reference>
          <reference field="4" count="1">
            <x v="0"/>
          </reference>
          <reference field="145" count="1" selected="0">
            <x v="0"/>
          </reference>
        </references>
      </pivotArea>
    </format>
    <format dxfId="522">
      <pivotArea type="all" dataOnly="0" outline="0" fieldPosition="0"/>
    </format>
    <format dxfId="521">
      <pivotArea outline="0" collapsedLevelsAreSubtotals="1" fieldPosition="0"/>
    </format>
    <format dxfId="520">
      <pivotArea dataOnly="0" labelOnly="1" outline="0" fieldPosition="0">
        <references count="1">
          <reference field="4294967294" count="1">
            <x v="1"/>
          </reference>
        </references>
      </pivotArea>
    </format>
  </formats>
  <chartFormats count="4">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3"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P52:R59" firstHeaderRow="0" firstDataRow="1" firstDataCol="1" rowPageCount="3" colPageCount="1"/>
  <pivotFields count="158">
    <pivotField axis="axisRow" subtotalTop="0" multipleItemSelectionAllowed="1" showAll="0">
      <items count="29">
        <item m="1" x="26"/>
        <item m="1" x="12"/>
        <item m="1" x="19"/>
        <item m="1" x="1"/>
        <item m="1" x="27"/>
        <item m="1" x="7"/>
        <item m="1" x="25"/>
        <item m="1" x="21"/>
        <item m="1" x="23"/>
        <item m="1" x="24"/>
        <item m="1" x="15"/>
        <item m="1" x="17"/>
        <item m="1" x="20"/>
        <item m="1" x="22"/>
        <item m="1" x="10"/>
        <item m="1" x="13"/>
        <item m="1" x="16"/>
        <item m="1" x="18"/>
        <item m="1" x="5"/>
        <item m="1" x="8"/>
        <item m="1" x="11"/>
        <item m="1" x="14"/>
        <item m="1" x="3"/>
        <item m="1" x="4"/>
        <item m="1" x="6"/>
        <item m="1" x="9"/>
        <item x="0"/>
        <item m="1" x="2"/>
        <item t="default"/>
      </items>
    </pivotField>
    <pivotField showAll="0" defaultSubtotal="0"/>
    <pivotField showAll="0" defaultSubtotal="0"/>
    <pivotField subtotalTop="0" showAll="0"/>
    <pivotField axis="axisRow" subtotalTop="0" showAll="0">
      <items count="7">
        <item x="0"/>
        <item m="1" x="4"/>
        <item x="1"/>
        <item m="1" x="2"/>
        <item m="1" x="3"/>
        <item m="1" x="5"/>
        <item t="default"/>
      </items>
    </pivotField>
    <pivotField subtotalTop="0" showAll="0"/>
    <pivotField axis="axisPage" multipleItemSelectionAllowed="1" showAll="0" defaultSubtotal="0">
      <items count="15">
        <item x="1"/>
        <item x="2"/>
        <item m="1" x="11"/>
        <item m="1" x="7"/>
        <item m="1" x="6"/>
        <item h="1" m="1" x="13"/>
        <item m="1" x="10"/>
        <item h="1" m="1" x="14"/>
        <item m="1" x="8"/>
        <item h="1" m="1" x="9"/>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7">
    <i>
      <x/>
    </i>
    <i r="1">
      <x v="26"/>
    </i>
    <i t="default">
      <x/>
    </i>
    <i>
      <x v="2"/>
    </i>
    <i r="1">
      <x v="26"/>
    </i>
    <i t="default">
      <x v="2"/>
    </i>
    <i t="grand">
      <x/>
    </i>
  </rowItems>
  <colFields count="1">
    <field x="-2"/>
  </colFields>
  <colItems count="2">
    <i>
      <x/>
    </i>
    <i i="1">
      <x v="1"/>
    </i>
  </colItems>
  <pageFields count="3">
    <pageField fld="145" hier="-1"/>
    <pageField fld="6" hier="-1"/>
    <pageField fld="146" item="0" hier="-1"/>
  </pageFields>
  <dataFields count="2">
    <dataField name="Sum of #_Household water samples tested for fecal coliform" fld="36" baseField="0" baseItem="0"/>
    <dataField name="Sum of #_Household passed" fld="37" baseField="0" baseItem="0"/>
  </dataFields>
  <formats count="10">
    <format dxfId="543">
      <pivotArea field="4" type="button" dataOnly="0" labelOnly="1" outline="0" axis="axisRow" fieldPosition="0"/>
    </format>
    <format dxfId="542">
      <pivotArea type="all" dataOnly="0" outline="0" fieldPosition="0"/>
    </format>
    <format dxfId="541">
      <pivotArea outline="0" collapsedLevelsAreSubtotals="1" fieldPosition="0"/>
    </format>
    <format dxfId="540">
      <pivotArea field="4" type="button" dataOnly="0" labelOnly="1" outline="0" axis="axisRow" fieldPosition="0"/>
    </format>
    <format dxfId="539">
      <pivotArea dataOnly="0" labelOnly="1" fieldPosition="0">
        <references count="1">
          <reference field="4" count="0"/>
        </references>
      </pivotArea>
    </format>
    <format dxfId="538">
      <pivotArea type="all" dataOnly="0" outline="0" fieldPosition="0"/>
    </format>
    <format dxfId="537">
      <pivotArea type="all" dataOnly="0" outline="0" fieldPosition="0"/>
    </format>
    <format dxfId="536">
      <pivotArea outline="0" collapsedLevelsAreSubtotals="1" fieldPosition="0"/>
    </format>
    <format dxfId="535">
      <pivotArea field="4" type="button" dataOnly="0" labelOnly="1" outline="0" axis="axisRow" fieldPosition="0"/>
    </format>
    <format dxfId="534">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1" rowHeaderCaption="State">
  <location ref="C408:D413" firstHeaderRow="1" firstDataRow="2" firstDataCol="1" rowPageCount="4" colPageCount="1"/>
  <pivotFields count="158">
    <pivotField axis="axisCol" subtotalTop="0" multipleItemSelectionAllowed="1" showAll="0">
      <items count="29">
        <item m="1" x="26"/>
        <item m="1" x="12"/>
        <item m="1" x="27"/>
        <item m="1" x="19"/>
        <item m="1" x="7"/>
        <item m="1" x="1"/>
        <item m="1" x="25"/>
        <item m="1" x="21"/>
        <item m="1" x="23"/>
        <item m="1" x="24"/>
        <item m="1" x="15"/>
        <item m="1" x="17"/>
        <item m="1" x="20"/>
        <item m="1" x="22"/>
        <item m="1" x="10"/>
        <item m="1" x="13"/>
        <item m="1" x="16"/>
        <item m="1" x="18"/>
        <item m="1" x="5"/>
        <item m="1" x="8"/>
        <item m="1" x="11"/>
        <item m="1" x="14"/>
        <item m="1" x="3"/>
        <item m="1" x="4"/>
        <item m="1" x="6"/>
        <item m="1" x="9"/>
        <item x="0"/>
        <item m="1" x="2"/>
        <item t="default"/>
      </items>
    </pivotField>
    <pivotField showAll="0" defaultSubtotal="0"/>
    <pivotField showAll="0" defaultSubtotal="0"/>
    <pivotField subtotalTop="0" showAll="0"/>
    <pivotField axis="axisPage" subtotalTop="0" multipleItemSelectionAllowed="1" showAll="0">
      <items count="7">
        <item x="0"/>
        <item m="1" x="4"/>
        <item h="1" x="1"/>
        <item m="1" x="2"/>
        <item h="1" m="1" x="3"/>
        <item h="1"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1">
    <i>
      <x v="26"/>
    </i>
  </colItems>
  <pageFields count="4">
    <pageField fld="145" hier="-1"/>
    <pageField fld="6" hier="-1"/>
    <pageField fld="4" hier="-1"/>
    <pageField fld="146" item="0"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0" subtotal="average" baseField="0" baseItem="3"/>
  </dataFields>
  <formats count="14">
    <format dxfId="557">
      <pivotArea type="all" dataOnly="0" outline="0" fieldPosition="0"/>
    </format>
    <format dxfId="556">
      <pivotArea outline="0" collapsedLevelsAreSubtotals="1" fieldPosition="0"/>
    </format>
    <format dxfId="555">
      <pivotArea field="4" type="button" dataOnly="0" labelOnly="1" outline="0" axis="axisPage" fieldPosition="2"/>
    </format>
    <format dxfId="554">
      <pivotArea dataOnly="0" labelOnly="1" grandRow="1" outline="0" fieldPosition="0"/>
    </format>
    <format dxfId="553">
      <pivotArea type="all" dataOnly="0" outline="0" fieldPosition="0"/>
    </format>
    <format dxfId="552">
      <pivotArea outline="0" collapsedLevelsAreSubtotals="1" fieldPosition="0"/>
    </format>
    <format dxfId="551">
      <pivotArea type="origin" dataOnly="0" labelOnly="1" outline="0" fieldPosition="0"/>
    </format>
    <format dxfId="550">
      <pivotArea field="145" type="button" dataOnly="0" labelOnly="1" outline="0" axis="axisPage" fieldPosition="0"/>
    </format>
    <format dxfId="549">
      <pivotArea type="topRight" dataOnly="0" labelOnly="1" outline="0" fieldPosition="0"/>
    </format>
    <format dxfId="548">
      <pivotArea dataOnly="0" labelOnly="1" fieldPosition="0">
        <references count="1">
          <reference field="145" count="0"/>
        </references>
      </pivotArea>
    </format>
    <format dxfId="547">
      <pivotArea type="all" dataOnly="0" outline="0" fieldPosition="0"/>
    </format>
    <format dxfId="546">
      <pivotArea outline="0" collapsedLevelsAreSubtotals="1" fieldPosition="0"/>
    </format>
    <format dxfId="545">
      <pivotArea field="4" type="button" dataOnly="0" labelOnly="1" outline="0" axis="axisPage" fieldPosition="2"/>
    </format>
    <format dxfId="544">
      <pivotArea outline="0" collapsedLevelsAreSubtotals="1" fieldPosition="0"/>
    </format>
  </formats>
  <chartFormats count="22">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18" format="7" series="1">
      <pivotArea type="data" outline="0" fieldPosition="0">
        <references count="2">
          <reference field="4294967294" count="1" selected="0">
            <x v="0"/>
          </reference>
          <reference field="0" count="1" selected="0">
            <x v="24"/>
          </reference>
        </references>
      </pivotArea>
    </chartFormat>
    <chartFormat chart="20" format="14" series="1">
      <pivotArea type="data" outline="0" fieldPosition="0">
        <references count="2">
          <reference field="4294967294" count="1" selected="0">
            <x v="0"/>
          </reference>
          <reference field="0" count="1" selected="0">
            <x v="24"/>
          </reference>
        </references>
      </pivotArea>
    </chartFormat>
    <chartFormat chart="18" format="8" series="1">
      <pivotArea type="data" outline="0" fieldPosition="0">
        <references count="2">
          <reference field="4294967294" count="1" selected="0">
            <x v="0"/>
          </reference>
          <reference field="0" count="1" selected="0">
            <x v="25"/>
          </reference>
        </references>
      </pivotArea>
    </chartFormat>
    <chartFormat chart="20" format="15" series="1">
      <pivotArea type="data" outline="0" fieldPosition="0">
        <references count="2">
          <reference field="4294967294" count="1" selected="0">
            <x v="0"/>
          </reference>
          <reference field="0" count="1" selected="0">
            <x v="25"/>
          </reference>
        </references>
      </pivotArea>
    </chartFormat>
    <chartFormat chart="18" format="9" series="1">
      <pivotArea type="data" outline="0" fieldPosition="0">
        <references count="2">
          <reference field="4294967294" count="1" selected="0">
            <x v="0"/>
          </reference>
          <reference field="0" count="1" selected="0">
            <x v="27"/>
          </reference>
        </references>
      </pivotArea>
    </chartFormat>
    <chartFormat chart="20" format="16" series="1">
      <pivotArea type="data" outline="0" fieldPosition="0">
        <references count="2">
          <reference field="4294967294" count="1" selected="0">
            <x v="0"/>
          </reference>
          <reference field="0" count="1" selected="0">
            <x v="27"/>
          </reference>
        </references>
      </pivotArea>
    </chartFormat>
    <chartFormat chart="18" format="10" series="1">
      <pivotArea type="data" outline="0" fieldPosition="0">
        <references count="2">
          <reference field="4294967294" count="1" selected="0">
            <x v="0"/>
          </reference>
          <reference field="0" count="1" selected="0">
            <x v="26"/>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location ref="B250:D254" firstHeaderRow="0" firstDataRow="1" firstDataCol="1" rowPageCount="4" colPageCount="1"/>
  <pivotFields count="158">
    <pivotField axis="axisPage" subtotalTop="0" multipleItemSelectionAllowed="1" showAll="0">
      <items count="29">
        <item h="1" m="1" x="26"/>
        <item m="1" x="12"/>
        <item m="1" x="27"/>
        <item h="1" m="1" x="19"/>
        <item m="1" x="7"/>
        <item h="1" m="1" x="1"/>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showAll="0">
      <items count="7">
        <item x="0"/>
        <item h="1" m="1" x="4"/>
        <item h="1" x="1"/>
        <item h="1" m="1" x="2"/>
        <item h="1" m="1" x="3"/>
        <item h="1"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41"/>
  </rowFields>
  <rowItems count="4">
    <i>
      <x/>
    </i>
    <i r="1">
      <x v="339"/>
    </i>
    <i r="1">
      <x v="340"/>
    </i>
    <i t="default">
      <x/>
    </i>
  </rowItems>
  <colFields count="1">
    <field x="-2"/>
  </colFields>
  <colItems count="2">
    <i>
      <x/>
    </i>
    <i i="1">
      <x v="1"/>
    </i>
  </colItems>
  <pageFields count="4">
    <pageField fld="146" item="0" hier="-1"/>
    <pageField fld="0" hier="-1"/>
    <pageField fld="145" item="0" hier="-1"/>
    <pageField fld="6" hier="-1"/>
  </pageFields>
  <dataFields count="2">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1">
    <format dxfId="568">
      <pivotArea type="all" dataOnly="0" outline="0" fieldPosition="0"/>
    </format>
    <format dxfId="567">
      <pivotArea type="all" dataOnly="0" outline="0" fieldPosition="0"/>
    </format>
    <format dxfId="566">
      <pivotArea outline="0" collapsedLevelsAreSubtotals="1" fieldPosition="0"/>
    </format>
    <format dxfId="565">
      <pivotArea field="4" type="button" dataOnly="0" labelOnly="1" outline="0" axis="axisRow" fieldPosition="0"/>
    </format>
    <format dxfId="564">
      <pivotArea dataOnly="0" labelOnly="1" fieldPosition="0">
        <references count="1">
          <reference field="4" count="0"/>
        </references>
      </pivotArea>
    </format>
    <format dxfId="563">
      <pivotArea dataOnly="0" labelOnly="1" grandRow="1" outline="0" fieldPosition="0"/>
    </format>
    <format dxfId="562">
      <pivotArea type="all" dataOnly="0" outline="0" fieldPosition="0"/>
    </format>
    <format dxfId="561">
      <pivotArea outline="0" collapsedLevelsAreSubtotals="1" fieldPosition="0"/>
    </format>
    <format dxfId="560">
      <pivotArea field="4" type="button" dataOnly="0" labelOnly="1" outline="0" axis="axisRow" fieldPosition="0"/>
    </format>
    <format dxfId="559">
      <pivotArea dataOnly="0" labelOnly="1" fieldPosition="0">
        <references count="1">
          <reference field="4" count="0"/>
        </references>
      </pivotArea>
    </format>
    <format dxfId="558">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3" dataPosition="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2">
  <location ref="O120:Q122" firstHeaderRow="0" firstDataRow="1" firstDataCol="1" rowPageCount="4"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subtotalTop="0" showAll="0"/>
    <pivotField axis="axisPage" multipleItemSelectionAllowed="1" showAll="0" defaultSubtotal="0">
      <items count="15">
        <item x="1"/>
        <item x="2"/>
        <item m="1" x="11"/>
        <item h="1" m="1" x="9"/>
        <item m="1" x="7"/>
        <item m="1" x="6"/>
        <item h="1" m="1" x="13"/>
        <item m="1" x="10"/>
        <item h="1" m="1" x="14"/>
        <item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41"/>
  </rowFields>
  <rowItems count="2">
    <i>
      <x v="339"/>
    </i>
    <i>
      <x v="340"/>
    </i>
  </rowItems>
  <colFields count="1">
    <field x="-2"/>
  </colFields>
  <colItems count="2">
    <i>
      <x/>
    </i>
    <i i="1">
      <x v="1"/>
    </i>
  </colItems>
  <pageFields count="4">
    <pageField fld="0" hier="-1"/>
    <pageField fld="4" item="0" hier="-1"/>
    <pageField fld="145" item="0" hier="-1"/>
    <pageField fld="6" hier="-1"/>
  </pageFields>
  <dataFields count="2">
    <dataField name="Accessed" fld="107" baseField="0" baseItem="0"/>
    <dataField name="Not-accessed" fld="157" baseField="0" baseItem="0" numFmtId="1"/>
  </dataFields>
  <formats count="14">
    <format dxfId="582">
      <pivotArea field="4" type="button" dataOnly="0" labelOnly="1" outline="0" axis="axisPage" fieldPosition="1"/>
    </format>
    <format dxfId="581">
      <pivotArea type="all" dataOnly="0" outline="0" fieldPosition="0"/>
    </format>
    <format dxfId="580">
      <pivotArea type="origin" dataOnly="0" labelOnly="1" outline="0" fieldPosition="0"/>
    </format>
    <format dxfId="579">
      <pivotArea type="topRight" dataOnly="0" labelOnly="1" outline="0" fieldPosition="0"/>
    </format>
    <format dxfId="578">
      <pivotArea field="-2" type="button" dataOnly="0" labelOnly="1" outline="0" axis="axisCol" fieldPosition="0"/>
    </format>
    <format dxfId="577">
      <pivotArea type="all" dataOnly="0" outline="0" fieldPosition="0"/>
    </format>
    <format dxfId="576">
      <pivotArea outline="0" collapsedLevelsAreSubtotals="1" fieldPosition="0"/>
    </format>
    <format dxfId="575">
      <pivotArea type="origin" dataOnly="0" labelOnly="1" outline="0" fieldPosition="0"/>
    </format>
    <format dxfId="574">
      <pivotArea type="topRight" dataOnly="0" labelOnly="1" outline="0" fieldPosition="0"/>
    </format>
    <format dxfId="573">
      <pivotArea field="-2" type="button" dataOnly="0" labelOnly="1" outline="0" axis="axisCol" fieldPosition="0"/>
    </format>
    <format dxfId="572">
      <pivotArea dataOnly="0" labelOnly="1" outline="0" fieldPosition="0">
        <references count="3">
          <reference field="0" count="1" selected="0">
            <x v="7"/>
          </reference>
          <reference field="4" count="1">
            <x v="0"/>
          </reference>
          <reference field="145" count="1" selected="0">
            <x v="0"/>
          </reference>
        </references>
      </pivotArea>
    </format>
    <format dxfId="571">
      <pivotArea type="all" dataOnly="0" outline="0" fieldPosition="0"/>
    </format>
    <format dxfId="570">
      <pivotArea outline="0" collapsedLevelsAreSubtotals="1" fieldPosition="0"/>
    </format>
    <format dxfId="569">
      <pivotArea outline="0" collapsedLevelsAreSubtotals="1" fieldPosition="0"/>
    </format>
  </formats>
  <chartFormats count="4">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2" rowHeaderCaption="State" colHeaderCaption=" ">
  <location ref="B80:D92" firstHeaderRow="0" firstDataRow="1" firstDataCol="1" rowPageCount="5" colPageCount="1"/>
  <pivotFields count="158">
    <pivotField axis="axisPage" subtotalTop="0" multipleItemSelectionAllowed="1" showAll="0">
      <items count="29">
        <item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sortType="ascending">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2">
    <i>
      <x v="1"/>
    </i>
    <i>
      <x v="4"/>
    </i>
    <i>
      <x v="5"/>
    </i>
    <i>
      <x v="17"/>
    </i>
    <i>
      <x v="21"/>
    </i>
    <i>
      <x v="22"/>
    </i>
    <i>
      <x v="24"/>
    </i>
    <i>
      <x v="28"/>
    </i>
    <i>
      <x v="40"/>
    </i>
    <i>
      <x v="42"/>
    </i>
    <i>
      <x v="43"/>
    </i>
    <i>
      <x v="45"/>
    </i>
  </rowItems>
  <colFields count="1">
    <field x="-2"/>
  </colFields>
  <colItems count="2">
    <i>
      <x/>
    </i>
    <i i="1">
      <x v="1"/>
    </i>
  </colItems>
  <pageFields count="5">
    <pageField fld="0" hier="-1"/>
    <pageField fld="145" item="0" hier="-1"/>
    <pageField fld="4" item="0" hier="-1"/>
    <pageField fld="6" hier="-1"/>
    <pageField fld="146" item="0" hier="-1"/>
  </pageFields>
  <dataFields count="2">
    <dataField name=" % Water Coverage" fld="153" baseField="0" baseItem="0"/>
    <dataField name=" % Water GAP" fld="154" baseField="0" baseItem="0"/>
  </dataFields>
  <formats count="10">
    <format dxfId="592">
      <pivotArea field="4" type="button" dataOnly="0" labelOnly="1" outline="0" axis="axisPage" fieldPosition="2"/>
    </format>
    <format dxfId="591">
      <pivotArea type="all" dataOnly="0" outline="0" fieldPosition="0"/>
    </format>
    <format dxfId="590">
      <pivotArea outline="0" collapsedLevelsAreSubtotals="1" fieldPosition="0"/>
    </format>
    <format dxfId="589">
      <pivotArea field="4" type="button" dataOnly="0" labelOnly="1" outline="0" axis="axisPage" fieldPosition="2"/>
    </format>
    <format dxfId="588">
      <pivotArea type="all" dataOnly="0" outline="0" fieldPosition="0"/>
    </format>
    <format dxfId="587">
      <pivotArea outline="0" collapsedLevelsAreSubtotals="1" fieldPosition="0"/>
    </format>
    <format dxfId="586">
      <pivotArea outline="0" collapsedLevelsAreSubtotals="1" fieldPosition="0"/>
    </format>
    <format dxfId="585">
      <pivotArea field="5" type="button" dataOnly="0" labelOnly="1" outline="0" axis="axisRow" fieldPosition="0"/>
    </format>
    <format dxfId="584">
      <pivotArea field="5" type="button" dataOnly="0" labelOnly="1" outline="0" axis="axisRow" fieldPosition="0"/>
    </format>
    <format dxfId="583">
      <pivotArea field="5" type="button" dataOnly="0" labelOnly="1" outline="0" axis="axisRow" fieldPosition="0"/>
    </format>
  </formats>
  <conditionalFormats count="1">
    <conditionalFormat priority="9">
      <pivotAreas count="1">
        <pivotArea type="data" outline="0" collapsedLevelsAreSubtotals="1" fieldPosition="0">
          <references count="1">
            <reference field="4294967294" count="1" selected="0">
              <x v="1"/>
            </reference>
          </references>
        </pivotArea>
      </pivotAreas>
    </conditionalFormat>
  </conditionalFormats>
  <chartFormats count="3">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 chart="28" format="8">
      <pivotArea type="data" outline="0" fieldPosition="0">
        <references count="2">
          <reference field="4294967294" count="1" selected="0">
            <x v="1"/>
          </reference>
          <reference field="5" count="1" selected="0">
            <x v="4"/>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3"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I10:N21" firstHeaderRow="0" firstDataRow="1" firstDataCol="1" rowPageCount="5" colPageCount="1"/>
  <pivotFields count="158">
    <pivotField axis="axisPage" subtotalTop="0" multipleItemSelectionAllowed="1" showAll="0">
      <items count="29">
        <item m="1" x="26"/>
        <item m="1" x="12"/>
        <item m="1" x="19"/>
        <item m="1" x="1"/>
        <item m="1" x="27"/>
        <item m="1" x="7"/>
        <item m="1" x="25"/>
        <item m="1" x="21"/>
        <item m="1" x="23"/>
        <item m="1" x="24"/>
        <item m="1" x="15"/>
        <item m="1" x="17"/>
        <item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sortType="ascending">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axis="axisPage" multipleItemSelectionAllowed="1" showAll="0" defaultSubtotal="0">
      <items count="15">
        <item x="1"/>
        <item x="2"/>
        <item m="1" x="11"/>
        <item m="1" x="7"/>
        <item h="1" m="1" x="6"/>
        <item h="1" m="1" x="13"/>
        <item h="1" m="1" x="10"/>
        <item h="1" m="1" x="14"/>
        <item h="1" m="1" x="8"/>
        <item m="1" x="9"/>
        <item h="1" m="1" x="12"/>
        <item h="1" m="1" x="4"/>
        <item h="1" m="1" x="5"/>
        <item x="3"/>
        <item x="0"/>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4">
        <item x="0"/>
        <item x="1"/>
        <item x="2"/>
        <item t="default"/>
      </items>
    </pivotField>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1">
    <i>
      <x v="6"/>
    </i>
    <i>
      <x v="7"/>
    </i>
    <i>
      <x v="9"/>
    </i>
    <i>
      <x v="10"/>
    </i>
    <i>
      <x v="13"/>
    </i>
    <i>
      <x v="15"/>
    </i>
    <i>
      <x v="18"/>
    </i>
    <i>
      <x v="26"/>
    </i>
    <i>
      <x v="30"/>
    </i>
    <i>
      <x v="32"/>
    </i>
    <i t="grand">
      <x/>
    </i>
  </rowItems>
  <colFields count="1">
    <field x="-2"/>
  </colFields>
  <colItems count="5">
    <i>
      <x/>
    </i>
    <i i="1">
      <x v="1"/>
    </i>
    <i i="2">
      <x v="2"/>
    </i>
    <i i="3">
      <x v="3"/>
    </i>
    <i i="4">
      <x v="4"/>
    </i>
  </colItems>
  <pageFields count="5">
    <pageField fld="0" hier="-1"/>
    <pageField fld="145" item="0" hier="-1"/>
    <pageField fld="4" item="2" hier="-1"/>
    <pageField fld="6" hier="-1"/>
    <pageField fld="146" hier="-1"/>
  </pageFields>
  <dataFields count="5">
    <dataField name="# of sites" fld="7" subtotal="count" baseField="0" baseItem="0"/>
    <dataField name="PoP " fld="9" baseField="0" baseItem="0" numFmtId="164"/>
    <dataField name=" % Water GAP" fld="154" baseField="0" baseItem="0" numFmtId="9"/>
    <dataField name=" % Sanitation GAP" fld="156" baseField="0" baseItem="0" numFmtId="9"/>
    <dataField name="  % Hygiene Gap" fld="151" baseField="0" baseItem="0" numFmtId="9"/>
  </dataFields>
  <formats count="38">
    <format dxfId="630">
      <pivotArea type="all" dataOnly="0" outline="0" fieldPosition="0"/>
    </format>
    <format dxfId="629">
      <pivotArea outline="0" collapsedLevelsAreSubtotals="1" fieldPosition="0"/>
    </format>
    <format dxfId="628">
      <pivotArea field="5" type="button" dataOnly="0" labelOnly="1" outline="0" axis="axisRow" fieldPosition="0"/>
    </format>
    <format dxfId="627">
      <pivotArea dataOnly="0" labelOnly="1" outline="0" axis="axisValues" fieldPosition="0"/>
    </format>
    <format dxfId="626">
      <pivotArea dataOnly="0" labelOnly="1" fieldPosition="0">
        <references count="1">
          <reference field="5" count="0"/>
        </references>
      </pivotArea>
    </format>
    <format dxfId="625">
      <pivotArea dataOnly="0" labelOnly="1" grandRow="1" outline="0" fieldPosition="0"/>
    </format>
    <format dxfId="624">
      <pivotArea dataOnly="0" labelOnly="1" outline="0" axis="axisValues" fieldPosition="0"/>
    </format>
    <format dxfId="623">
      <pivotArea type="all" dataOnly="0" outline="0" fieldPosition="0"/>
    </format>
    <format dxfId="622">
      <pivotArea field="5" type="button" dataOnly="0" labelOnly="1" outline="0" axis="axisRow" fieldPosition="0"/>
    </format>
    <format dxfId="621">
      <pivotArea dataOnly="0" labelOnly="1" outline="0" axis="axisValues" fieldPosition="0"/>
    </format>
    <format dxfId="620">
      <pivotArea dataOnly="0" labelOnly="1" fieldPosition="0">
        <references count="1">
          <reference field="5" count="0"/>
        </references>
      </pivotArea>
    </format>
    <format dxfId="619">
      <pivotArea dataOnly="0" labelOnly="1" outline="0" axis="axisValues" fieldPosition="0"/>
    </format>
    <format dxfId="618">
      <pivotArea field="5" type="button" dataOnly="0" labelOnly="1" outline="0" axis="axisRow" fieldPosition="0"/>
    </format>
    <format dxfId="617">
      <pivotArea type="all" dataOnly="0" outline="0" fieldPosition="0"/>
    </format>
    <format dxfId="616">
      <pivotArea field="5" type="button" dataOnly="0" labelOnly="1" outline="0" axis="axisRow" fieldPosition="0"/>
    </format>
    <format dxfId="615">
      <pivotArea dataOnly="0" labelOnly="1" fieldPosition="0">
        <references count="1">
          <reference field="5" count="7">
            <x v="6"/>
            <x v="9"/>
            <x v="13"/>
            <x v="18"/>
            <x v="26"/>
            <x v="30"/>
            <x v="32"/>
          </reference>
        </references>
      </pivotArea>
    </format>
    <format dxfId="614">
      <pivotArea dataOnly="0" labelOnly="1" outline="0" fieldPosition="0">
        <references count="1">
          <reference field="4294967294" count="1">
            <x v="1"/>
          </reference>
        </references>
      </pivotArea>
    </format>
    <format dxfId="613">
      <pivotArea type="all" dataOnly="0" outline="0" fieldPosition="0"/>
    </format>
    <format dxfId="612">
      <pivotArea outline="0" collapsedLevelsAreSubtotals="1" fieldPosition="0"/>
    </format>
    <format dxfId="611">
      <pivotArea field="5" type="button" dataOnly="0" labelOnly="1" outline="0" axis="axisRow" fieldPosition="0"/>
    </format>
    <format dxfId="610">
      <pivotArea dataOnly="0" labelOnly="1" fieldPosition="0">
        <references count="1">
          <reference field="5" count="7">
            <x v="6"/>
            <x v="9"/>
            <x v="13"/>
            <x v="18"/>
            <x v="26"/>
            <x v="30"/>
            <x v="32"/>
          </reference>
        </references>
      </pivotArea>
    </format>
    <format dxfId="609">
      <pivotArea dataOnly="0" labelOnly="1" outline="0" fieldPosition="0">
        <references count="1">
          <reference field="4294967294" count="1">
            <x v="1"/>
          </reference>
        </references>
      </pivotArea>
    </format>
    <format dxfId="608">
      <pivotArea field="5" type="button" dataOnly="0" labelOnly="1" outline="0" axis="axisRow" fieldPosition="0"/>
    </format>
    <format dxfId="607">
      <pivotArea dataOnly="0" labelOnly="1" outline="0" fieldPosition="0">
        <references count="1">
          <reference field="4294967294" count="1">
            <x v="1"/>
          </reference>
        </references>
      </pivotArea>
    </format>
    <format dxfId="606">
      <pivotArea type="all" dataOnly="0" outline="0" fieldPosition="0"/>
    </format>
    <format dxfId="605">
      <pivotArea outline="0" collapsedLevelsAreSubtotals="1" fieldPosition="0"/>
    </format>
    <format dxfId="604">
      <pivotArea field="5" type="button" dataOnly="0" labelOnly="1" outline="0" axis="axisRow" fieldPosition="0"/>
    </format>
    <format dxfId="603">
      <pivotArea dataOnly="0" labelOnly="1" fieldPosition="0">
        <references count="1">
          <reference field="5" count="6">
            <x v="6"/>
            <x v="9"/>
            <x v="18"/>
            <x v="26"/>
            <x v="30"/>
            <x v="32"/>
          </reference>
        </references>
      </pivotArea>
    </format>
    <format dxfId="602">
      <pivotArea dataOnly="0" labelOnly="1" grandRow="1" outline="0" fieldPosition="0"/>
    </format>
    <format dxfId="601">
      <pivotArea dataOnly="0" labelOnly="1" outline="0" fieldPosition="0">
        <references count="1">
          <reference field="4294967294" count="1">
            <x v="1"/>
          </reference>
        </references>
      </pivotArea>
    </format>
    <format dxfId="600">
      <pivotArea field="4" type="button" dataOnly="0" labelOnly="1" outline="0" axis="axisPage" fieldPosition="2"/>
    </format>
    <format dxfId="599">
      <pivotArea dataOnly="0" labelOnly="1" outline="0" fieldPosition="0">
        <references count="3">
          <reference field="0" count="1" selected="0">
            <x v="7"/>
          </reference>
          <reference field="4" count="1">
            <x v="2"/>
          </reference>
          <reference field="145" count="1" selected="0">
            <x v="0"/>
          </reference>
        </references>
      </pivotArea>
    </format>
    <format dxfId="598">
      <pivotArea dataOnly="0" labelOnly="1" outline="0" fieldPosition="0">
        <references count="3">
          <reference field="0" count="1" selected="0">
            <x v="8"/>
          </reference>
          <reference field="4" count="1">
            <x v="2"/>
          </reference>
          <reference field="145" count="1" selected="0">
            <x v="0"/>
          </reference>
        </references>
      </pivotArea>
    </format>
    <format dxfId="597">
      <pivotArea outline="0" collapsedLevelsAreSubtotals="1" fieldPosition="0">
        <references count="1">
          <reference field="4294967294" count="1" selected="0">
            <x v="1"/>
          </reference>
        </references>
      </pivotArea>
    </format>
    <format dxfId="596">
      <pivotArea dataOnly="0" labelOnly="1" outline="0" fieldPosition="0">
        <references count="3">
          <reference field="0" count="1" selected="0">
            <x v="10"/>
          </reference>
          <reference field="4" count="1">
            <x v="0"/>
          </reference>
          <reference field="145" count="1" selected="0">
            <x v="0"/>
          </reference>
        </references>
      </pivotArea>
    </format>
    <format dxfId="595">
      <pivotArea dataOnly="0" labelOnly="1" outline="0" fieldPosition="0">
        <references count="3">
          <reference field="0" count="1" selected="0">
            <x v="10"/>
          </reference>
          <reference field="4" count="1">
            <x v="2"/>
          </reference>
          <reference field="145" count="1" selected="0">
            <x v="0"/>
          </reference>
        </references>
      </pivotArea>
    </format>
    <format dxfId="594">
      <pivotArea outline="0" collapsedLevelsAreSubtotals="1" fieldPosition="0">
        <references count="1">
          <reference field="4294967294" count="3" selected="0">
            <x v="2"/>
            <x v="3"/>
            <x v="4"/>
          </reference>
        </references>
      </pivotArea>
    </format>
    <format dxfId="593">
      <pivotArea dataOnly="0" labelOnly="1" outline="0" fieldPosition="0">
        <references count="3">
          <reference field="0" count="1" selected="0">
            <x v="11"/>
          </reference>
          <reference field="4" count="1">
            <x v="2"/>
          </reference>
          <reference field="145" count="1" selected="0">
            <x v="0"/>
          </reference>
        </references>
      </pivotArea>
    </format>
  </formats>
  <conditionalFormats count="1">
    <conditionalFormat priority="14">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V61:W63" firstHeaderRow="1" firstDataRow="1" firstDataCol="1" rowPageCount="3" colPageCount="1"/>
  <pivotFields count="6">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2">
    <i>
      <x/>
    </i>
    <i t="grand">
      <x/>
    </i>
  </rowItems>
  <colItems count="1">
    <i/>
  </colItems>
  <pageFields count="3">
    <pageField fld="1" hier="145" name="[WWWW].[Covered].&amp;[Covered]" cap="Covered"/>
    <pageField fld="4" hier="36" name="[WWWW].[#_Household water samples tested for fecal coliform].&amp;[1]" cap="1"/>
    <pageField fld="5" hier="146" name="[WWWW].[Remark].&amp;[yes]" cap="yes"/>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8" level="1">
        <member name="[WWWW].[#_Household water samples tested for fecal coliform].&amp;[1]"/>
        <member name="[WWWW].[#_Household water samples tested for fecal coliform].&amp;[2]"/>
        <member name="[WWWW].[#_Household water samples tested for fecal coliform].&amp;[6]"/>
        <member name="[WWWW].[#_Household water samples tested for fecal coliform].&amp;[9]"/>
        <member name="[WWWW].[#_Household water samples tested for fecal coliform].&amp;[15]"/>
        <member name="[WWWW].[#_Household water samples tested for fecal coliform].&amp;[21]"/>
        <member name="[WWWW].[#_Household water samples tested for fecal coliform].&amp;[27]"/>
        <member name="[WWWW].[#_Household water samples tested for fecal coliform].&amp;[3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3"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G212:M214" firstHeaderRow="0" firstDataRow="1" firstDataCol="1" rowPageCount="4" colPageCount="1"/>
  <pivotFields count="158">
    <pivotField axis="axisPage" subtotalTop="0" multipleItemSelectionAllowed="1" showAll="0">
      <items count="29">
        <item h="1" m="1" x="26"/>
        <item m="1" x="12"/>
        <item m="1" x="27"/>
        <item h="1" m="1" x="19"/>
        <item m="1" x="7"/>
        <item h="1" m="1" x="1"/>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showAll="0">
      <items count="7">
        <item h="1" x="0"/>
        <item h="1" m="1" x="4"/>
        <item x="1"/>
        <item h="1" m="1" x="2"/>
        <item h="1" m="1" x="3"/>
        <item h="1" m="1" x="5"/>
        <item t="default"/>
      </items>
    </pivotField>
    <pivotField subtotalTop="0" showAll="0"/>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6">
    <i>
      <x/>
    </i>
    <i i="1">
      <x v="1"/>
    </i>
    <i i="2">
      <x v="2"/>
    </i>
    <i i="3">
      <x v="3"/>
    </i>
    <i i="4">
      <x v="4"/>
    </i>
    <i i="5">
      <x v="5"/>
    </i>
  </colItems>
  <pageFields count="4">
    <pageField fld="146" item="0" hier="-1"/>
    <pageField fld="0" hier="-1"/>
    <pageField fld="145" item="0" hier="-1"/>
    <pageField fld="6" hier="-1"/>
  </pageFields>
  <dataFields count="6">
    <dataField name="Sum of Total PoP " fld="9" baseField="0" baseItem="0"/>
    <dataField name="Sum of Total HH" fld="8" baseField="2" baseItem="0" numFmtId="3"/>
    <dataField name="Sum of # people reached by regular dedicated hygiene promotion_5" fld="115" baseField="0" baseItem="0"/>
    <dataField name="Sum of #HH with access to Hand Washing Station" fld="126" baseField="2" baseItem="0" numFmtId="3"/>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5">
    <format dxfId="645">
      <pivotArea type="all" dataOnly="0" outline="0" fieldPosition="0"/>
    </format>
    <format dxfId="644">
      <pivotArea type="all" dataOnly="0" outline="0" fieldPosition="0"/>
    </format>
    <format dxfId="643">
      <pivotArea outline="0" collapsedLevelsAreSubtotals="1" fieldPosition="0"/>
    </format>
    <format dxfId="642">
      <pivotArea field="4" type="button" dataOnly="0" labelOnly="1" outline="0" axis="axisRow" fieldPosition="0"/>
    </format>
    <format dxfId="641">
      <pivotArea dataOnly="0" labelOnly="1" fieldPosition="0">
        <references count="1">
          <reference field="4" count="0"/>
        </references>
      </pivotArea>
    </format>
    <format dxfId="640">
      <pivotArea dataOnly="0" labelOnly="1" grandRow="1" outline="0" fieldPosition="0"/>
    </format>
    <format dxfId="639">
      <pivotArea dataOnly="0" labelOnly="1" outline="0" fieldPosition="0">
        <references count="1">
          <reference field="4294967294" count="2">
            <x v="1"/>
            <x v="3"/>
          </reference>
        </references>
      </pivotArea>
    </format>
    <format dxfId="638">
      <pivotArea outline="0" fieldPosition="0">
        <references count="1">
          <reference field="4294967294" count="1">
            <x v="1"/>
          </reference>
        </references>
      </pivotArea>
    </format>
    <format dxfId="637">
      <pivotArea outline="0" fieldPosition="0">
        <references count="1">
          <reference field="4294967294" count="1">
            <x v="3"/>
          </reference>
        </references>
      </pivotArea>
    </format>
    <format dxfId="636">
      <pivotArea type="all" dataOnly="0" outline="0" fieldPosition="0"/>
    </format>
    <format dxfId="635">
      <pivotArea outline="0" collapsedLevelsAreSubtotals="1" fieldPosition="0"/>
    </format>
    <format dxfId="634">
      <pivotArea field="4" type="button" dataOnly="0" labelOnly="1" outline="0" axis="axisRow" fieldPosition="0"/>
    </format>
    <format dxfId="633">
      <pivotArea dataOnly="0" labelOnly="1" fieldPosition="0">
        <references count="1">
          <reference field="4" count="0"/>
        </references>
      </pivotArea>
    </format>
    <format dxfId="632">
      <pivotArea dataOnly="0" labelOnly="1" grandRow="1" outline="0" fieldPosition="0"/>
    </format>
    <format dxfId="631">
      <pivotArea dataOnly="0" labelOnly="1" outline="0" fieldPosition="0">
        <references count="1">
          <reference field="4294967294" count="3">
            <x v="1"/>
            <x v="2"/>
            <x v="3"/>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C374:I376" firstHeaderRow="0" firstDataRow="1" firstDataCol="1" rowPageCount="3"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Row" subtotalTop="0" multipleItemSelectionAllowed="1" showAll="0">
      <items count="7">
        <item x="0"/>
        <item m="1" x="4"/>
        <item x="1"/>
        <item h="1" m="1" x="2"/>
        <item m="1" x="3"/>
        <item m="1" x="5"/>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dataField="1" showAl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3">
    <pageField fld="0" hier="-1"/>
    <pageField fld="145" hier="-1"/>
    <pageField fld="146" item="0" hier="-1"/>
  </pageFields>
  <dataFields count="6">
    <dataField name="  functional latrines in TLS/CFS supported by WASH partners during the reporting period" fld="54" baseField="0" baseItem="0"/>
    <dataField name=" #_Hygiene Promotion activities (sessions) in TLS?" fld="68" baseField="4" baseItem="0"/>
    <dataField name=" # of hand washing stations with soap in TLS" fld="127" baseField="4" baseItem="0"/>
    <dataField name=" #_of water points in TLS/CFS" fld="39" baseField="0" baseItem="0"/>
    <dataField name="Sum of #_of water points in THF" fld="40" baseField="4" baseItem="0"/>
    <dataField name="Sum of # of functional latrines in THF supported by WASH partners during the reporting period2" fld="55" baseField="4" baseItem="0"/>
  </dataFields>
  <formats count="21">
    <format dxfId="666">
      <pivotArea type="all" dataOnly="0" outline="0" fieldPosition="0"/>
    </format>
    <format dxfId="665">
      <pivotArea outline="0" collapsedLevelsAreSubtotals="1" fieldPosition="0"/>
    </format>
    <format dxfId="664">
      <pivotArea field="4" type="button" dataOnly="0" labelOnly="1" outline="0" axis="axisRow" fieldPosition="0"/>
    </format>
    <format dxfId="663">
      <pivotArea dataOnly="0" labelOnly="1" grandRow="1" outline="0" fieldPosition="0"/>
    </format>
    <format dxfId="662">
      <pivotArea type="all" dataOnly="0" outline="0" fieldPosition="0"/>
    </format>
    <format dxfId="661">
      <pivotArea outline="0" collapsedLevelsAreSubtotals="1" fieldPosition="0"/>
    </format>
    <format dxfId="660">
      <pivotArea type="origin" dataOnly="0" labelOnly="1" outline="0" fieldPosition="0"/>
    </format>
    <format dxfId="659">
      <pivotArea field="145" type="button" dataOnly="0" labelOnly="1" outline="0" axis="axisPage" fieldPosition="1"/>
    </format>
    <format dxfId="658">
      <pivotArea type="topRight" dataOnly="0" labelOnly="1" outline="0" fieldPosition="0"/>
    </format>
    <format dxfId="657">
      <pivotArea dataOnly="0" labelOnly="1" fieldPosition="0">
        <references count="1">
          <reference field="145" count="0"/>
        </references>
      </pivotArea>
    </format>
    <format dxfId="656">
      <pivotArea type="all" dataOnly="0" outline="0" fieldPosition="0"/>
    </format>
    <format dxfId="655">
      <pivotArea outline="0" collapsedLevelsAreSubtotals="1" fieldPosition="0"/>
    </format>
    <format dxfId="654">
      <pivotArea field="4" type="button" dataOnly="0" labelOnly="1" outline="0" axis="axisRow" fieldPosition="0"/>
    </format>
    <format dxfId="653">
      <pivotArea dataOnly="0" labelOnly="1" fieldPosition="0">
        <references count="1">
          <reference field="4" count="0"/>
        </references>
      </pivotArea>
    </format>
    <format dxfId="652">
      <pivotArea outline="0" collapsedLevelsAreSubtotals="1" fieldPosition="0"/>
    </format>
    <format dxfId="651">
      <pivotArea field="4" type="button" dataOnly="0" labelOnly="1" outline="0" axis="axisRow" fieldPosition="0"/>
    </format>
    <format dxfId="650">
      <pivotArea dataOnly="0" labelOnly="1" outline="0" fieldPosition="0">
        <references count="1">
          <reference field="4294967294" count="6">
            <x v="0"/>
            <x v="1"/>
            <x v="2"/>
            <x v="3"/>
            <x v="4"/>
            <x v="5"/>
          </reference>
        </references>
      </pivotArea>
    </format>
    <format dxfId="649">
      <pivotArea field="4" type="button" dataOnly="0" labelOnly="1" outline="0" axis="axisRow" fieldPosition="0"/>
    </format>
    <format dxfId="648">
      <pivotArea dataOnly="0" labelOnly="1" outline="0" fieldPosition="0">
        <references count="1">
          <reference field="4294967294" count="6">
            <x v="0"/>
            <x v="1"/>
            <x v="2"/>
            <x v="3"/>
            <x v="4"/>
            <x v="5"/>
          </reference>
        </references>
      </pivotArea>
    </format>
    <format dxfId="647">
      <pivotArea field="4" type="button" dataOnly="0" labelOnly="1" outline="0" axis="axisRow" fieldPosition="0"/>
    </format>
    <format dxfId="646">
      <pivotArea dataOnly="0" labelOnly="1" outline="0" fieldPosition="0">
        <references count="1">
          <reference field="4294967294" count="6">
            <x v="0"/>
            <x v="1"/>
            <x v="2"/>
            <x v="3"/>
            <x v="4"/>
            <x v="5"/>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F7211E2-A817-41D1-B1B2-798236285E84}" name="PivotTable2" cacheId="3" applyNumberFormats="0" applyBorderFormats="0" applyFontFormats="0" applyPatternFormats="0" applyAlignmentFormats="0" applyWidthHeightFormats="1" dataCaption="Values" updatedVersion="7" minRefreshableVersion="3" rowGrandTotals="0" colGrandTotals="0" itemPrintTitles="1" createdVersion="6" indent="0" showHeaders="0" compact="0" compactData="0" multipleFieldFilters="0">
  <location ref="Q5:AE45" firstHeaderRow="0" firstDataRow="1" firstDataCol="1" rowPageCount="3" colPageCount="1"/>
  <pivotFields count="158">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0"/>
        <item m="1" x="4"/>
        <item x="1"/>
        <item m="1" x="2"/>
        <item m="1" x="3"/>
        <item m="1" x="5"/>
      </items>
    </pivotField>
    <pivotField compact="0" outline="0" subtotalTop="0" showAll="0" defaultSubtotal="0"/>
    <pivotField axis="axisPage" compact="0" outline="0" multipleItemSelectionAllowed="1" showAll="0" defaultSubtotal="0">
      <items count="15">
        <item x="1"/>
        <item x="2"/>
        <item m="1" x="11"/>
        <item h="1" m="1" x="13"/>
        <item h="1" m="1" x="14"/>
        <item h="1" m="1" x="7"/>
        <item h="1" m="1" x="10"/>
        <item h="1" m="1" x="6"/>
        <item m="1" x="8"/>
        <item m="1" x="9"/>
        <item h="1" m="1" x="12"/>
        <item h="1" m="1" x="4"/>
        <item h="1" m="1" x="5"/>
        <item x="3"/>
        <item h="1" x="0"/>
      </items>
    </pivotField>
    <pivotField axis="axisRow" compact="0" outline="0" subtotalTop="0" showAll="0" defaultSubtotal="0">
      <items count="1093">
        <item m="1" x="933"/>
        <item m="1" x="1076"/>
        <item m="1" x="507"/>
        <item m="1" x="754"/>
        <item m="1" x="323"/>
        <item m="1" x="518"/>
        <item m="1" x="636"/>
        <item m="1" x="1040"/>
        <item m="1" x="1049"/>
        <item x="21"/>
        <item x="5"/>
        <item x="12"/>
        <item x="49"/>
        <item m="1" x="491"/>
        <item m="1" x="374"/>
        <item m="1" x="624"/>
        <item m="1" x="287"/>
        <item m="1" x="750"/>
        <item m="1" x="330"/>
        <item m="1" x="598"/>
        <item m="1" x="716"/>
        <item m="1" x="730"/>
        <item m="1" x="922"/>
        <item m="1" x="866"/>
        <item m="1" x="503"/>
        <item m="1" x="789"/>
        <item m="1" x="332"/>
        <item m="1" x="998"/>
        <item m="1" x="902"/>
        <item m="1" x="344"/>
        <item m="1" x="779"/>
        <item m="1" x="559"/>
        <item m="1" x="940"/>
        <item m="1" x="880"/>
        <item m="1" x="963"/>
        <item m="1" x="910"/>
        <item m="1" x="845"/>
        <item m="1" x="728"/>
        <item m="1" x="441"/>
        <item m="1" x="985"/>
        <item m="1" x="412"/>
        <item m="1" x="857"/>
        <item m="1" x="479"/>
        <item m="1" x="1000"/>
        <item m="1" x="447"/>
        <item m="1" x="464"/>
        <item m="1" x="844"/>
        <item m="1" x="446"/>
        <item m="1" x="826"/>
        <item m="1" x="574"/>
        <item m="1" x="1025"/>
        <item m="1" x="331"/>
        <item m="1" x="753"/>
        <item m="1" x="462"/>
        <item m="1" x="1077"/>
        <item m="1" x="370"/>
        <item m="1" x="901"/>
        <item m="1" x="1075"/>
        <item m="1" x="239"/>
        <item m="1" x="803"/>
        <item m="1" x="622"/>
        <item m="1" x="693"/>
        <item m="1" x="694"/>
        <item m="1" x="688"/>
        <item m="1" x="258"/>
        <item x="23"/>
        <item m="1" x="1036"/>
        <item m="1" x="1078"/>
        <item m="1" x="790"/>
        <item m="1" x="515"/>
        <item m="1" x="1071"/>
        <item m="1" x="705"/>
        <item m="1" x="1086"/>
        <item m="1" x="538"/>
        <item m="1" x="1048"/>
        <item m="1" x="399"/>
        <item m="1" x="261"/>
        <item m="1" x="251"/>
        <item m="1" x="725"/>
        <item m="1" x="991"/>
        <item m="1" x="432"/>
        <item x="17"/>
        <item m="1" x="354"/>
        <item m="1" x="448"/>
        <item m="1" x="938"/>
        <item m="1" x="891"/>
        <item m="1" x="722"/>
        <item m="1" x="955"/>
        <item m="1" x="276"/>
        <item m="1" x="385"/>
        <item m="1" x="611"/>
        <item m="1" x="237"/>
        <item m="1" x="850"/>
        <item m="1" x="673"/>
        <item m="1" x="1004"/>
        <item m="1" x="851"/>
        <item m="1" x="947"/>
        <item m="1" x="607"/>
        <item m="1" x="653"/>
        <item m="1" x="760"/>
        <item m="1" x="581"/>
        <item m="1" x="563"/>
        <item m="1" x="488"/>
        <item m="1" x="442"/>
        <item x="13"/>
        <item m="1" x="1072"/>
        <item m="1" x="1026"/>
        <item m="1" x="787"/>
        <item m="1" x="530"/>
        <item m="1" x="846"/>
        <item x="25"/>
        <item m="1" x="664"/>
        <item m="1" x="992"/>
        <item m="1" x="474"/>
        <item m="1" x="382"/>
        <item m="1" x="777"/>
        <item m="1" x="748"/>
        <item m="1" x="809"/>
        <item m="1" x="249"/>
        <item m="1" x="272"/>
        <item x="20"/>
        <item m="1" x="965"/>
        <item m="1" x="484"/>
        <item m="1" x="397"/>
        <item m="1" x="480"/>
        <item x="32"/>
        <item m="1" x="674"/>
        <item m="1" x="650"/>
        <item m="1" x="434"/>
        <item m="1" x="244"/>
        <item m="1" x="799"/>
        <item m="1" x="839"/>
        <item m="1" x="229"/>
        <item m="1" x="783"/>
        <item m="1" x="1029"/>
        <item m="1" x="697"/>
        <item m="1" x="277"/>
        <item m="1" x="916"/>
        <item m="1" x="303"/>
        <item m="1" x="416"/>
        <item m="1" x="271"/>
        <item m="1" x="958"/>
        <item x="35"/>
        <item m="1" x="890"/>
        <item m="1" x="613"/>
        <item m="1" x="504"/>
        <item m="1" x="810"/>
        <item m="1" x="482"/>
        <item m="1" x="948"/>
        <item m="1" x="996"/>
        <item m="1" x="908"/>
        <item m="1" x="670"/>
        <item m="1" x="431"/>
        <item x="69"/>
        <item m="1" x="859"/>
        <item x="38"/>
        <item m="1" x="676"/>
        <item x="72"/>
        <item x="86"/>
        <item m="1" x="1013"/>
        <item m="1" x="372"/>
        <item x="87"/>
        <item m="1" x="1034"/>
        <item m="1" x="349"/>
        <item m="1" x="745"/>
        <item m="1" x="621"/>
        <item m="1" x="971"/>
        <item m="1" x="651"/>
        <item m="1" x="918"/>
        <item m="1" x="279"/>
        <item m="1" x="813"/>
        <item m="1" x="738"/>
        <item m="1" x="1011"/>
        <item m="1" x="952"/>
        <item m="1" x="853"/>
        <item m="1" x="723"/>
        <item m="1" x="583"/>
        <item m="1" x="804"/>
        <item m="1" x="655"/>
        <item m="1" x="823"/>
        <item m="1" x="912"/>
        <item m="1" x="219"/>
        <item m="1" x="314"/>
        <item m="1" x="689"/>
        <item m="1" x="247"/>
        <item x="76"/>
        <item x="14"/>
        <item x="51"/>
        <item x="181"/>
        <item m="1" x="340"/>
        <item m="1" x="236"/>
        <item m="1" x="646"/>
        <item x="4"/>
        <item m="1" x="241"/>
        <item m="1" x="548"/>
        <item m="1" x="616"/>
        <item m="1" x="829"/>
        <item m="1" x="505"/>
        <item m="1" x="265"/>
        <item m="1" x="774"/>
        <item m="1" x="972"/>
        <item x="152"/>
        <item m="1" x="769"/>
        <item x="50"/>
        <item m="1" x="343"/>
        <item m="1" x="506"/>
        <item m="1" x="775"/>
        <item m="1" x="1007"/>
        <item x="3"/>
        <item m="1" x="260"/>
        <item m="1" x="994"/>
        <item m="1" x="838"/>
        <item x="37"/>
        <item m="1" x="369"/>
        <item m="1" x="712"/>
        <item m="1" x="685"/>
        <item m="1" x="453"/>
        <item x="131"/>
        <item x="26"/>
        <item x="90"/>
        <item x="16"/>
        <item m="1" x="785"/>
        <item m="1" x="827"/>
        <item m="1" x="473"/>
        <item m="1" x="301"/>
        <item m="1" x="396"/>
        <item m="1" x="794"/>
        <item m="1" x="752"/>
        <item m="1" x="414"/>
        <item x="73"/>
        <item x="1"/>
        <item x="77"/>
        <item x="191"/>
        <item m="1" x="710"/>
        <item x="2"/>
        <item m="1" x="1044"/>
        <item m="1" x="1088"/>
        <item m="1" x="593"/>
        <item m="1" x="953"/>
        <item m="1" x="981"/>
        <item m="1" x="449"/>
        <item m="1" x="569"/>
        <item m="1" x="540"/>
        <item x="64"/>
        <item m="1" x="467"/>
        <item m="1" x="718"/>
        <item m="1" x="679"/>
        <item m="1" x="554"/>
        <item m="1" x="671"/>
        <item m="1" x="893"/>
        <item m="1" x="427"/>
        <item m="1" x="830"/>
        <item m="1" x="375"/>
        <item m="1" x="421"/>
        <item m="1" x="762"/>
        <item m="1" x="423"/>
        <item m="1" x="495"/>
        <item m="1" x="657"/>
        <item m="1" x="818"/>
        <item m="1" x="1003"/>
        <item m="1" x="555"/>
        <item m="1" x="770"/>
        <item m="1" x="296"/>
        <item m="1" x="924"/>
        <item m="1" x="680"/>
        <item m="1" x="956"/>
        <item m="1" x="359"/>
        <item x="75"/>
        <item m="1" x="300"/>
        <item m="1" x="687"/>
        <item m="1" x="463"/>
        <item m="1" x="524"/>
        <item m="1" x="615"/>
        <item m="1" x="1062"/>
        <item m="1" x="292"/>
        <item m="1" x="633"/>
        <item m="1" x="455"/>
        <item m="1" x="586"/>
        <item x="158"/>
        <item m="1" x="529"/>
        <item m="1" x="1080"/>
        <item m="1" x="376"/>
        <item m="1" x="588"/>
        <item m="1" x="773"/>
        <item m="1" x="708"/>
        <item m="1" x="398"/>
        <item m="1" x="490"/>
        <item m="1" x="811"/>
        <item m="1" x="780"/>
        <item m="1" x="533"/>
        <item m="1" x="828"/>
        <item m="1" x="527"/>
        <item m="1" x="316"/>
        <item m="1" x="400"/>
        <item m="1" x="329"/>
        <item m="1" x="786"/>
        <item m="1" x="1031"/>
        <item m="1" x="440"/>
        <item m="1" x="587"/>
        <item m="1" x="766"/>
        <item m="1" x="337"/>
        <item x="91"/>
        <item x="116"/>
        <item m="1" x="1052"/>
        <item m="1" x="628"/>
        <item m="1" x="321"/>
        <item m="1" x="544"/>
        <item m="1" x="1045"/>
        <item m="1" x="391"/>
        <item m="1" x="363"/>
        <item m="1" x="800"/>
        <item m="1" x="868"/>
        <item m="1" x="358"/>
        <item m="1" x="856"/>
        <item m="1" x="280"/>
        <item m="1" x="356"/>
        <item m="1" x="939"/>
        <item m="1" x="406"/>
        <item m="1" x="663"/>
        <item m="1" x="986"/>
        <item m="1" x="1066"/>
        <item m="1" x="1082"/>
        <item m="1" x="339"/>
        <item m="1" x="297"/>
        <item m="1" x="444"/>
        <item m="1" x="949"/>
        <item m="1" x="721"/>
        <item m="1" x="392"/>
        <item m="1" x="814"/>
        <item m="1" x="1024"/>
        <item m="1" x="677"/>
        <item m="1" x="393"/>
        <item m="1" x="426"/>
        <item m="1" x="499"/>
        <item m="1" x="275"/>
        <item m="1" x="886"/>
        <item m="1" x="347"/>
        <item m="1" x="837"/>
        <item m="1" x="294"/>
        <item m="1" x="964"/>
        <item m="1" x="1002"/>
        <item m="1" x="342"/>
        <item m="1" x="614"/>
        <item m="1" x="967"/>
        <item m="1" x="413"/>
        <item m="1" x="1005"/>
        <item m="1" x="285"/>
        <item x="94"/>
        <item m="1" x="573"/>
        <item m="1" x="640"/>
        <item m="1" x="733"/>
        <item m="1" x="232"/>
        <item m="1" x="1064"/>
        <item x="19"/>
        <item m="1" x="951"/>
        <item m="1" x="666"/>
        <item m="1" x="476"/>
        <item m="1" x="1001"/>
        <item m="1" x="419"/>
        <item m="1" x="367"/>
        <item x="65"/>
        <item m="1" x="957"/>
        <item m="1" x="267"/>
        <item m="1" x="500"/>
        <item m="1" x="605"/>
        <item m="1" x="322"/>
        <item x="40"/>
        <item m="1" x="299"/>
        <item m="1" x="713"/>
        <item m="1" x="311"/>
        <item m="1" x="935"/>
        <item m="1" x="291"/>
        <item m="1" x="848"/>
        <item x="52"/>
        <item m="1" x="281"/>
        <item x="78"/>
        <item x="132"/>
        <item m="1" x="390"/>
        <item m="1" x="1090"/>
        <item m="1" x="606"/>
        <item m="1" x="278"/>
        <item m="1" x="220"/>
        <item m="1" x="909"/>
        <item m="1" x="550"/>
        <item m="1" x="273"/>
        <item m="1" x="755"/>
        <item m="1" x="510"/>
        <item m="1" x="335"/>
        <item x="53"/>
        <item m="1" x="706"/>
        <item m="1" x="869"/>
        <item m="1" x="539"/>
        <item m="1" x="652"/>
        <item x="54"/>
        <item x="60"/>
        <item x="28"/>
        <item x="124"/>
        <item x="159"/>
        <item x="160"/>
        <item x="161"/>
        <item x="27"/>
        <item m="1" x="350"/>
        <item m="1" x="289"/>
        <item m="1" x="336"/>
        <item m="1" x="764"/>
        <item m="1" x="995"/>
        <item m="1" x="875"/>
        <item m="1" x="919"/>
        <item x="22"/>
        <item m="1" x="913"/>
        <item m="1" x="386"/>
        <item m="1" x="561"/>
        <item x="182"/>
        <item x="183"/>
        <item x="95"/>
        <item m="1" x="436"/>
        <item x="74"/>
        <item x="18"/>
        <item x="184"/>
        <item x="185"/>
        <item x="193"/>
        <item x="43"/>
        <item m="1" x="941"/>
        <item x="168"/>
        <item x="162"/>
        <item x="163"/>
        <item x="169"/>
        <item x="196"/>
        <item m="1" x="411"/>
        <item x="99"/>
        <item m="1" x="1050"/>
        <item m="1" x="580"/>
        <item x="44"/>
        <item x="56"/>
        <item x="59"/>
        <item x="61"/>
        <item m="1" x="727"/>
        <item m="1" x="221"/>
        <item m="1" x="378"/>
        <item x="98"/>
        <item x="111"/>
        <item m="1" x="231"/>
        <item m="1" x="327"/>
        <item x="128"/>
        <item m="1" x="638"/>
        <item m="1" x="286"/>
        <item m="1" x="1012"/>
        <item m="1" x="966"/>
        <item m="1" x="424"/>
        <item m="1" x="513"/>
        <item m="1" x="341"/>
        <item x="198"/>
        <item x="199"/>
        <item m="1" x="263"/>
        <item m="1" x="326"/>
        <item m="1" x="937"/>
        <item x="30"/>
        <item m="1" x="439"/>
        <item m="1" x="528"/>
        <item m="1" x="256"/>
        <item m="1" x="478"/>
        <item m="1" x="338"/>
        <item m="1" x="348"/>
        <item m="1" x="497"/>
        <item m="1" x="357"/>
        <item m="1" x="361"/>
        <item m="1" x="534"/>
        <item m="1" x="1054"/>
        <item m="1" x="415"/>
        <item m="1" x="719"/>
        <item m="1" x="979"/>
        <item m="1" x="1037"/>
        <item m="1" x="364"/>
        <item m="1" x="776"/>
        <item x="117"/>
        <item m="1" x="897"/>
        <item m="1" x="282"/>
        <item m="1" x="743"/>
        <item m="1" x="585"/>
        <item x="164"/>
        <item x="0"/>
        <item m="1" x="608"/>
        <item m="1" x="788"/>
        <item m="1" x="736"/>
        <item m="1" x="999"/>
        <item x="118"/>
        <item m="1" x="824"/>
        <item m="1" x="394"/>
        <item m="1" x="609"/>
        <item m="1" x="684"/>
        <item m="1" x="295"/>
        <item m="1" x="889"/>
        <item m="1" x="570"/>
        <item x="7"/>
        <item m="1" x="759"/>
        <item m="1" x="346"/>
        <item m="1" x="969"/>
        <item m="1" x="496"/>
        <item m="1" x="1081"/>
        <item m="1" x="686"/>
        <item m="1" x="1017"/>
        <item m="1" x="516"/>
        <item m="1" x="974"/>
        <item m="1" x="867"/>
        <item m="1" x="978"/>
        <item m="1" x="408"/>
        <item m="1" x="791"/>
        <item m="1" x="547"/>
        <item m="1" x="522"/>
        <item m="1" x="575"/>
        <item m="1" x="599"/>
        <item x="101"/>
        <item x="102"/>
        <item x="123"/>
        <item x="126"/>
        <item m="1" x="707"/>
        <item x="103"/>
        <item m="1" x="417"/>
        <item x="106"/>
        <item x="200"/>
        <item m="1" x="525"/>
        <item x="104"/>
        <item x="125"/>
        <item m="1" x="1042"/>
        <item x="29"/>
        <item m="1" x="430"/>
        <item x="36"/>
        <item m="1" x="884"/>
        <item x="6"/>
        <item m="1" x="840"/>
        <item m="1" x="1009"/>
        <item x="31"/>
        <item m="1" x="306"/>
        <item m="1" x="558"/>
        <item m="1" x="896"/>
        <item x="41"/>
        <item m="1" x="409"/>
        <item m="1" x="936"/>
        <item m="1" x="973"/>
        <item m="1" x="984"/>
        <item m="1" x="228"/>
        <item m="1" x="317"/>
        <item x="201"/>
        <item x="46"/>
        <item m="1" x="675"/>
        <item m="1" x="223"/>
        <item m="1" x="568"/>
        <item x="178"/>
        <item m="1" x="1084"/>
        <item x="113"/>
        <item m="1" x="475"/>
        <item m="1" x="717"/>
        <item m="1" x="591"/>
        <item m="1" x="812"/>
        <item m="1" x="870"/>
        <item m="1" x="702"/>
        <item m="1" x="620"/>
        <item m="1" x="549"/>
        <item m="1" x="365"/>
        <item m="1" x="578"/>
        <item m="1" x="631"/>
        <item m="1" x="962"/>
        <item m="1" x="395"/>
        <item m="1" x="667"/>
        <item m="1" x="227"/>
        <item m="1" x="519"/>
        <item m="1" x="1015"/>
        <item m="1" x="387"/>
        <item m="1" x="443"/>
        <item m="1" x="895"/>
        <item m="1" x="514"/>
        <item m="1" x="644"/>
        <item m="1" x="373"/>
        <item m="1" x="433"/>
        <item m="1" x="765"/>
        <item m="1" x="989"/>
        <item m="1" x="854"/>
        <item x="42"/>
        <item m="1" x="366"/>
        <item m="1" x="315"/>
        <item x="170"/>
        <item m="1" x="383"/>
        <item m="1" x="619"/>
        <item m="1" x="1046"/>
        <item m="1" x="600"/>
        <item m="1" x="900"/>
        <item x="165"/>
        <item m="1" x="556"/>
        <item m="1" x="302"/>
        <item m="1" x="456"/>
        <item m="1" x="1069"/>
        <item m="1" x="647"/>
        <item m="1" x="532"/>
        <item m="1" x="298"/>
        <item m="1" x="904"/>
        <item m="1" x="557"/>
        <item m="1" x="761"/>
        <item m="1" x="402"/>
        <item m="1" x="485"/>
        <item m="1" x="1010"/>
        <item m="1" x="662"/>
        <item m="1" x="932"/>
        <item m="1" x="997"/>
        <item m="1" x="401"/>
        <item m="1" x="798"/>
        <item m="1" x="468"/>
        <item m="1" x="1068"/>
        <item x="8"/>
        <item x="11"/>
        <item x="39"/>
        <item m="1" x="842"/>
        <item m="1" x="543"/>
        <item m="1" x="672"/>
        <item x="186"/>
        <item m="1" x="801"/>
        <item m="1" x="410"/>
        <item m="1" x="595"/>
        <item m="1" x="472"/>
        <item x="119"/>
        <item m="1" x="945"/>
        <item m="1" x="240"/>
        <item m="1" x="520"/>
        <item m="1" x="213"/>
        <item x="177"/>
        <item m="1" x="658"/>
        <item m="1" x="1047"/>
        <item m="1" x="835"/>
        <item m="1" x="914"/>
        <item m="1" x="734"/>
        <item m="1" x="517"/>
        <item m="1" x="1070"/>
        <item x="130"/>
        <item m="1" x="545"/>
        <item m="1" x="1016"/>
        <item m="1" x="892"/>
        <item m="1" x="700"/>
        <item m="1" x="603"/>
        <item m="1" x="576"/>
        <item m="1" x="360"/>
        <item m="1" x="418"/>
        <item m="1" x="726"/>
        <item m="1" x="784"/>
        <item m="1" x="457"/>
        <item m="1" x="724"/>
        <item m="1" x="627"/>
        <item m="1" x="696"/>
        <item m="1" x="388"/>
        <item m="1" x="266"/>
        <item m="1" x="494"/>
        <item m="1" x="863"/>
        <item m="1" x="345"/>
        <item m="1" x="820"/>
        <item m="1" x="923"/>
        <item m="1" x="618"/>
        <item m="1" x="1021"/>
        <item m="1" x="623"/>
        <item m="1" x="954"/>
        <item m="1" x="270"/>
        <item m="1" x="512"/>
        <item m="1" x="656"/>
        <item m="1" x="1030"/>
        <item m="1" x="541"/>
        <item m="1" x="862"/>
        <item m="1" x="756"/>
        <item m="1" x="695"/>
        <item m="1" x="242"/>
        <item m="1" x="379"/>
        <item x="203"/>
        <item x="187"/>
        <item m="1" x="690"/>
        <item m="1" x="309"/>
        <item m="1" x="542"/>
        <item m="1" x="564"/>
        <item m="1" x="751"/>
        <item m="1" x="729"/>
        <item m="1" x="1020"/>
        <item m="1" x="368"/>
        <item m="1" x="465"/>
        <item m="1" x="216"/>
        <item m="1" x="353"/>
        <item m="1" x="333"/>
        <item x="204"/>
        <item m="1" x="796"/>
        <item m="1" x="815"/>
        <item x="129"/>
        <item m="1" x="864"/>
        <item m="1" x="551"/>
        <item m="1" x="757"/>
        <item m="1" x="610"/>
        <item m="1" x="982"/>
        <item m="1" x="659"/>
        <item m="1" x="225"/>
        <item m="1" x="377"/>
        <item x="135"/>
        <item m="1" x="604"/>
        <item x="179"/>
        <item m="1" x="643"/>
        <item m="1" x="1022"/>
        <item m="1" x="987"/>
        <item m="1" x="1014"/>
        <item m="1" x="511"/>
        <item m="1" x="489"/>
        <item x="45"/>
        <item m="1" x="1038"/>
        <item m="1" x="487"/>
        <item m="1" x="567"/>
        <item m="1" x="637"/>
        <item m="1" x="816"/>
        <item m="1" x="861"/>
        <item m="1" x="894"/>
        <item m="1" x="698"/>
        <item m="1" x="852"/>
        <item m="1" x="968"/>
        <item m="1" x="887"/>
        <item m="1" x="562"/>
        <item m="1" x="749"/>
        <item m="1" x="917"/>
        <item m="1" x="720"/>
        <item m="1" x="899"/>
        <item m="1" x="832"/>
        <item x="58"/>
        <item m="1" x="1073"/>
        <item m="1" x="903"/>
        <item x="166"/>
        <item m="1" x="217"/>
        <item m="1" x="308"/>
        <item m="1" x="560"/>
        <item m="1" x="822"/>
        <item m="1" x="931"/>
        <item x="188"/>
        <item m="1" x="1085"/>
        <item x="15"/>
        <item m="1" x="699"/>
        <item m="1" x="565"/>
        <item m="1" x="1061"/>
        <item x="171"/>
        <item x="207"/>
        <item m="1" x="313"/>
        <item m="1" x="577"/>
        <item x="189"/>
        <item m="1" x="833"/>
        <item m="1" x="371"/>
        <item m="1" x="1067"/>
        <item x="82"/>
        <item x="83"/>
        <item m="1" x="703"/>
        <item m="1" x="536"/>
        <item m="1" x="834"/>
        <item m="1" x="767"/>
        <item m="1" x="592"/>
        <item m="1" x="246"/>
        <item m="1" x="669"/>
        <item m="1" x="704"/>
        <item m="1" x="320"/>
        <item m="1" x="435"/>
        <item m="1" x="492"/>
        <item m="1" x="602"/>
        <item m="1" x="873"/>
        <item x="172"/>
        <item m="1" x="483"/>
        <item m="1" x="245"/>
        <item m="1" x="898"/>
        <item m="1" x="943"/>
        <item m="1" x="860"/>
        <item m="1" x="1060"/>
        <item m="1" x="983"/>
        <item m="1" x="252"/>
        <item m="1" x="248"/>
        <item m="1" x="678"/>
        <item m="1" x="234"/>
        <item m="1" x="691"/>
        <item m="1" x="950"/>
        <item m="1" x="858"/>
        <item m="1" x="501"/>
        <item m="1" x="466"/>
        <item m="1" x="429"/>
        <item m="1" x="806"/>
        <item m="1" x="582"/>
        <item m="1" x="872"/>
        <item m="1" x="226"/>
        <item m="1" x="876"/>
        <item m="1" x="692"/>
        <item m="1" x="929"/>
        <item x="67"/>
        <item m="1" x="589"/>
        <item m="1" x="874"/>
        <item m="1" x="310"/>
        <item m="1" x="927"/>
        <item m="1" x="841"/>
        <item m="1" x="389"/>
        <item m="1" x="1087"/>
        <item m="1" x="380"/>
        <item m="1" x="290"/>
        <item m="1" x="1008"/>
        <item m="1" x="930"/>
        <item m="1" x="944"/>
        <item m="1" x="795"/>
        <item m="1" x="778"/>
        <item m="1" x="881"/>
        <item x="68"/>
        <item x="180"/>
        <item m="1" x="218"/>
        <item m="1" x="508"/>
        <item m="1" x="1063"/>
        <item m="1" x="946"/>
        <item x="173"/>
        <item x="208"/>
        <item m="1" x="526"/>
        <item x="174"/>
        <item x="175"/>
        <item m="1" x="351"/>
        <item m="1" x="921"/>
        <item m="1" x="768"/>
        <item m="1" x="701"/>
        <item m="1" x="763"/>
        <item m="1" x="781"/>
        <item m="1" x="590"/>
        <item m="1" x="243"/>
        <item m="1" x="630"/>
        <item m="1" x="1059"/>
        <item m="1" x="732"/>
        <item m="1" x="307"/>
        <item m="1" x="819"/>
        <item m="1" x="1065"/>
        <item m="1" x="293"/>
        <item m="1" x="1056"/>
        <item m="1" x="1057"/>
        <item m="1" x="885"/>
        <item m="1" x="1058"/>
        <item m="1" x="404"/>
        <item m="1" x="735"/>
        <item m="1" x="836"/>
        <item m="1" x="961"/>
        <item m="1" x="224"/>
        <item m="1" x="325"/>
        <item m="1" x="493"/>
        <item m="1" x="381"/>
        <item m="1" x="222"/>
        <item m="1" x="740"/>
        <item m="1" x="634"/>
        <item m="1" x="1033"/>
        <item m="1" x="1083"/>
        <item m="1" x="1041"/>
        <item m="1" x="990"/>
        <item m="1" x="312"/>
        <item m="1" x="731"/>
        <item m="1" x="579"/>
        <item m="1" x="498"/>
        <item m="1" x="407"/>
        <item m="1" x="470"/>
        <item m="1" x="257"/>
        <item m="1" x="1019"/>
        <item m="1" x="566"/>
        <item m="1" x="584"/>
        <item m="1" x="553"/>
        <item m="1" x="793"/>
        <item m="1" x="1091"/>
        <item m="1" x="1018"/>
        <item m="1" x="571"/>
        <item m="1" x="454"/>
        <item m="1" x="635"/>
        <item m="1" x="934"/>
        <item m="1" x="288"/>
        <item m="1" x="1023"/>
        <item m="1" x="461"/>
        <item x="209"/>
        <item m="1" x="711"/>
        <item m="1" x="1027"/>
        <item m="1" x="617"/>
        <item m="1" x="471"/>
        <item m="1" x="661"/>
        <item m="1" x="1053"/>
        <item m="1" x="1028"/>
        <item m="1" x="739"/>
        <item m="1" x="668"/>
        <item m="1" x="535"/>
        <item m="1" x="451"/>
        <item m="1" x="452"/>
        <item m="1" x="405"/>
        <item m="1" x="255"/>
        <item m="1" x="403"/>
        <item m="1" x="230"/>
        <item m="1" x="215"/>
        <item m="1" x="871"/>
        <item m="1" x="502"/>
        <item m="1" x="420"/>
        <item m="1" x="639"/>
        <item m="1" x="422"/>
        <item m="1" x="572"/>
        <item m="1" x="269"/>
        <item m="1" x="660"/>
        <item m="1" x="681"/>
        <item m="1" x="715"/>
        <item m="1" x="744"/>
        <item m="1" x="928"/>
        <item m="1" x="362"/>
        <item m="1" x="665"/>
        <item m="1" x="831"/>
        <item m="1" x="797"/>
        <item m="1" x="988"/>
        <item m="1" x="352"/>
        <item m="1" x="521"/>
        <item m="1" x="1079"/>
        <item m="1" x="537"/>
        <item m="1" x="747"/>
        <item m="1" x="792"/>
        <item m="1" x="460"/>
        <item m="1" x="883"/>
        <item m="1" x="808"/>
        <item m="1" x="926"/>
        <item m="1" x="596"/>
        <item m="1" x="425"/>
        <item m="1" x="772"/>
        <item x="176"/>
        <item m="1" x="318"/>
        <item x="112"/>
        <item m="1" x="654"/>
        <item m="1" x="879"/>
        <item m="1" x="319"/>
        <item m="1" x="865"/>
        <item m="1" x="1055"/>
        <item m="1" x="649"/>
        <item m="1" x="648"/>
        <item m="1" x="355"/>
        <item m="1" x="855"/>
        <item m="1" x="384"/>
        <item m="1" x="632"/>
        <item m="1" x="878"/>
        <item m="1" x="334"/>
        <item m="1" x="253"/>
        <item m="1" x="458"/>
        <item m="1" x="477"/>
        <item x="190"/>
        <item x="210"/>
        <item m="1" x="305"/>
        <item m="1" x="825"/>
        <item m="1" x="911"/>
        <item m="1" x="1006"/>
        <item m="1" x="428"/>
        <item x="211"/>
        <item m="1" x="1043"/>
        <item m="1" x="469"/>
        <item m="1" x="1039"/>
        <item m="1" x="977"/>
        <item m="1" x="915"/>
        <item m="1" x="459"/>
        <item m="1" x="849"/>
        <item x="84"/>
        <item x="167"/>
        <item x="194"/>
        <item m="1" x="959"/>
        <item m="1" x="233"/>
        <item m="1" x="802"/>
        <item m="1" x="641"/>
        <item m="1" x="709"/>
        <item m="1" x="509"/>
        <item m="1" x="601"/>
        <item m="1" x="920"/>
        <item m="1" x="594"/>
        <item m="1" x="807"/>
        <item m="1" x="758"/>
        <item m="1" x="976"/>
        <item m="1" x="821"/>
        <item m="1" x="737"/>
        <item m="1" x="1032"/>
        <item m="1" x="597"/>
        <item m="1" x="262"/>
        <item m="1" x="1089"/>
        <item m="1" x="1074"/>
        <item m="1" x="324"/>
        <item m="1" x="1092"/>
        <item x="212"/>
        <item m="1" x="642"/>
        <item m="1" x="259"/>
        <item m="1" x="238"/>
        <item m="1" x="888"/>
        <item m="1" x="906"/>
        <item m="1" x="907"/>
        <item m="1" x="980"/>
        <item m="1" x="942"/>
        <item m="1" x="328"/>
        <item m="1" x="629"/>
        <item m="1" x="437"/>
        <item m="1" x="438"/>
        <item m="1" x="1051"/>
        <item m="1" x="993"/>
        <item m="1" x="546"/>
        <item m="1" x="274"/>
        <item m="1" x="645"/>
        <item m="1" x="975"/>
        <item m="1" x="250"/>
        <item m="1" x="625"/>
        <item m="1" x="1035"/>
        <item m="1" x="626"/>
        <item m="1" x="970"/>
        <item m="1" x="552"/>
        <item m="1" x="486"/>
        <item m="1" x="843"/>
        <item m="1" x="254"/>
        <item m="1" x="268"/>
        <item m="1" x="782"/>
        <item m="1" x="746"/>
        <item m="1" x="283"/>
        <item m="1" x="925"/>
        <item m="1" x="264"/>
        <item m="1" x="481"/>
        <item m="1" x="682"/>
        <item m="1" x="612"/>
        <item m="1" x="284"/>
        <item m="1" x="960"/>
        <item m="1" x="742"/>
        <item m="1" x="683"/>
        <item m="1" x="714"/>
        <item x="120"/>
        <item m="1" x="445"/>
        <item m="1" x="214"/>
        <item m="1" x="450"/>
        <item m="1" x="741"/>
        <item x="88"/>
        <item x="108"/>
        <item m="1" x="905"/>
        <item m="1" x="235"/>
        <item x="79"/>
        <item x="121"/>
        <item m="1" x="847"/>
        <item x="92"/>
        <item x="55"/>
        <item x="81"/>
        <item x="142"/>
        <item m="1" x="771"/>
        <item m="1" x="805"/>
        <item x="157"/>
        <item m="1" x="304"/>
        <item m="1" x="531"/>
        <item x="9"/>
        <item x="10"/>
        <item m="1" x="877"/>
        <item x="134"/>
        <item x="133"/>
        <item x="93"/>
        <item x="107"/>
        <item x="192"/>
        <item x="70"/>
        <item x="71"/>
        <item x="85"/>
        <item x="127"/>
        <item x="114"/>
        <item x="80"/>
        <item x="47"/>
        <item m="1" x="817"/>
        <item x="48"/>
        <item x="115"/>
        <item x="62"/>
        <item x="63"/>
        <item x="57"/>
        <item x="24"/>
        <item x="206"/>
        <item m="1" x="882"/>
        <item x="33"/>
        <item x="97"/>
        <item x="100"/>
        <item x="105"/>
        <item x="109"/>
        <item x="110"/>
        <item x="122"/>
        <item m="1" x="523"/>
        <item x="89"/>
        <item x="197"/>
        <item x="34"/>
        <item x="66"/>
        <item x="136"/>
        <item x="137"/>
        <item x="138"/>
        <item x="139"/>
        <item x="140"/>
        <item x="141"/>
        <item x="143"/>
        <item x="144"/>
        <item x="145"/>
        <item x="146"/>
        <item x="147"/>
        <item x="148"/>
        <item x="96"/>
        <item x="149"/>
        <item x="150"/>
        <item x="151"/>
        <item x="195"/>
        <item x="153"/>
        <item x="154"/>
        <item x="155"/>
        <item x="156"/>
        <item x="202"/>
        <item x="205"/>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40">
    <i>
      <x v="158"/>
    </i>
    <i>
      <x v="161"/>
    </i>
    <i>
      <x v="201"/>
    </i>
    <i>
      <x v="219"/>
    </i>
    <i>
      <x v="301"/>
    </i>
    <i>
      <x v="302"/>
    </i>
    <i>
      <x v="347"/>
    </i>
    <i>
      <x v="396"/>
    </i>
    <i>
      <x v="414"/>
    </i>
    <i>
      <x v="427"/>
    </i>
    <i>
      <x v="429"/>
    </i>
    <i>
      <x v="439"/>
    </i>
    <i>
      <x v="440"/>
    </i>
    <i>
      <x v="474"/>
    </i>
    <i>
      <x v="485"/>
    </i>
    <i>
      <x v="511"/>
    </i>
    <i>
      <x v="512"/>
    </i>
    <i>
      <x v="513"/>
    </i>
    <i>
      <x v="514"/>
    </i>
    <i>
      <x v="516"/>
    </i>
    <i>
      <x v="518"/>
    </i>
    <i>
      <x v="521"/>
    </i>
    <i>
      <x v="522"/>
    </i>
    <i>
      <x v="549"/>
    </i>
    <i>
      <x v="618"/>
    </i>
    <i>
      <x v="915"/>
    </i>
    <i>
      <x v="1013"/>
    </i>
    <i>
      <x v="1018"/>
    </i>
    <i>
      <x v="1023"/>
    </i>
    <i>
      <x v="1044"/>
    </i>
    <i>
      <x v="1045"/>
    </i>
    <i>
      <x v="1059"/>
    </i>
    <i>
      <x v="1060"/>
    </i>
    <i>
      <x v="1061"/>
    </i>
    <i>
      <x v="1062"/>
    </i>
    <i>
      <x v="1063"/>
    </i>
    <i>
      <x v="1064"/>
    </i>
    <i>
      <x v="1066"/>
    </i>
    <i>
      <x v="1082"/>
    </i>
    <i>
      <x v="1086"/>
    </i>
  </rowItems>
  <colFields count="1">
    <field x="-2"/>
  </colFields>
  <colItems count="14">
    <i>
      <x/>
    </i>
    <i i="1">
      <x v="1"/>
    </i>
    <i i="2">
      <x v="2"/>
    </i>
    <i i="3">
      <x v="3"/>
    </i>
    <i i="4">
      <x v="4"/>
    </i>
    <i i="5">
      <x v="5"/>
    </i>
    <i i="6">
      <x v="6"/>
    </i>
    <i i="7">
      <x v="7"/>
    </i>
    <i i="8">
      <x v="8"/>
    </i>
    <i i="9">
      <x v="9"/>
    </i>
    <i i="10">
      <x v="10"/>
    </i>
    <i i="11">
      <x v="11"/>
    </i>
    <i i="12">
      <x v="12"/>
    </i>
    <i i="13">
      <x v="13"/>
    </i>
  </colItems>
  <pageFields count="3">
    <pageField fld="145" item="0" hier="-1"/>
    <pageField fld="6" hier="-1"/>
    <pageField fld="4" item="2" hier="-1"/>
  </pageFields>
  <dataFields count="14">
    <dataField name="Max of Total PoP " fld="9" subtotal="max" baseField="7" baseItem="7" numFmtId="3"/>
    <dataField name="Max of HRP1" fld="99" subtotal="max" baseField="7" baseItem="7"/>
    <dataField name="Max of HRP2" fld="107" subtotal="max" baseField="7" baseItem="7"/>
    <dataField name="Max of HRP3" fld="119" subtotal="max" baseField="7" baseItem="7"/>
    <dataField name="Max of HRP4" fld="134" subtotal="max" baseField="7" baseItem="7"/>
    <dataField name="Max of HRP5" fld="135" subtotal="max" baseField="7" baseItem="7"/>
    <dataField name="Max of HRP6" fld="136" subtotal="max" baseField="7" baseItem="158"/>
    <dataField name="Max of hygiene items" fld="118" subtotal="max" baseField="7" baseItem="7"/>
    <dataField name="Max of # people reached by regular dedicated hygiene promotion_5" fld="115" subtotal="max" baseField="7" baseItem="7"/>
    <dataField name="Max of # People access to Handwashing Station" fld="128" subtotal="max" baseField="7" baseItem="7"/>
    <dataField name="Max of # People access to water in TLS/CFS_HRP5" fld="90" subtotal="max" baseField="7" baseItem="158"/>
    <dataField name="Max of # People access to water in THF_HRP6" fld="91" subtotal="max" baseField="7" baseItem="158"/>
    <dataField name="Max of # students access to functioning school latrines_HRP5" fld="109" subtotal="max" baseField="7" baseItem="7"/>
    <dataField name="Max of # People access to functioning latrines in THF_HRP6" fld="110" subtotal="max" baseField="7" baseItem="158"/>
  </dataFields>
  <formats count="59">
    <format dxfId="797">
      <pivotArea field="4" type="button" dataOnly="0" labelOnly="1" outline="0" axis="axisPage" fieldPosition="2"/>
    </format>
    <format dxfId="796">
      <pivotArea type="all" dataOnly="0" outline="0" fieldPosition="0"/>
    </format>
    <format dxfId="795">
      <pivotArea field="4" type="button" dataOnly="0" labelOnly="1" outline="0" axis="axisPage" fieldPosition="2"/>
    </format>
    <format dxfId="794">
      <pivotArea outline="0" fieldPosition="0">
        <references count="1">
          <reference field="4294967294" count="1">
            <x v="0"/>
          </reference>
        </references>
      </pivotArea>
    </format>
    <format dxfId="793">
      <pivotArea dataOnly="0" labelOnly="1" outline="0" fieldPosition="0">
        <references count="1">
          <reference field="4294967294" count="1">
            <x v="0"/>
          </reference>
        </references>
      </pivotArea>
    </format>
    <format dxfId="792">
      <pivotArea type="all" dataOnly="0" outline="0" fieldPosition="0"/>
    </format>
    <format dxfId="791">
      <pivotArea outline="0" collapsedLevelsAreSubtotals="1" fieldPosition="0"/>
    </format>
    <format dxfId="790">
      <pivotArea dataOnly="0" labelOnly="1" fieldPosition="0">
        <references count="1">
          <reference field="4" count="0"/>
        </references>
      </pivotArea>
    </format>
    <format dxfId="789">
      <pivotArea dataOnly="0" labelOnly="1" grandRow="1" outline="0" fieldPosition="0"/>
    </format>
    <format dxfId="788">
      <pivotArea dataOnly="0" labelOnly="1" outline="0" fieldPosition="0">
        <references count="1">
          <reference field="4294967294" count="1">
            <x v="0"/>
          </reference>
        </references>
      </pivotArea>
    </format>
    <format dxfId="787">
      <pivotArea type="all" dataOnly="0" outline="0" fieldPosition="0"/>
    </format>
    <format dxfId="786">
      <pivotArea outline="0" collapsedLevelsAreSubtotals="1" fieldPosition="0"/>
    </format>
    <format dxfId="785">
      <pivotArea dataOnly="0" labelOnly="1" fieldPosition="0">
        <references count="1">
          <reference field="4" count="0"/>
        </references>
      </pivotArea>
    </format>
    <format dxfId="784">
      <pivotArea dataOnly="0" labelOnly="1" grandRow="1" outline="0" fieldPosition="0"/>
    </format>
    <format dxfId="783">
      <pivotArea dataOnly="0" labelOnly="1" outline="0" fieldPosition="0">
        <references count="1">
          <reference field="4294967294" count="1">
            <x v="0"/>
          </reference>
        </references>
      </pivotArea>
    </format>
    <format dxfId="782">
      <pivotArea outline="0" collapsedLevelsAreSubtotals="1" fieldPosition="0"/>
    </format>
    <format dxfId="781">
      <pivotArea outline="0" collapsedLevelsAreSubtotals="1" fieldPosition="0">
        <references count="1">
          <reference field="4294967294" count="1" selected="0">
            <x v="1"/>
          </reference>
        </references>
      </pivotArea>
    </format>
    <format dxfId="780">
      <pivotArea dataOnly="0" labelOnly="1" outline="0" fieldPosition="0">
        <references count="1">
          <reference field="4294967294" count="1">
            <x v="1"/>
          </reference>
        </references>
      </pivotArea>
    </format>
    <format dxfId="779">
      <pivotArea outline="0" collapsedLevelsAreSubtotals="1" fieldPosition="0">
        <references count="1">
          <reference field="4294967294" count="1" selected="0">
            <x v="1"/>
          </reference>
        </references>
      </pivotArea>
    </format>
    <format dxfId="778">
      <pivotArea dataOnly="0" labelOnly="1" outline="0" fieldPosition="0">
        <references count="1">
          <reference field="4294967294" count="1">
            <x v="1"/>
          </reference>
        </references>
      </pivotArea>
    </format>
    <format dxfId="777">
      <pivotArea outline="0" collapsedLevelsAreSubtotals="1" fieldPosition="0">
        <references count="1">
          <reference field="4294967294" count="1" selected="0">
            <x v="2"/>
          </reference>
        </references>
      </pivotArea>
    </format>
    <format dxfId="776">
      <pivotArea dataOnly="0" labelOnly="1" outline="0" fieldPosition="0">
        <references count="1">
          <reference field="4294967294" count="1">
            <x v="2"/>
          </reference>
        </references>
      </pivotArea>
    </format>
    <format dxfId="775">
      <pivotArea outline="0" collapsedLevelsAreSubtotals="1" fieldPosition="0">
        <references count="1">
          <reference field="4294967294" count="1" selected="0">
            <x v="2"/>
          </reference>
        </references>
      </pivotArea>
    </format>
    <format dxfId="774">
      <pivotArea dataOnly="0" labelOnly="1" outline="0" fieldPosition="0">
        <references count="1">
          <reference field="4294967294" count="1">
            <x v="2"/>
          </reference>
        </references>
      </pivotArea>
    </format>
    <format dxfId="773">
      <pivotArea outline="0" collapsedLevelsAreSubtotals="1" fieldPosition="0">
        <references count="1">
          <reference field="4294967294" count="1" selected="0">
            <x v="3"/>
          </reference>
        </references>
      </pivotArea>
    </format>
    <format dxfId="772">
      <pivotArea dataOnly="0" labelOnly="1" outline="0" fieldPosition="0">
        <references count="1">
          <reference field="4294967294" count="1">
            <x v="3"/>
          </reference>
        </references>
      </pivotArea>
    </format>
    <format dxfId="771">
      <pivotArea outline="0" collapsedLevelsAreSubtotals="1" fieldPosition="0">
        <references count="1">
          <reference field="4294967294" count="1" selected="0">
            <x v="3"/>
          </reference>
        </references>
      </pivotArea>
    </format>
    <format dxfId="770">
      <pivotArea dataOnly="0" labelOnly="1" outline="0" fieldPosition="0">
        <references count="1">
          <reference field="4294967294" count="1">
            <x v="3"/>
          </reference>
        </references>
      </pivotArea>
    </format>
    <format dxfId="769">
      <pivotArea outline="0" collapsedLevelsAreSubtotals="1" fieldPosition="0">
        <references count="1">
          <reference field="4294967294" count="1" selected="0">
            <x v="0"/>
          </reference>
        </references>
      </pivotArea>
    </format>
    <format dxfId="768">
      <pivotArea dataOnly="0" labelOnly="1" outline="0" fieldPosition="0">
        <references count="1">
          <reference field="4294967294" count="1">
            <x v="0"/>
          </reference>
        </references>
      </pivotArea>
    </format>
    <format dxfId="767">
      <pivotArea outline="0" collapsedLevelsAreSubtotals="1" fieldPosition="0">
        <references count="1">
          <reference field="4294967294" count="1" selected="0">
            <x v="0"/>
          </reference>
        </references>
      </pivotArea>
    </format>
    <format dxfId="766">
      <pivotArea dataOnly="0" labelOnly="1" outline="0" fieldPosition="0">
        <references count="1">
          <reference field="4294967294" count="1">
            <x v="0"/>
          </reference>
        </references>
      </pivotArea>
    </format>
    <format dxfId="765">
      <pivotArea dataOnly="0" labelOnly="1" outline="0" fieldPosition="0">
        <references count="1">
          <reference field="4294967294" count="4">
            <x v="0"/>
            <x v="1"/>
            <x v="2"/>
            <x v="3"/>
          </reference>
        </references>
      </pivotArea>
    </format>
    <format dxfId="764">
      <pivotArea dataOnly="0" labelOnly="1" outline="0" fieldPosition="0">
        <references count="1">
          <reference field="4294967294" count="4">
            <x v="0"/>
            <x v="1"/>
            <x v="2"/>
            <x v="3"/>
          </reference>
        </references>
      </pivotArea>
    </format>
    <format dxfId="763">
      <pivotArea dataOnly="0" labelOnly="1" outline="0" fieldPosition="0">
        <references count="1">
          <reference field="4294967294" count="1">
            <x v="7"/>
          </reference>
        </references>
      </pivotArea>
    </format>
    <format dxfId="762">
      <pivotArea dataOnly="0" labelOnly="1" outline="0" fieldPosition="0">
        <references count="1">
          <reference field="4294967294" count="1">
            <x v="7"/>
          </reference>
        </references>
      </pivotArea>
    </format>
    <format dxfId="761">
      <pivotArea dataOnly="0" labelOnly="1" outline="0" fieldPosition="0">
        <references count="1">
          <reference field="4294967294" count="1">
            <x v="9"/>
          </reference>
        </references>
      </pivotArea>
    </format>
    <format dxfId="760">
      <pivotArea outline="0" collapsedLevelsAreSubtotals="1" fieldPosition="0">
        <references count="1">
          <reference field="4294967294" count="2" selected="0">
            <x v="7"/>
            <x v="9"/>
          </reference>
        </references>
      </pivotArea>
    </format>
    <format dxfId="759">
      <pivotArea dataOnly="0" labelOnly="1" outline="0" fieldPosition="0">
        <references count="1">
          <reference field="4294967294" count="1">
            <x v="8"/>
          </reference>
        </references>
      </pivotArea>
    </format>
    <format dxfId="758">
      <pivotArea collapsedLevelsAreSubtotals="1" fieldPosition="0">
        <references count="2">
          <reference field="4294967294" count="1" selected="0">
            <x v="8"/>
          </reference>
          <reference field="4" count="1">
            <x v="0"/>
          </reference>
        </references>
      </pivotArea>
    </format>
    <format dxfId="757">
      <pivotArea outline="0" collapsedLevelsAreSubtotals="1" fieldPosition="0">
        <references count="1">
          <reference field="4294967294" count="3" selected="0">
            <x v="7"/>
            <x v="8"/>
            <x v="9"/>
          </reference>
        </references>
      </pivotArea>
    </format>
    <format dxfId="756">
      <pivotArea dataOnly="0" labelOnly="1" outline="0" fieldPosition="0">
        <references count="1">
          <reference field="4294967294" count="3">
            <x v="7"/>
            <x v="8"/>
            <x v="9"/>
          </reference>
        </references>
      </pivotArea>
    </format>
    <format dxfId="755">
      <pivotArea outline="0" collapsedLevelsAreSubtotals="1" fieldPosition="0">
        <references count="1">
          <reference field="4294967294" count="3" selected="0">
            <x v="7"/>
            <x v="8"/>
            <x v="9"/>
          </reference>
        </references>
      </pivotArea>
    </format>
    <format dxfId="754">
      <pivotArea dataOnly="0" labelOnly="1" outline="0" fieldPosition="0">
        <references count="1">
          <reference field="4294967294" count="3">
            <x v="7"/>
            <x v="8"/>
            <x v="9"/>
          </reference>
        </references>
      </pivotArea>
    </format>
    <format dxfId="753">
      <pivotArea outline="0" collapsedLevelsAreSubtotals="1" fieldPosition="0">
        <references count="1">
          <reference field="4294967294" count="1" selected="0">
            <x v="4"/>
          </reference>
        </references>
      </pivotArea>
    </format>
    <format dxfId="752">
      <pivotArea dataOnly="0" labelOnly="1" outline="0" fieldPosition="0">
        <references count="1">
          <reference field="4294967294" count="1">
            <x v="4"/>
          </reference>
        </references>
      </pivotArea>
    </format>
    <format dxfId="751">
      <pivotArea outline="0" collapsedLevelsAreSubtotals="1" fieldPosition="0">
        <references count="1">
          <reference field="4294967294" count="1" selected="0">
            <x v="5"/>
          </reference>
        </references>
      </pivotArea>
    </format>
    <format dxfId="750">
      <pivotArea dataOnly="0" labelOnly="1" outline="0" fieldPosition="0">
        <references count="1">
          <reference field="4294967294" count="1">
            <x v="5"/>
          </reference>
        </references>
      </pivotArea>
    </format>
    <format dxfId="749">
      <pivotArea dataOnly="0" outline="0" fieldPosition="0">
        <references count="2">
          <reference field="4" count="0" defaultSubtotal="1"/>
          <reference field="145" count="1" selected="0">
            <x v="0"/>
          </reference>
        </references>
      </pivotArea>
    </format>
    <format dxfId="748">
      <pivotArea dataOnly="0" labelOnly="1" outline="0" fieldPosition="0">
        <references count="1">
          <reference field="4294967294" count="10">
            <x v="0"/>
            <x v="1"/>
            <x v="2"/>
            <x v="3"/>
            <x v="4"/>
            <x v="5"/>
            <x v="7"/>
            <x v="8"/>
            <x v="9"/>
            <x v="12"/>
          </reference>
        </references>
      </pivotArea>
    </format>
    <format dxfId="747">
      <pivotArea dataOnly="0" labelOnly="1" outline="0" fieldPosition="0">
        <references count="1">
          <reference field="4294967294" count="10">
            <x v="0"/>
            <x v="1"/>
            <x v="2"/>
            <x v="3"/>
            <x v="4"/>
            <x v="5"/>
            <x v="7"/>
            <x v="8"/>
            <x v="9"/>
            <x v="12"/>
          </reference>
        </references>
      </pivotArea>
    </format>
    <format dxfId="746">
      <pivotArea dataOnly="0" labelOnly="1" outline="0" fieldPosition="0">
        <references count="1">
          <reference field="4294967294" count="10">
            <x v="0"/>
            <x v="1"/>
            <x v="2"/>
            <x v="3"/>
            <x v="4"/>
            <x v="5"/>
            <x v="7"/>
            <x v="8"/>
            <x v="9"/>
            <x v="12"/>
          </reference>
        </references>
      </pivotArea>
    </format>
    <format dxfId="745">
      <pivotArea outline="0" fieldPosition="0">
        <references count="1">
          <reference field="4294967294" count="3" selected="0">
            <x v="8"/>
            <x v="9"/>
            <x v="12"/>
          </reference>
        </references>
      </pivotArea>
    </format>
    <format dxfId="744">
      <pivotArea dataOnly="0" labelOnly="1" outline="0" fieldPosition="0">
        <references count="1">
          <reference field="4294967294" count="3">
            <x v="8"/>
            <x v="9"/>
            <x v="12"/>
          </reference>
        </references>
      </pivotArea>
    </format>
    <format dxfId="743">
      <pivotArea dataOnly="0" outline="0" fieldPosition="0">
        <references count="3">
          <reference field="4294967294" count="1">
            <x v="6"/>
          </reference>
          <reference field="4" count="1" selected="0">
            <x v="2"/>
          </reference>
          <reference field="145" count="1" selected="0">
            <x v="0"/>
          </reference>
        </references>
      </pivotArea>
    </format>
    <format dxfId="742">
      <pivotArea dataOnly="0" labelOnly="1" outline="0" fieldPosition="0">
        <references count="1">
          <reference field="4294967294" count="1">
            <x v="6"/>
          </reference>
        </references>
      </pivotArea>
    </format>
    <format dxfId="741">
      <pivotArea dataOnly="0" labelOnly="1" outline="0" fieldPosition="0">
        <references count="1">
          <reference field="4294967294" count="1">
            <x v="10"/>
          </reference>
        </references>
      </pivotArea>
    </format>
    <format dxfId="740">
      <pivotArea dataOnly="0" labelOnly="1" outline="0" fieldPosition="0">
        <references count="1">
          <reference field="4294967294" count="1">
            <x v="11"/>
          </reference>
        </references>
      </pivotArea>
    </format>
    <format dxfId="739">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3" dataOnRows="1"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16" rowHeaderCaption="State">
  <location ref="C437:E446" firstHeaderRow="1" firstDataRow="2" firstDataCol="2" rowPageCount="3" colPageCount="1"/>
  <pivotFields count="158">
    <pivotField axis="axisCol" compact="0" outline="0" subtotalTop="0" showAll="0">
      <items count="29">
        <item m="1" x="26"/>
        <item m="1" x="12"/>
        <item m="1" x="27"/>
        <item m="1" x="19"/>
        <item m="1" x="7"/>
        <item m="1" x="1"/>
        <item m="1" x="25"/>
        <item m="1" x="21"/>
        <item m="1" x="23"/>
        <item m="1" x="24"/>
        <item m="1" x="15"/>
        <item m="1" x="17"/>
        <item m="1" x="20"/>
        <item m="1" x="22"/>
        <item m="1" x="10"/>
        <item m="1" x="13"/>
        <item m="1" x="16"/>
        <item m="1" x="18"/>
        <item m="1" x="5"/>
        <item m="1" x="8"/>
        <item m="1" x="11"/>
        <item m="1" x="14"/>
        <item m="1" x="3"/>
        <item m="1" x="4"/>
        <item m="1" x="6"/>
        <item m="1" x="9"/>
        <item x="0"/>
        <item m="1" x="2"/>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0"/>
        <item m="1" x="4"/>
        <item x="1"/>
        <item m="1" x="2"/>
        <item h="1" m="1" x="3"/>
        <item h="1" m="1" x="5"/>
        <item t="default"/>
      </items>
    </pivotField>
    <pivotField compact="0" outline="0" subtotalTop="0" showAll="0"/>
    <pivotField axis="axisPage" compact="0" outline="0" multipleItemSelectionAllowed="1" showAll="0" defaultSubtotal="0">
      <items count="15">
        <item x="1"/>
        <item x="2"/>
        <item m="1" x="11"/>
        <item h="1" m="1" x="9"/>
        <item m="1" x="7"/>
        <item m="1" x="6"/>
        <item h="1" m="1" x="13"/>
        <item m="1" x="10"/>
        <item h="1" m="1" x="14"/>
        <item h="1" m="1" x="8"/>
        <item h="1" m="1" x="12"/>
        <item h="1" m="1" x="4"/>
        <item h="1" m="1" x="5"/>
        <item x="3"/>
        <item x="0"/>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0"/>
        <item n="Gap" h="1" x="1"/>
        <item h="1" m="1" x="4"/>
        <item h="1" m="1" x="2"/>
        <item h="1" m="1" x="3"/>
        <item t="default"/>
      </items>
    </pivotField>
    <pivotField axis="axisPage" compact="0" outline="0" subtotalTop="0" showAll="0">
      <items count="4">
        <item x="0"/>
        <item x="1"/>
        <item x="2"/>
        <item t="default"/>
      </items>
    </pivotField>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1">
    <i>
      <x v="26"/>
    </i>
  </colItems>
  <pageFields count="3">
    <pageField fld="145" hier="-1"/>
    <pageField fld="6" hier="-1"/>
    <pageField fld="146" item="0" hier="-1"/>
  </pageFields>
  <dataFields count="4">
    <dataField name="Average of %_of_affected_people_surveyed_who_report_feeling_satistfied_with_the_latrine_design_and_sanitation_service" fld="71" subtotal="average" baseField="0" baseItem="1"/>
    <dataField name="Average of %_of_affected_people_surveyed_who_report_feeling_satistfied_with_the_water_point_design_and_water_service" fld="72" subtotal="average" baseField="0" baseItem="1"/>
    <dataField name="Average of %_of_complaints_received_that_result_in_timely_corrective_action_and_feedback_to_the_community" fld="74" subtotal="average" baseField="0" baseItem="1"/>
    <dataField name="Average of %_of_affected_people_surveyed_who_report_feeling_informed_about_the_different_WASH_services_available_to_them2" fld="130" subtotal="average" baseField="0" baseItem="3"/>
  </dataFields>
  <formats count="14">
    <format dxfId="680">
      <pivotArea type="all" dataOnly="0" outline="0" fieldPosition="0"/>
    </format>
    <format dxfId="679">
      <pivotArea outline="0" collapsedLevelsAreSubtotals="1" fieldPosition="0"/>
    </format>
    <format dxfId="678">
      <pivotArea field="4" type="button" dataOnly="0" labelOnly="1" outline="0" axis="axisRow" fieldPosition="0"/>
    </format>
    <format dxfId="677">
      <pivotArea dataOnly="0" labelOnly="1" grandRow="1" outline="0" fieldPosition="0"/>
    </format>
    <format dxfId="676">
      <pivotArea type="all" dataOnly="0" outline="0" fieldPosition="0"/>
    </format>
    <format dxfId="675">
      <pivotArea outline="0" collapsedLevelsAreSubtotals="1" fieldPosition="0"/>
    </format>
    <format dxfId="674">
      <pivotArea type="origin" dataOnly="0" labelOnly="1" outline="0" fieldPosition="0"/>
    </format>
    <format dxfId="673">
      <pivotArea field="145" type="button" dataOnly="0" labelOnly="1" outline="0" axis="axisPage" fieldPosition="0"/>
    </format>
    <format dxfId="672">
      <pivotArea type="topRight" dataOnly="0" labelOnly="1" outline="0" fieldPosition="0"/>
    </format>
    <format dxfId="671">
      <pivotArea dataOnly="0" labelOnly="1" fieldPosition="0">
        <references count="1">
          <reference field="145" count="0"/>
        </references>
      </pivotArea>
    </format>
    <format dxfId="670">
      <pivotArea type="all" dataOnly="0" outline="0" fieldPosition="0"/>
    </format>
    <format dxfId="669">
      <pivotArea outline="0" collapsedLevelsAreSubtotals="1" fieldPosition="0"/>
    </format>
    <format dxfId="668">
      <pivotArea field="4" type="button" dataOnly="0" labelOnly="1" outline="0" axis="axisRow" fieldPosition="0"/>
    </format>
    <format dxfId="667">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3"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A6:D59" firstHeaderRow="1" firstDataRow="1" firstDataCol="4" rowPageCount="3" colPageCount="1"/>
  <pivotFields count="158">
    <pivotField axis="axisPage" compact="0" outline="0" multipleItemSelectionAllowed="1" showAll="0" defaultSubtotal="0">
      <items count="28">
        <item m="1" x="25"/>
        <item m="1" x="26"/>
        <item m="1" x="12"/>
        <item m="1" x="27"/>
        <item m="1" x="19"/>
        <item m="1" x="21"/>
        <item m="1" x="23"/>
        <item m="1" x="24"/>
        <item m="1" x="7"/>
        <item m="1" x="15"/>
        <item m="1" x="17"/>
        <item m="1" x="20"/>
        <item m="1" x="1"/>
        <item m="1" x="22"/>
        <item m="1" x="10"/>
        <item m="1" x="13"/>
        <item m="1" x="16"/>
        <item m="1" x="18"/>
        <item m="1" x="5"/>
        <item m="1" x="8"/>
        <item m="1" x="11"/>
        <item m="1" x="14"/>
        <item m="1" x="3"/>
        <item m="1" x="4"/>
        <item m="1" x="6"/>
        <item m="1" x="9"/>
        <item x="0"/>
        <item m="1" x="2"/>
      </items>
      <extLst>
        <ext xmlns:x14="http://schemas.microsoft.com/office/spreadsheetml/2009/9/main" uri="{2946ED86-A175-432a-8AC1-64E0C546D7DE}">
          <x14:pivotField fillDownLabels="1"/>
        </ext>
      </extLst>
    </pivotField>
    <pivotField axis="axisRow" compact="0" outline="0" showAll="0" defaultSubtotal="0">
      <items count="72">
        <item m="1" x="37"/>
        <item m="1" x="56"/>
        <item m="1" x="59"/>
        <item m="1" x="45"/>
        <item m="1" x="71"/>
        <item m="1" x="38"/>
        <item m="1" x="46"/>
        <item x="13"/>
        <item x="0"/>
        <item m="1" x="43"/>
        <item x="2"/>
        <item m="1" x="30"/>
        <item m="1" x="66"/>
        <item m="1" x="47"/>
        <item m="1" x="60"/>
        <item x="1"/>
        <item m="1" x="25"/>
        <item m="1" x="58"/>
        <item m="1" x="35"/>
        <item m="1" x="27"/>
        <item m="1" x="67"/>
        <item x="6"/>
        <item x="14"/>
        <item x="16"/>
        <item m="1" x="51"/>
        <item m="1" x="53"/>
        <item m="1" x="70"/>
        <item m="1" x="20"/>
        <item m="1" x="44"/>
        <item m="1" x="42"/>
        <item m="1" x="34"/>
        <item m="1" x="26"/>
        <item m="1" x="55"/>
        <item m="1" x="22"/>
        <item m="1" x="21"/>
        <item m="1" x="63"/>
        <item x="4"/>
        <item m="1" x="32"/>
        <item m="1" x="31"/>
        <item m="1" x="29"/>
        <item m="1" x="50"/>
        <item m="1" x="28"/>
        <item m="1" x="61"/>
        <item m="1" x="65"/>
        <item m="1" x="19"/>
        <item m="1" x="23"/>
        <item m="1" x="54"/>
        <item sd="0" m="1" x="41"/>
        <item m="1" x="69"/>
        <item m="1" x="52"/>
        <item m="1" x="24"/>
        <item m="1" x="68"/>
        <item m="1" x="62"/>
        <item x="3"/>
        <item x="7"/>
        <item m="1" x="48"/>
        <item x="5"/>
        <item m="1" x="36"/>
        <item m="1" x="39"/>
        <item m="1" x="64"/>
        <item x="8"/>
        <item m="1" x="33"/>
        <item m="1" x="49"/>
        <item m="1" x="18"/>
        <item m="1" x="57"/>
        <item m="1" x="40"/>
        <item x="15"/>
        <item x="11"/>
        <item x="9"/>
        <item x="10"/>
        <item x="12"/>
        <item x="17"/>
      </items>
      <extLst>
        <ext xmlns:x14="http://schemas.microsoft.com/office/spreadsheetml/2009/9/main" uri="{2946ED86-A175-432a-8AC1-64E0C546D7DE}">
          <x14:pivotField fillDownLabels="1"/>
        </ext>
      </extLst>
    </pivotField>
    <pivotField axis="axisRow" compact="0" outline="0" multipleItemSelectionAllowed="1" showAll="0" defaultSubtotal="0">
      <items count="64">
        <item m="1" x="34"/>
        <item m="1" x="51"/>
        <item m="1" x="53"/>
        <item m="1" x="44"/>
        <item m="1" x="62"/>
        <item m="1" x="35"/>
        <item m="1" x="45"/>
        <item x="10"/>
        <item x="0"/>
        <item m="1" x="25"/>
        <item x="1"/>
        <item m="1" x="52"/>
        <item m="1" x="32"/>
        <item m="1" x="23"/>
        <item m="1" x="58"/>
        <item x="5"/>
        <item x="13"/>
        <item m="1" x="26"/>
        <item m="1" x="18"/>
        <item m="1" x="37"/>
        <item m="1" x="42"/>
        <item m="1" x="41"/>
        <item m="1" x="31"/>
        <item m="1" x="63"/>
        <item m="1" x="22"/>
        <item m="1" x="43"/>
        <item m="1" x="19"/>
        <item x="3"/>
        <item m="1" x="29"/>
        <item m="1" x="28"/>
        <item m="1" x="24"/>
        <item m="1" x="48"/>
        <item m="1" x="54"/>
        <item m="1" x="17"/>
        <item m="1" x="49"/>
        <item m="1" x="20"/>
        <item m="1" x="59"/>
        <item m="1" x="55"/>
        <item x="2"/>
        <item x="6"/>
        <item m="1" x="33"/>
        <item m="1" x="39"/>
        <item m="1" x="38"/>
        <item m="1" x="40"/>
        <item x="7"/>
        <item m="1" x="15"/>
        <item m="1" x="46"/>
        <item m="1" x="30"/>
        <item m="1" x="61"/>
        <item m="1" x="21"/>
        <item m="1" x="47"/>
        <item m="1" x="56"/>
        <item m="1" x="16"/>
        <item x="11"/>
        <item m="1" x="50"/>
        <item x="4"/>
        <item m="1" x="57"/>
        <item m="1" x="36"/>
        <item m="1" x="27"/>
        <item m="1" x="60"/>
        <item x="12"/>
        <item x="9"/>
        <item x="8"/>
        <item x="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6">
        <item m="1" x="3"/>
        <item x="0"/>
        <item m="1" x="5"/>
        <item m="1" x="4"/>
        <item x="1"/>
        <item m="1" x="2"/>
      </items>
      <extLst>
        <ext xmlns:x14="http://schemas.microsoft.com/office/spreadsheetml/2009/9/main" uri="{2946ED86-A175-432a-8AC1-64E0C546D7DE}">
          <x14:pivotField fillDownLabels="1"/>
        </ext>
      </extLst>
    </pivotField>
    <pivotField axis="axisRow" compact="0" outline="0" showAll="0" defaultSubtotal="0">
      <items count="47">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m="1" x="3"/>
        <item x="0"/>
        <item x="1"/>
        <item m="1" x="4"/>
        <item m="1" x="2"/>
      </items>
      <extLst>
        <ext xmlns:x14="http://schemas.microsoft.com/office/spreadsheetml/2009/9/main" uri="{2946ED86-A175-432a-8AC1-64E0C546D7DE}">
          <x14:pivotField fillDownLabels="1"/>
        </ext>
      </extLst>
    </pivotField>
    <pivotField axis="axisPage" compact="0" outline="0" showAll="0" defaultSubtotal="0">
      <items count="3">
        <item x="0"/>
        <item x="1"/>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4">
    <field x="4"/>
    <field x="5"/>
    <field x="1"/>
    <field x="2"/>
  </rowFields>
  <rowItems count="53">
    <i>
      <x v="1"/>
      <x v="1"/>
      <x v="8"/>
      <x v="8"/>
    </i>
    <i r="2">
      <x v="21"/>
      <x v="15"/>
    </i>
    <i r="2">
      <x v="53"/>
      <x v="38"/>
    </i>
    <i r="2">
      <x v="54"/>
      <x v="39"/>
    </i>
    <i r="2">
      <x v="68"/>
      <x v="62"/>
    </i>
    <i r="1">
      <x v="4"/>
      <x v="10"/>
      <x v="8"/>
    </i>
    <i r="2">
      <x v="53"/>
      <x v="38"/>
    </i>
    <i r="1">
      <x v="5"/>
      <x v="10"/>
      <x v="8"/>
    </i>
    <i r="2">
      <x v="15"/>
      <x v="10"/>
    </i>
    <i r="2">
      <x v="53"/>
      <x v="38"/>
    </i>
    <i r="1">
      <x v="17"/>
      <x v="10"/>
      <x v="8"/>
    </i>
    <i r="2">
      <x v="15"/>
      <x v="10"/>
    </i>
    <i r="2">
      <x v="21"/>
      <x v="15"/>
    </i>
    <i r="1">
      <x v="21"/>
      <x v="10"/>
      <x v="8"/>
    </i>
    <i r="2">
      <x v="15"/>
      <x v="10"/>
    </i>
    <i r="2">
      <x v="69"/>
      <x v="8"/>
    </i>
    <i r="1">
      <x v="22"/>
      <x v="10"/>
      <x v="8"/>
    </i>
    <i r="1">
      <x v="24"/>
      <x v="10"/>
      <x v="8"/>
    </i>
    <i r="2">
      <x v="15"/>
      <x v="10"/>
    </i>
    <i r="2">
      <x v="21"/>
      <x v="15"/>
    </i>
    <i r="2">
      <x v="54"/>
      <x v="39"/>
    </i>
    <i r="2">
      <x v="67"/>
      <x v="61"/>
    </i>
    <i r="1">
      <x v="28"/>
      <x v="10"/>
      <x v="8"/>
    </i>
    <i r="2">
      <x v="15"/>
      <x v="10"/>
    </i>
    <i r="2">
      <x v="53"/>
      <x v="38"/>
    </i>
    <i r="2">
      <x v="70"/>
      <x v="8"/>
    </i>
    <i r="1">
      <x v="40"/>
      <x v="10"/>
      <x v="8"/>
    </i>
    <i r="2">
      <x v="21"/>
      <x v="15"/>
    </i>
    <i r="2">
      <x v="67"/>
      <x v="61"/>
    </i>
    <i r="1">
      <x v="42"/>
      <x v="10"/>
      <x v="8"/>
    </i>
    <i r="1">
      <x v="43"/>
      <x v="10"/>
      <x v="8"/>
    </i>
    <i r="2">
      <x v="15"/>
      <x v="10"/>
    </i>
    <i r="1">
      <x v="45"/>
      <x v="10"/>
      <x v="8"/>
    </i>
    <i r="2">
      <x v="15"/>
      <x v="10"/>
    </i>
    <i r="2">
      <x v="21"/>
      <x v="15"/>
    </i>
    <i r="2">
      <x v="53"/>
      <x v="38"/>
    </i>
    <i r="2">
      <x v="70"/>
      <x v="8"/>
    </i>
    <i r="2">
      <x v="71"/>
      <x v="63"/>
    </i>
    <i>
      <x v="4"/>
      <x v="6"/>
      <x v="21"/>
      <x v="15"/>
    </i>
    <i r="1">
      <x v="7"/>
      <x v="66"/>
      <x v="60"/>
    </i>
    <i r="1">
      <x v="9"/>
      <x v="21"/>
      <x v="15"/>
    </i>
    <i r="1">
      <x v="10"/>
      <x v="21"/>
      <x v="15"/>
    </i>
    <i r="1">
      <x v="13"/>
      <x v="21"/>
      <x v="15"/>
    </i>
    <i r="2">
      <x v="66"/>
      <x v="60"/>
    </i>
    <i r="1">
      <x v="15"/>
      <x v="7"/>
      <x v="7"/>
    </i>
    <i r="1">
      <x v="18"/>
      <x v="21"/>
      <x v="15"/>
    </i>
    <i r="2">
      <x v="23"/>
      <x v="16"/>
    </i>
    <i r="1">
      <x v="26"/>
      <x v="21"/>
      <x v="15"/>
    </i>
    <i r="2">
      <x v="66"/>
      <x v="60"/>
    </i>
    <i r="1">
      <x v="30"/>
      <x v="21"/>
      <x v="15"/>
    </i>
    <i r="2">
      <x v="23"/>
      <x v="16"/>
    </i>
    <i r="1">
      <x v="32"/>
      <x v="21"/>
      <x v="15"/>
    </i>
    <i r="2">
      <x v="22"/>
      <x v="53"/>
    </i>
  </rowItems>
  <colItems count="1">
    <i/>
  </colItems>
  <pageFields count="3">
    <pageField fld="0" hier="-1"/>
    <pageField fld="145" item="1" hier="-1"/>
    <pageField fld="146"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AAAF34BA-73D2-40F5-A669-2B04411D8DC1}" name="PivotTable6" cacheId="8"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location ref="F1:G59" firstHeaderRow="1" firstDataRow="1" firstDataCol="2"/>
  <pivotFields count="3">
    <pivotField axis="axisRow" compact="0" outline="0" showAll="0" defaultSubtotal="0">
      <items count="12">
        <item x="7"/>
        <item m="1" x="11"/>
        <item x="3"/>
        <item x="0"/>
        <item m="1" x="10"/>
        <item x="6"/>
        <item x="4"/>
        <item x="2"/>
        <item x="5"/>
        <item x="1"/>
        <item m="1" x="9"/>
        <item x="8"/>
      </items>
      <extLst>
        <ext xmlns:x14="http://schemas.microsoft.com/office/spreadsheetml/2009/9/main" uri="{2946ED86-A175-432a-8AC1-64E0C546D7DE}">
          <x14:pivotField fillDownLabels="1"/>
        </ext>
      </extLst>
    </pivotField>
    <pivotField axis="axisRow" compact="0" outline="0" showAll="0" defaultSubtotal="0">
      <items count="56">
        <item x="11"/>
        <item x="13"/>
        <item x="32"/>
        <item x="34"/>
        <item x="26"/>
        <item x="17"/>
        <item x="9"/>
        <item m="1" x="48"/>
        <item x="0"/>
        <item m="1" x="43"/>
        <item x="1"/>
        <item x="2"/>
        <item x="35"/>
        <item x="18"/>
        <item x="24"/>
        <item x="23"/>
        <item x="12"/>
        <item x="3"/>
        <item m="1" x="55"/>
        <item m="1" x="53"/>
        <item m="1" x="49"/>
        <item m="1" x="51"/>
        <item x="25"/>
        <item x="15"/>
        <item x="16"/>
        <item m="1" x="46"/>
        <item x="4"/>
        <item x="5"/>
        <item x="6"/>
        <item x="27"/>
        <item x="7"/>
        <item m="1" x="50"/>
        <item m="1" x="54"/>
        <item m="1" x="52"/>
        <item m="1" x="47"/>
        <item m="1" x="45"/>
        <item m="1" x="44"/>
        <item m="1" x="42"/>
        <item x="8"/>
        <item x="41"/>
        <item x="10"/>
        <item x="14"/>
        <item x="19"/>
        <item x="20"/>
        <item x="21"/>
        <item x="22"/>
        <item x="28"/>
        <item x="29"/>
        <item x="30"/>
        <item x="31"/>
        <item x="33"/>
        <item x="36"/>
        <item x="37"/>
        <item x="38"/>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58">
    <i>
      <x/>
      <x v="53"/>
    </i>
    <i r="1">
      <x v="54"/>
    </i>
    <i>
      <x v="2"/>
      <x/>
    </i>
    <i r="1">
      <x v="4"/>
    </i>
    <i r="1">
      <x v="11"/>
    </i>
    <i r="1">
      <x v="14"/>
    </i>
    <i r="1">
      <x v="22"/>
    </i>
    <i r="1">
      <x v="24"/>
    </i>
    <i r="1">
      <x v="29"/>
    </i>
    <i>
      <x v="3"/>
      <x v="5"/>
    </i>
    <i r="1">
      <x v="8"/>
    </i>
    <i r="1">
      <x v="10"/>
    </i>
    <i r="1">
      <x v="11"/>
    </i>
    <i r="1">
      <x v="17"/>
    </i>
    <i r="1">
      <x v="26"/>
    </i>
    <i r="1">
      <x v="27"/>
    </i>
    <i r="1">
      <x v="28"/>
    </i>
    <i r="1">
      <x v="30"/>
    </i>
    <i r="1">
      <x v="38"/>
    </i>
    <i r="1">
      <x v="55"/>
    </i>
    <i>
      <x v="5"/>
      <x v="53"/>
    </i>
    <i r="1">
      <x v="54"/>
    </i>
    <i>
      <x v="6"/>
      <x v="11"/>
    </i>
    <i r="1">
      <x v="14"/>
    </i>
    <i r="1">
      <x v="46"/>
    </i>
    <i>
      <x v="7"/>
      <x v="1"/>
    </i>
    <i r="1">
      <x v="2"/>
    </i>
    <i r="1">
      <x v="3"/>
    </i>
    <i r="1">
      <x v="5"/>
    </i>
    <i r="1">
      <x v="8"/>
    </i>
    <i r="1">
      <x v="12"/>
    </i>
    <i r="1">
      <x v="13"/>
    </i>
    <i r="1">
      <x v="15"/>
    </i>
    <i r="1">
      <x v="22"/>
    </i>
    <i r="1">
      <x v="23"/>
    </i>
    <i r="1">
      <x v="24"/>
    </i>
    <i r="1">
      <x v="27"/>
    </i>
    <i r="1">
      <x v="30"/>
    </i>
    <i r="1">
      <x v="41"/>
    </i>
    <i r="1">
      <x v="42"/>
    </i>
    <i r="1">
      <x v="43"/>
    </i>
    <i r="1">
      <x v="44"/>
    </i>
    <i r="1">
      <x v="45"/>
    </i>
    <i r="1">
      <x v="50"/>
    </i>
    <i r="1">
      <x v="51"/>
    </i>
    <i r="1">
      <x v="52"/>
    </i>
    <i>
      <x v="8"/>
      <x v="11"/>
    </i>
    <i r="1">
      <x v="47"/>
    </i>
    <i r="1">
      <x v="48"/>
    </i>
    <i r="1">
      <x v="49"/>
    </i>
    <i>
      <x v="9"/>
      <x/>
    </i>
    <i r="1">
      <x v="6"/>
    </i>
    <i r="1">
      <x v="11"/>
    </i>
    <i r="1">
      <x v="16"/>
    </i>
    <i r="1">
      <x v="17"/>
    </i>
    <i r="1">
      <x v="40"/>
    </i>
    <i>
      <x v="11"/>
      <x v="3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8BC84425-C540-4B5D-A0AC-9D2A9D435E96}" name="PivotTable8" cacheId="4"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F2:G81" firstHeaderRow="1" firstDataRow="1" firstDataCol="2"/>
  <pivotFields count="3">
    <pivotField axis="axisRow" compact="0" outline="0" showAll="0" sortType="ascending" defaultSubtotal="0">
      <items count="12">
        <item m="1" x="11"/>
        <item x="0"/>
        <item x="1"/>
        <item x="2"/>
        <item x="3"/>
        <item x="4"/>
        <item x="5"/>
        <item x="6"/>
        <item x="7"/>
        <item x="8"/>
        <item x="9"/>
        <item x="10"/>
      </items>
      <extLst>
        <ext xmlns:x14="http://schemas.microsoft.com/office/spreadsheetml/2009/9/main" uri="{2946ED86-A175-432a-8AC1-64E0C546D7DE}">
          <x14:pivotField fillDownLabels="1"/>
        </ext>
      </extLst>
    </pivotField>
    <pivotField axis="axisRow" compact="0" outline="0" showAll="0" defaultSubtotal="0">
      <items count="47">
        <item x="26"/>
        <item x="13"/>
        <item x="27"/>
        <item x="2"/>
        <item x="36"/>
        <item x="17"/>
        <item x="18"/>
        <item x="3"/>
        <item x="14"/>
        <item x="19"/>
        <item x="44"/>
        <item x="31"/>
        <item x="8"/>
        <item x="20"/>
        <item x="39"/>
        <item x="32"/>
        <item x="4"/>
        <item x="10"/>
        <item x="21"/>
        <item m="1" x="45"/>
        <item x="40"/>
        <item x="5"/>
        <item x="11"/>
        <item m="1" x="46"/>
        <item x="28"/>
        <item x="29"/>
        <item x="16"/>
        <item x="37"/>
        <item x="6"/>
        <item x="41"/>
        <item x="0"/>
        <item x="22"/>
        <item x="30"/>
        <item x="42"/>
        <item x="33"/>
        <item x="23"/>
        <item x="9"/>
        <item x="24"/>
        <item x="7"/>
        <item x="43"/>
        <item x="15"/>
        <item x="1"/>
        <item x="34"/>
        <item x="12"/>
        <item x="25"/>
        <item x="35"/>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79">
    <i>
      <x v="1"/>
      <x v="30"/>
    </i>
    <i r="1">
      <x v="41"/>
    </i>
    <i>
      <x v="2"/>
      <x v="3"/>
    </i>
    <i r="1">
      <x v="7"/>
    </i>
    <i r="1">
      <x v="16"/>
    </i>
    <i r="1">
      <x v="21"/>
    </i>
    <i r="1">
      <x v="28"/>
    </i>
    <i r="1">
      <x v="38"/>
    </i>
    <i r="1">
      <x v="41"/>
    </i>
    <i>
      <x v="3"/>
      <x v="11"/>
    </i>
    <i r="1">
      <x v="12"/>
    </i>
    <i r="1">
      <x v="13"/>
    </i>
    <i r="1">
      <x v="15"/>
    </i>
    <i r="1">
      <x v="16"/>
    </i>
    <i r="1">
      <x v="24"/>
    </i>
    <i r="1">
      <x v="28"/>
    </i>
    <i r="1">
      <x v="34"/>
    </i>
    <i r="1">
      <x v="35"/>
    </i>
    <i r="1">
      <x v="36"/>
    </i>
    <i r="1">
      <x v="41"/>
    </i>
    <i r="1">
      <x v="42"/>
    </i>
    <i r="1">
      <x v="45"/>
    </i>
    <i r="1">
      <x v="46"/>
    </i>
    <i>
      <x v="4"/>
      <x v="3"/>
    </i>
    <i r="1">
      <x v="16"/>
    </i>
    <i r="1">
      <x v="17"/>
    </i>
    <i r="1">
      <x v="22"/>
    </i>
    <i r="1">
      <x v="41"/>
    </i>
    <i r="1">
      <x v="43"/>
    </i>
    <i>
      <x v="5"/>
      <x v="1"/>
    </i>
    <i r="1">
      <x v="8"/>
    </i>
    <i r="1">
      <x v="16"/>
    </i>
    <i r="1">
      <x v="22"/>
    </i>
    <i r="1">
      <x v="30"/>
    </i>
    <i r="1">
      <x v="40"/>
    </i>
    <i r="1">
      <x v="41"/>
    </i>
    <i>
      <x v="6"/>
      <x v="16"/>
    </i>
    <i r="1">
      <x v="21"/>
    </i>
    <i>
      <x v="7"/>
      <x v="3"/>
    </i>
    <i r="1">
      <x v="26"/>
    </i>
    <i r="1">
      <x v="30"/>
    </i>
    <i r="1">
      <x v="41"/>
    </i>
    <i>
      <x v="8"/>
      <x v="4"/>
    </i>
    <i r="1">
      <x v="5"/>
    </i>
    <i r="1">
      <x v="6"/>
    </i>
    <i r="1">
      <x v="9"/>
    </i>
    <i r="1">
      <x v="13"/>
    </i>
    <i r="1">
      <x v="14"/>
    </i>
    <i r="1">
      <x v="18"/>
    </i>
    <i r="1">
      <x v="20"/>
    </i>
    <i r="1">
      <x v="21"/>
    </i>
    <i r="1">
      <x v="27"/>
    </i>
    <i r="1">
      <x v="28"/>
    </i>
    <i r="1">
      <x v="29"/>
    </i>
    <i r="1">
      <x v="31"/>
    </i>
    <i r="1">
      <x v="32"/>
    </i>
    <i r="1">
      <x v="33"/>
    </i>
    <i r="1">
      <x v="35"/>
    </i>
    <i r="1">
      <x v="37"/>
    </i>
    <i r="1">
      <x v="39"/>
    </i>
    <i r="1">
      <x v="41"/>
    </i>
    <i r="1">
      <x v="44"/>
    </i>
    <i>
      <x v="9"/>
      <x/>
    </i>
    <i r="1">
      <x v="2"/>
    </i>
    <i r="1">
      <x v="16"/>
    </i>
    <i r="1">
      <x v="41"/>
    </i>
    <i>
      <x v="10"/>
      <x v="3"/>
    </i>
    <i r="1">
      <x v="10"/>
    </i>
    <i r="1">
      <x v="11"/>
    </i>
    <i r="1">
      <x v="12"/>
    </i>
    <i r="1">
      <x v="16"/>
    </i>
    <i r="1">
      <x v="24"/>
    </i>
    <i r="1">
      <x v="25"/>
    </i>
    <i r="1">
      <x v="32"/>
    </i>
    <i r="1">
      <x v="41"/>
    </i>
    <i>
      <x v="11"/>
      <x v="3"/>
    </i>
    <i r="1">
      <x v="17"/>
    </i>
    <i r="1">
      <x v="22"/>
    </i>
    <i r="1">
      <x v="32"/>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9479D285-1C4B-44B6-9E34-2D5207B1F4D2}" name="PivotTable9" cacheId="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I2:I48" firstHeaderRow="1" firstDataRow="1" firstDataCol="1"/>
  <pivotFields count="3">
    <pivotField showAll="0"/>
    <pivotField axis="axisRow" showAll="0">
      <items count="48">
        <item x="26"/>
        <item x="13"/>
        <item x="27"/>
        <item x="2"/>
        <item x="36"/>
        <item x="17"/>
        <item x="18"/>
        <item x="3"/>
        <item x="14"/>
        <item x="19"/>
        <item x="44"/>
        <item x="31"/>
        <item x="8"/>
        <item x="20"/>
        <item x="39"/>
        <item x="32"/>
        <item x="4"/>
        <item x="10"/>
        <item x="21"/>
        <item m="1" x="45"/>
        <item x="40"/>
        <item x="5"/>
        <item x="11"/>
        <item m="1" x="46"/>
        <item x="28"/>
        <item x="29"/>
        <item x="16"/>
        <item x="37"/>
        <item x="6"/>
        <item x="41"/>
        <item x="0"/>
        <item x="22"/>
        <item x="30"/>
        <item x="42"/>
        <item x="33"/>
        <item x="23"/>
        <item x="9"/>
        <item x="24"/>
        <item x="7"/>
        <item x="43"/>
        <item x="15"/>
        <item x="1"/>
        <item x="34"/>
        <item x="12"/>
        <item x="25"/>
        <item x="35"/>
        <item x="38"/>
        <item t="default"/>
      </items>
    </pivotField>
    <pivotField showAll="0"/>
  </pivotFields>
  <rowFields count="1">
    <field x="1"/>
  </rowFields>
  <rowItems count="46">
    <i>
      <x/>
    </i>
    <i>
      <x v="1"/>
    </i>
    <i>
      <x v="2"/>
    </i>
    <i>
      <x v="3"/>
    </i>
    <i>
      <x v="4"/>
    </i>
    <i>
      <x v="5"/>
    </i>
    <i>
      <x v="6"/>
    </i>
    <i>
      <x v="7"/>
    </i>
    <i>
      <x v="8"/>
    </i>
    <i>
      <x v="9"/>
    </i>
    <i>
      <x v="10"/>
    </i>
    <i>
      <x v="11"/>
    </i>
    <i>
      <x v="12"/>
    </i>
    <i>
      <x v="13"/>
    </i>
    <i>
      <x v="14"/>
    </i>
    <i>
      <x v="15"/>
    </i>
    <i>
      <x v="16"/>
    </i>
    <i>
      <x v="17"/>
    </i>
    <i>
      <x v="18"/>
    </i>
    <i>
      <x v="20"/>
    </i>
    <i>
      <x v="21"/>
    </i>
    <i>
      <x v="22"/>
    </i>
    <i>
      <x v="24"/>
    </i>
    <i>
      <x v="25"/>
    </i>
    <i>
      <x v="26"/>
    </i>
    <i>
      <x v="27"/>
    </i>
    <i>
      <x v="28"/>
    </i>
    <i>
      <x v="29"/>
    </i>
    <i>
      <x v="30"/>
    </i>
    <i>
      <x v="31"/>
    </i>
    <i>
      <x v="32"/>
    </i>
    <i>
      <x v="33"/>
    </i>
    <i>
      <x v="34"/>
    </i>
    <i>
      <x v="35"/>
    </i>
    <i>
      <x v="36"/>
    </i>
    <i>
      <x v="37"/>
    </i>
    <i>
      <x v="38"/>
    </i>
    <i>
      <x v="39"/>
    </i>
    <i>
      <x v="40"/>
    </i>
    <i>
      <x v="41"/>
    </i>
    <i>
      <x v="42"/>
    </i>
    <i>
      <x v="43"/>
    </i>
    <i>
      <x v="44"/>
    </i>
    <i>
      <x v="45"/>
    </i>
    <i>
      <x v="4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4D89FE15-68EA-4187-BC82-5DC80218768D}" name="PivotTable10" cacheId="6"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N3:O9" firstHeaderRow="1" firstDataRow="1" firstDataCol="1"/>
  <pivotFields count="2">
    <pivotField dataField="1" showAll="0"/>
    <pivotField axis="axisRow" showAll="0">
      <items count="6">
        <item x="0"/>
        <item x="1"/>
        <item x="2"/>
        <item x="3"/>
        <item x="4"/>
        <item t="default"/>
      </items>
    </pivotField>
  </pivotFields>
  <rowFields count="1">
    <field x="1"/>
  </rowFields>
  <rowItems count="6">
    <i>
      <x/>
    </i>
    <i>
      <x v="1"/>
    </i>
    <i>
      <x v="2"/>
    </i>
    <i>
      <x v="3"/>
    </i>
    <i>
      <x v="4"/>
    </i>
    <i t="grand">
      <x/>
    </i>
  </rowItems>
  <colItems count="1">
    <i/>
  </colItems>
  <dataFields count="1">
    <dataField name="Count of Acronym" fld="0"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B0339F03-D67E-4D64-B709-83AA5533B02A}" name="PivotTable7" cacheId="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N5:O11" firstHeaderRow="1" firstDataRow="1" firstDataCol="1"/>
  <pivotFields count="2">
    <pivotField dataField="1" showAll="0"/>
    <pivotField axis="axisRow" showAll="0">
      <items count="6">
        <item x="1"/>
        <item x="0"/>
        <item x="2"/>
        <item x="3"/>
        <item x="4"/>
        <item t="default"/>
      </items>
    </pivotField>
  </pivotFields>
  <rowFields count="1">
    <field x="1"/>
  </rowFields>
  <rowItems count="6">
    <i>
      <x/>
    </i>
    <i>
      <x v="1"/>
    </i>
    <i>
      <x v="2"/>
    </i>
    <i>
      <x v="3"/>
    </i>
    <i>
      <x v="4"/>
    </i>
    <i t="grand">
      <x/>
    </i>
  </rowItems>
  <colItems count="1">
    <i/>
  </colItems>
  <dataFields count="1">
    <dataField name="Count of Acronym"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926B17F8-2673-4821-98A4-D289EF6E644E}" name="PivotTable8" cacheId="5"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F2:G86" firstHeaderRow="1" firstDataRow="1" firstDataCol="2"/>
  <pivotFields count="3">
    <pivotField axis="axisRow" compact="0" outline="0" showAll="0" sortType="ascending" defaultSubtotal="0">
      <items count="11">
        <item x="6"/>
        <item x="0"/>
        <item x="1"/>
        <item x="2"/>
        <item x="3"/>
        <item x="4"/>
        <item x="5"/>
        <item x="7"/>
        <item x="8"/>
        <item x="9"/>
        <item x="10"/>
      </items>
      <extLst>
        <ext xmlns:x14="http://schemas.microsoft.com/office/spreadsheetml/2009/9/main" uri="{2946ED86-A175-432a-8AC1-64E0C546D7DE}">
          <x14:pivotField fillDownLabels="1"/>
        </ext>
      </extLst>
    </pivotField>
    <pivotField axis="axisRow" compact="0" outline="0" showAll="0" defaultSubtotal="0">
      <items count="48">
        <item x="29"/>
        <item x="16"/>
        <item x="30"/>
        <item x="2"/>
        <item x="37"/>
        <item x="20"/>
        <item x="21"/>
        <item x="3"/>
        <item x="17"/>
        <item x="22"/>
        <item x="45"/>
        <item x="34"/>
        <item x="9"/>
        <item x="23"/>
        <item x="40"/>
        <item x="10"/>
        <item x="4"/>
        <item x="13"/>
        <item x="24"/>
        <item x="5"/>
        <item x="41"/>
        <item m="1" x="47"/>
        <item x="14"/>
        <item x="32"/>
        <item x="33"/>
        <item x="19"/>
        <item x="38"/>
        <item x="6"/>
        <item x="42"/>
        <item x="0"/>
        <item x="25"/>
        <item x="7"/>
        <item x="43"/>
        <item x="35"/>
        <item x="26"/>
        <item x="11"/>
        <item x="27"/>
        <item x="8"/>
        <item x="44"/>
        <item x="18"/>
        <item x="1"/>
        <item x="12"/>
        <item x="15"/>
        <item x="28"/>
        <item x="36"/>
        <item x="39"/>
        <item x="31"/>
        <item x="4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84">
    <i>
      <x/>
      <x v="3"/>
    </i>
    <i r="1">
      <x v="25"/>
    </i>
    <i r="1">
      <x v="29"/>
    </i>
    <i r="1">
      <x v="40"/>
    </i>
    <i>
      <x v="1"/>
      <x v="29"/>
    </i>
    <i r="1">
      <x v="40"/>
    </i>
    <i>
      <x v="2"/>
      <x v="3"/>
    </i>
    <i r="1">
      <x v="7"/>
    </i>
    <i r="1">
      <x v="16"/>
    </i>
    <i r="1">
      <x v="19"/>
    </i>
    <i r="1">
      <x v="27"/>
    </i>
    <i r="1">
      <x v="31"/>
    </i>
    <i r="1">
      <x v="37"/>
    </i>
    <i r="1">
      <x v="40"/>
    </i>
    <i>
      <x v="3"/>
      <x v="11"/>
    </i>
    <i r="1">
      <x v="12"/>
    </i>
    <i r="1">
      <x v="13"/>
    </i>
    <i r="1">
      <x v="15"/>
    </i>
    <i r="1">
      <x v="16"/>
    </i>
    <i r="1">
      <x v="23"/>
    </i>
    <i r="1">
      <x v="27"/>
    </i>
    <i r="1">
      <x v="33"/>
    </i>
    <i r="1">
      <x v="34"/>
    </i>
    <i r="1">
      <x v="35"/>
    </i>
    <i r="1">
      <x v="40"/>
    </i>
    <i r="1">
      <x v="41"/>
    </i>
    <i r="1">
      <x v="44"/>
    </i>
    <i r="1">
      <x v="45"/>
    </i>
    <i>
      <x v="4"/>
      <x v="3"/>
    </i>
    <i r="1">
      <x v="16"/>
    </i>
    <i r="1">
      <x v="17"/>
    </i>
    <i r="1">
      <x v="22"/>
    </i>
    <i r="1">
      <x v="40"/>
    </i>
    <i r="1">
      <x v="42"/>
    </i>
    <i>
      <x v="5"/>
      <x v="1"/>
    </i>
    <i r="1">
      <x v="8"/>
    </i>
    <i r="1">
      <x v="16"/>
    </i>
    <i r="1">
      <x v="22"/>
    </i>
    <i r="1">
      <x v="29"/>
    </i>
    <i r="1">
      <x v="39"/>
    </i>
    <i r="1">
      <x v="40"/>
    </i>
    <i>
      <x v="6"/>
      <x v="16"/>
    </i>
    <i r="1">
      <x v="19"/>
    </i>
    <i>
      <x v="7"/>
      <x v="4"/>
    </i>
    <i r="1">
      <x v="5"/>
    </i>
    <i r="1">
      <x v="6"/>
    </i>
    <i r="1">
      <x v="9"/>
    </i>
    <i r="1">
      <x v="13"/>
    </i>
    <i r="1">
      <x v="14"/>
    </i>
    <i r="1">
      <x v="18"/>
    </i>
    <i r="1">
      <x v="19"/>
    </i>
    <i r="1">
      <x v="20"/>
    </i>
    <i r="1">
      <x v="26"/>
    </i>
    <i r="1">
      <x v="27"/>
    </i>
    <i r="1">
      <x v="28"/>
    </i>
    <i r="1">
      <x v="30"/>
    </i>
    <i r="1">
      <x v="31"/>
    </i>
    <i r="1">
      <x v="32"/>
    </i>
    <i r="1">
      <x v="34"/>
    </i>
    <i r="1">
      <x v="36"/>
    </i>
    <i r="1">
      <x v="38"/>
    </i>
    <i r="1">
      <x v="40"/>
    </i>
    <i r="1">
      <x v="43"/>
    </i>
    <i>
      <x v="8"/>
      <x/>
    </i>
    <i r="1">
      <x v="2"/>
    </i>
    <i r="1">
      <x v="16"/>
    </i>
    <i r="1">
      <x v="40"/>
    </i>
    <i r="1">
      <x v="46"/>
    </i>
    <i>
      <x v="9"/>
      <x v="3"/>
    </i>
    <i r="1">
      <x v="10"/>
    </i>
    <i r="1">
      <x v="11"/>
    </i>
    <i r="1">
      <x v="12"/>
    </i>
    <i r="1">
      <x v="16"/>
    </i>
    <i r="1">
      <x v="23"/>
    </i>
    <i r="1">
      <x v="24"/>
    </i>
    <i r="1">
      <x v="31"/>
    </i>
    <i r="1">
      <x v="40"/>
    </i>
    <i r="1">
      <x v="47"/>
    </i>
    <i>
      <x v="10"/>
      <x v="3"/>
    </i>
    <i r="1">
      <x v="17"/>
    </i>
    <i r="1">
      <x v="22"/>
    </i>
    <i r="1">
      <x v="30"/>
    </i>
    <i r="1">
      <x v="31"/>
    </i>
    <i r="1">
      <x v="4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BB882E05-38C4-4081-B0C8-D028A4402B0A}" name="PivotTable9" cacheId="5"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I2:I50" firstHeaderRow="1" firstDataRow="1" firstDataCol="1"/>
  <pivotFields count="3">
    <pivotField showAll="0"/>
    <pivotField axis="axisRow" showAll="0" sortType="ascending">
      <items count="49">
        <item x="29"/>
        <item x="16"/>
        <item x="30"/>
        <item x="2"/>
        <item x="37"/>
        <item x="20"/>
        <item x="21"/>
        <item x="3"/>
        <item x="17"/>
        <item x="22"/>
        <item x="45"/>
        <item x="34"/>
        <item x="9"/>
        <item x="23"/>
        <item x="40"/>
        <item x="10"/>
        <item x="4"/>
        <item x="13"/>
        <item x="24"/>
        <item x="5"/>
        <item x="41"/>
        <item m="1" x="47"/>
        <item x="14"/>
        <item x="32"/>
        <item x="33"/>
        <item x="19"/>
        <item x="38"/>
        <item x="6"/>
        <item x="42"/>
        <item x="0"/>
        <item x="25"/>
        <item x="7"/>
        <item x="43"/>
        <item x="35"/>
        <item x="26"/>
        <item x="46"/>
        <item x="11"/>
        <item x="31"/>
        <item x="27"/>
        <item x="8"/>
        <item x="44"/>
        <item x="18"/>
        <item x="1"/>
        <item x="12"/>
        <item x="15"/>
        <item x="28"/>
        <item x="36"/>
        <item x="39"/>
        <item t="default"/>
      </items>
    </pivotField>
    <pivotField showAll="0"/>
  </pivotFields>
  <rowFields count="1">
    <field x="1"/>
  </rowFields>
  <rowItems count="48">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5">
  <location ref="A29:F56" firstHeaderRow="0" firstDataRow="1" firstDataCol="2" rowPageCount="1" colPageCount="1"/>
  <pivotFields count="158">
    <pivotField axis="axisPage" compact="0" outline="0" multipleItemSelectionAllowed="1" showAll="0">
      <items count="29">
        <item m="1" x="25"/>
        <item m="1" x="26"/>
        <item m="1" x="12"/>
        <item m="1" x="27"/>
        <item m="1" x="19"/>
        <item m="1" x="7"/>
        <item m="1" x="1"/>
        <item m="1" x="21"/>
        <item m="1" x="23"/>
        <item m="1" x="24"/>
        <item m="1" x="15"/>
        <item m="1" x="17"/>
        <item m="1" x="20"/>
        <item m="1" x="22"/>
        <item m="1" x="10"/>
        <item m="1" x="13"/>
        <item m="1" x="16"/>
        <item m="1" x="18"/>
        <item m="1" x="5"/>
        <item m="1" x="8"/>
        <item m="1" x="11"/>
        <item m="1" x="14"/>
        <item m="1" x="3"/>
        <item m="1" x="4"/>
        <item m="1" x="6"/>
        <item m="1" x="9"/>
        <item x="0"/>
        <item m="1" x="2"/>
        <item t="default"/>
      </items>
    </pivotField>
    <pivotField compact="0" outline="0" showAll="0" defaultSubtotal="0">
      <items count="72">
        <item m="1" x="37"/>
        <item m="1" x="56"/>
        <item x="15"/>
        <item m="1" x="59"/>
        <item m="1" x="45"/>
        <item m="1" x="71"/>
        <item m="1" x="38"/>
        <item m="1" x="46"/>
        <item x="13"/>
        <item x="0"/>
        <item m="1" x="43"/>
        <item x="2"/>
        <item x="12"/>
        <item x="17"/>
        <item m="1" x="30"/>
        <item x="11"/>
        <item m="1" x="66"/>
        <item m="1" x="47"/>
        <item x="10"/>
        <item m="1" x="60"/>
        <item x="1"/>
        <item m="1" x="25"/>
        <item m="1" x="58"/>
        <item m="1" x="35"/>
        <item m="1" x="27"/>
        <item m="1" x="67"/>
        <item x="6"/>
        <item x="14"/>
        <item x="16"/>
        <item m="1" x="51"/>
        <item m="1" x="53"/>
        <item x="9"/>
        <item m="1" x="70"/>
        <item m="1" x="20"/>
        <item m="1" x="44"/>
        <item m="1" x="42"/>
        <item m="1" x="34"/>
        <item m="1" x="26"/>
        <item m="1" x="55"/>
        <item m="1" x="22"/>
        <item m="1" x="21"/>
        <item m="1" x="63"/>
        <item x="4"/>
        <item m="1" x="32"/>
        <item m="1" x="31"/>
        <item m="1" x="29"/>
        <item m="1" x="50"/>
        <item m="1" x="28"/>
        <item m="1" x="61"/>
        <item m="1" x="65"/>
        <item m="1" x="19"/>
        <item m="1" x="23"/>
        <item m="1" x="54"/>
        <item m="1" x="41"/>
        <item m="1" x="69"/>
        <item m="1" x="52"/>
        <item m="1" x="24"/>
        <item m="1" x="68"/>
        <item m="1" x="62"/>
        <item x="3"/>
        <item x="7"/>
        <item m="1" x="48"/>
        <item x="5"/>
        <item m="1" x="36"/>
        <item m="1" x="40"/>
        <item m="1" x="57"/>
        <item m="1" x="39"/>
        <item m="1" x="64"/>
        <item x="8"/>
        <item m="1" x="33"/>
        <item m="1" x="49"/>
        <item m="1" x="18"/>
      </items>
    </pivotField>
    <pivotField compact="0" outline="0" showAll="0" defaultSubtotal="0"/>
    <pivotField compact="0" outline="0" showAll="0"/>
    <pivotField axis="axisRow" compact="0" outline="0" showAll="0">
      <items count="7">
        <item x="0"/>
        <item m="1" x="4"/>
        <item x="1"/>
        <item m="1" x="2"/>
        <item m="1" x="3"/>
        <item m="1" x="5"/>
        <item t="default"/>
      </items>
    </pivotField>
    <pivotField axis="axisRow" compact="0" outline="0" showAll="0">
      <items count="48">
        <item m="1" x="31"/>
        <item x="0"/>
        <item m="1" x="44"/>
        <item x="2"/>
        <item x="3"/>
        <item x="21"/>
        <item x="23"/>
        <item x="13"/>
        <item m="1" x="39"/>
        <item m="1" x="26"/>
        <item x="14"/>
        <item m="1" x="42"/>
        <item x="7"/>
        <item x="19"/>
        <item m="1" x="37"/>
        <item m="1" x="30"/>
        <item x="5"/>
        <item x="8"/>
        <item x="6"/>
        <item m="1" x="43"/>
        <item x="18"/>
        <item m="1" x="34"/>
        <item x="1"/>
        <item x="20"/>
        <item x="16"/>
        <item m="1" x="28"/>
        <item m="1" x="32"/>
        <item m="1" x="38"/>
        <item m="1" x="35"/>
        <item m="1" x="45"/>
        <item m="1" x="41"/>
        <item x="12"/>
        <item m="1" x="40"/>
        <item x="10"/>
        <item x="9"/>
        <item x="4"/>
        <item m="1" x="33"/>
        <item m="1" x="25"/>
        <item m="1" x="27"/>
        <item m="1" x="24"/>
        <item m="1" x="36"/>
        <item x="15"/>
        <item m="1" x="29"/>
        <item x="17"/>
        <item x="11"/>
        <item m="1" x="46"/>
        <item x="22"/>
        <item t="default"/>
      </items>
    </pivotField>
    <pivotField compact="0" outline="0" showAll="0" defaultSubtotal="0">
      <items count="15">
        <item x="1"/>
        <item m="1" x="12"/>
        <item x="2"/>
        <item x="0"/>
        <item m="1" x="11"/>
        <item m="1" x="9"/>
        <item x="3"/>
        <item m="1" x="4"/>
        <item m="1" x="5"/>
        <item m="1" x="7"/>
        <item m="1" x="6"/>
        <item m="1" x="13"/>
        <item m="1" x="10"/>
        <item m="1" x="14"/>
        <item m="1" x="8"/>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7">
    <i>
      <x/>
      <x v="1"/>
    </i>
    <i r="1">
      <x v="3"/>
    </i>
    <i r="1">
      <x v="4"/>
    </i>
    <i r="1">
      <x v="12"/>
    </i>
    <i r="1">
      <x v="16"/>
    </i>
    <i r="1">
      <x v="17"/>
    </i>
    <i r="1">
      <x v="18"/>
    </i>
    <i r="1">
      <x v="22"/>
    </i>
    <i r="1">
      <x v="31"/>
    </i>
    <i r="1">
      <x v="33"/>
    </i>
    <i r="1">
      <x v="34"/>
    </i>
    <i r="1">
      <x v="35"/>
    </i>
    <i r="1">
      <x v="44"/>
    </i>
    <i t="default">
      <x/>
    </i>
    <i>
      <x v="2"/>
      <x v="5"/>
    </i>
    <i r="1">
      <x v="6"/>
    </i>
    <i r="1">
      <x v="7"/>
    </i>
    <i r="1">
      <x v="10"/>
    </i>
    <i r="1">
      <x v="13"/>
    </i>
    <i r="1">
      <x v="20"/>
    </i>
    <i r="1">
      <x v="23"/>
    </i>
    <i r="1">
      <x v="24"/>
    </i>
    <i r="1">
      <x v="41"/>
    </i>
    <i r="1">
      <x v="43"/>
    </i>
    <i r="1">
      <x v="46"/>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19" baseField="0" baseItem="0"/>
    <dataField name="Number of people with equitable and continuous access to safe sanitation facilities" fld="107" baseField="0" baseItem="0"/>
    <dataField name="Number of people with equitable and continuous access to sufficient quantity of domestic water" fld="99"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7">
  <location ref="B38:D40" firstHeaderRow="0" firstDataRow="1" firstDataCol="1" rowPageCount="5" colPageCount="1"/>
  <pivotFields count="158">
    <pivotField axis="axisPage" subtotalTop="0" multipleItemSelectionAllowed="1" showAll="0">
      <items count="29">
        <item h="1"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multipleItemSelectionAllowed="1" showAll="0">
      <items count="7">
        <item x="0"/>
        <item h="1" m="1" x="4"/>
        <item h="1" x="1"/>
        <item h="1" m="1" x="2"/>
        <item h="1" m="1" x="3"/>
        <item h="1" m="1" x="5"/>
        <item t="default"/>
      </items>
    </pivotField>
    <pivotField subtotalTop="0" showAll="0"/>
    <pivotField axis="axisPage" multipleItemSelectionAllowed="1" showAll="0" defaultSubtotal="0">
      <items count="15">
        <item x="1"/>
        <item x="2"/>
        <item m="1" x="11"/>
        <item m="1" x="7"/>
        <item m="1" x="6"/>
        <item h="1" m="1" x="13"/>
        <item m="1" x="10"/>
        <item h="1" m="1" x="14"/>
        <item h="1" m="1" x="8"/>
        <item h="1" m="1" x="9"/>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1"/>
  </rowFields>
  <rowItems count="2">
    <i>
      <x v="339"/>
    </i>
    <i>
      <x v="340"/>
    </i>
  </rowItems>
  <colFields count="1">
    <field x="-2"/>
  </colFields>
  <colItems count="2">
    <i>
      <x/>
    </i>
    <i i="1">
      <x v="1"/>
    </i>
  </colItems>
  <pageFields count="5">
    <pageField fld="0" hier="-1"/>
    <pageField fld="4" hier="-1"/>
    <pageField fld="145" item="0" hier="-1"/>
    <pageField fld="6" hier="-1"/>
    <pageField fld="146" item="0" hier="-1"/>
  </pageFields>
  <dataFields count="2">
    <dataField name="Coverage" fld="99" baseField="132" baseItem="340"/>
    <dataField name="Gap" fld="102" baseField="132" baseItem="340"/>
  </dataFields>
  <formats count="14">
    <format dxfId="142">
      <pivotArea type="all" dataOnly="0" outline="0" fieldPosition="0"/>
    </format>
    <format dxfId="141">
      <pivotArea outline="0" collapsedLevelsAreSubtotals="1" fieldPosition="0"/>
    </format>
    <format dxfId="140">
      <pivotArea field="141" type="button" dataOnly="0" labelOnly="1" outline="0" axis="axisRow" fieldPosition="0"/>
    </format>
    <format dxfId="139">
      <pivotArea dataOnly="0" labelOnly="1" fieldPosition="0">
        <references count="1">
          <reference field="141" count="0"/>
        </references>
      </pivotArea>
    </format>
    <format dxfId="138">
      <pivotArea type="all" dataOnly="0" outline="0" fieldPosition="0"/>
    </format>
    <format dxfId="137">
      <pivotArea field="141" type="button" dataOnly="0" labelOnly="1" outline="0" axis="axisRow" fieldPosition="0"/>
    </format>
    <format dxfId="136">
      <pivotArea dataOnly="0" labelOnly="1" fieldPosition="0">
        <references count="1">
          <reference field="141" count="0"/>
        </references>
      </pivotArea>
    </format>
    <format dxfId="135">
      <pivotArea field="141" type="button" dataOnly="0" labelOnly="1" outline="0" axis="axisRow" fieldPosition="0"/>
    </format>
    <format dxfId="134">
      <pivotArea type="all" dataOnly="0" outline="0" fieldPosition="0"/>
    </format>
    <format dxfId="133">
      <pivotArea outline="0" collapsedLevelsAreSubtotals="1" fieldPosition="0"/>
    </format>
    <format dxfId="132">
      <pivotArea field="141" type="button" dataOnly="0" labelOnly="1" outline="0" axis="axisRow" fieldPosition="0"/>
    </format>
    <format dxfId="131">
      <pivotArea field="4" type="button" dataOnly="0" labelOnly="1" outline="0" axis="axisPage" fieldPosition="1"/>
    </format>
    <format dxfId="130">
      <pivotArea dataOnly="0" labelOnly="1" outline="0" fieldPosition="0">
        <references count="2">
          <reference field="4" count="0"/>
          <reference field="145" count="1" selected="0">
            <x v="0"/>
          </reference>
        </references>
      </pivotArea>
    </format>
    <format dxfId="129">
      <pivotArea outline="0" collapsedLevelsAreSubtotals="1" fieldPosition="0"/>
    </format>
  </formats>
  <chartFormats count="4">
    <chartFormat chart="18" format="11"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18" format="12"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3"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8">
  <location ref="A38:E94" firstHeaderRow="0" firstDataRow="1" firstDataCol="1" rowPageCount="3" colPageCount="1"/>
  <pivotFields count="158">
    <pivotField axis="axisPage" compact="0" outline="0" showAll="0">
      <items count="29">
        <item m="1" x="25"/>
        <item m="1" x="26"/>
        <item m="1" x="12"/>
        <item m="1" x="27"/>
        <item m="1" x="19"/>
        <item m="1" x="7"/>
        <item m="1" x="1"/>
        <item m="1" x="21"/>
        <item m="1" x="23"/>
        <item m="1" x="24"/>
        <item m="1" x="15"/>
        <item m="1" x="17"/>
        <item m="1" x="20"/>
        <item m="1" x="22"/>
        <item m="1" x="10"/>
        <item m="1" x="13"/>
        <item m="1" x="16"/>
        <item m="1" x="18"/>
        <item m="1" x="5"/>
        <item m="1" x="8"/>
        <item m="1" x="11"/>
        <item m="1" x="14"/>
        <item m="1" x="3"/>
        <item m="1" x="4"/>
        <item m="1" x="6"/>
        <item m="1" x="9"/>
        <item x="0"/>
        <item m="1" x="2"/>
        <item t="default"/>
      </items>
    </pivotField>
    <pivotField compact="0" outline="0" showAll="0" defaultSubtotal="0"/>
    <pivotField compact="0" outline="0" showAll="0" defaultSubtotal="0">
      <items count="64">
        <item m="1" x="34"/>
        <item m="1" x="51"/>
        <item m="1" x="53"/>
        <item m="1" x="44"/>
        <item m="1" x="62"/>
        <item m="1" x="16"/>
        <item m="1" x="35"/>
        <item m="1" x="45"/>
        <item x="10"/>
        <item x="0"/>
        <item m="1" x="25"/>
        <item x="9"/>
        <item x="14"/>
        <item m="1" x="36"/>
        <item m="1" x="46"/>
        <item x="1"/>
        <item m="1" x="21"/>
        <item m="1" x="52"/>
        <item m="1" x="32"/>
        <item m="1" x="23"/>
        <item m="1" x="58"/>
        <item x="12"/>
        <item x="5"/>
        <item x="11"/>
        <item x="13"/>
        <item m="1" x="57"/>
        <item m="1" x="50"/>
        <item x="8"/>
        <item m="1" x="61"/>
        <item m="1" x="26"/>
        <item m="1" x="18"/>
        <item m="1" x="37"/>
        <item m="1" x="42"/>
        <item m="1" x="41"/>
        <item m="1" x="31"/>
        <item m="1" x="63"/>
        <item m="1" x="22"/>
        <item m="1" x="43"/>
        <item m="1" x="19"/>
        <item x="3"/>
        <item m="1" x="29"/>
        <item m="1" x="28"/>
        <item m="1" x="24"/>
        <item m="1" x="48"/>
        <item m="1" x="54"/>
        <item m="1" x="17"/>
        <item m="1" x="60"/>
        <item m="1" x="49"/>
        <item m="1" x="20"/>
        <item m="1" x="59"/>
        <item m="1" x="55"/>
        <item x="2"/>
        <item x="6"/>
        <item m="1" x="27"/>
        <item m="1" x="47"/>
        <item x="4"/>
        <item m="1" x="33"/>
        <item m="1" x="39"/>
        <item m="1" x="38"/>
        <item m="1" x="56"/>
        <item m="1" x="40"/>
        <item x="7"/>
        <item m="1" x="30"/>
        <item m="1" x="15"/>
      </items>
    </pivotField>
    <pivotField compact="0" outline="0" showAll="0"/>
    <pivotField axis="axisPage" compact="0" outline="0" showAll="0">
      <items count="7">
        <item x="0"/>
        <item m="1" x="4"/>
        <item x="1"/>
        <item m="1" x="2"/>
        <item m="1" x="3"/>
        <item m="1" x="5"/>
        <item t="default"/>
      </items>
    </pivotField>
    <pivotField axis="axisPage" compact="0" outline="0" showAll="0">
      <items count="48">
        <item m="1" x="31"/>
        <item x="0"/>
        <item m="1" x="44"/>
        <item x="2"/>
        <item x="3"/>
        <item x="21"/>
        <item x="23"/>
        <item x="13"/>
        <item m="1" x="39"/>
        <item m="1" x="26"/>
        <item x="14"/>
        <item m="1" x="42"/>
        <item x="7"/>
        <item x="19"/>
        <item m="1" x="37"/>
        <item m="1" x="30"/>
        <item x="5"/>
        <item x="8"/>
        <item x="6"/>
        <item m="1" x="43"/>
        <item x="18"/>
        <item m="1" x="34"/>
        <item x="1"/>
        <item x="20"/>
        <item x="16"/>
        <item m="1" x="28"/>
        <item m="1" x="32"/>
        <item m="1" x="38"/>
        <item m="1" x="35"/>
        <item m="1" x="45"/>
        <item m="1" x="41"/>
        <item x="12"/>
        <item m="1" x="40"/>
        <item x="10"/>
        <item x="9"/>
        <item x="4"/>
        <item m="1" x="33"/>
        <item m="1" x="25"/>
        <item m="1" x="27"/>
        <item m="1" x="24"/>
        <item m="1" x="36"/>
        <item x="15"/>
        <item m="1" x="29"/>
        <item x="17"/>
        <item x="11"/>
        <item m="1" x="46"/>
        <item x="22"/>
        <item t="default"/>
      </items>
    </pivotField>
    <pivotField compact="0" outline="0" showAll="0" defaultSubtotal="0">
      <items count="15">
        <item x="1"/>
        <item m="1" x="12"/>
        <item x="2"/>
        <item x="0"/>
        <item m="1" x="11"/>
        <item m="1" x="9"/>
        <item x="3"/>
        <item m="1" x="4"/>
        <item m="1" x="5"/>
        <item m="1" x="7"/>
        <item m="1" x="6"/>
        <item m="1" x="13"/>
        <item m="1" x="10"/>
        <item m="1" x="14"/>
        <item m="1" x="8"/>
      </items>
    </pivotField>
    <pivotField axis="axisRow" compact="0" outline="0" showAll="0">
      <items count="1094">
        <item m="1" x="754"/>
        <item m="1" x="1049"/>
        <item x="21"/>
        <item x="5"/>
        <item x="12"/>
        <item x="49"/>
        <item m="1" x="374"/>
        <item m="1" x="624"/>
        <item m="1" x="287"/>
        <item m="1" x="330"/>
        <item m="1" x="598"/>
        <item m="1" x="716"/>
        <item m="1" x="730"/>
        <item m="1" x="503"/>
        <item m="1" x="332"/>
        <item m="1" x="998"/>
        <item m="1" x="902"/>
        <item m="1" x="344"/>
        <item m="1" x="779"/>
        <item m="1" x="559"/>
        <item m="1" x="940"/>
        <item m="1" x="880"/>
        <item m="1" x="963"/>
        <item m="1" x="985"/>
        <item m="1" x="412"/>
        <item m="1" x="857"/>
        <item m="1" x="447"/>
        <item m="1" x="464"/>
        <item m="1" x="462"/>
        <item m="1" x="370"/>
        <item x="23"/>
        <item m="1" x="1036"/>
        <item m="1" x="1078"/>
        <item m="1" x="790"/>
        <item m="1" x="515"/>
        <item m="1" x="399"/>
        <item x="17"/>
        <item m="1" x="448"/>
        <item m="1" x="938"/>
        <item m="1" x="891"/>
        <item m="1" x="955"/>
        <item m="1" x="276"/>
        <item m="1" x="385"/>
        <item m="1" x="611"/>
        <item m="1" x="850"/>
        <item m="1" x="851"/>
        <item m="1" x="607"/>
        <item m="1" x="581"/>
        <item m="1" x="442"/>
        <item x="13"/>
        <item m="1" x="1072"/>
        <item m="1" x="1026"/>
        <item m="1" x="787"/>
        <item x="25"/>
        <item m="1" x="992"/>
        <item m="1" x="777"/>
        <item m="1" x="809"/>
        <item m="1" x="249"/>
        <item m="1" x="272"/>
        <item x="20"/>
        <item m="1" x="965"/>
        <item m="1" x="484"/>
        <item m="1" x="397"/>
        <item m="1" x="480"/>
        <item x="32"/>
        <item m="1" x="674"/>
        <item m="1" x="839"/>
        <item m="1" x="229"/>
        <item m="1" x="783"/>
        <item m="1" x="1029"/>
        <item m="1" x="697"/>
        <item m="1" x="277"/>
        <item m="1" x="416"/>
        <item m="1" x="958"/>
        <item x="35"/>
        <item m="1" x="890"/>
        <item m="1" x="613"/>
        <item m="1" x="504"/>
        <item m="1" x="996"/>
        <item m="1" x="670"/>
        <item m="1" x="431"/>
        <item x="69"/>
        <item m="1" x="859"/>
        <item x="38"/>
        <item m="1" x="1013"/>
        <item m="1" x="372"/>
        <item m="1" x="1034"/>
        <item m="1" x="745"/>
        <item m="1" x="621"/>
        <item m="1" x="651"/>
        <item m="1" x="918"/>
        <item m="1" x="279"/>
        <item m="1" x="813"/>
        <item m="1" x="738"/>
        <item m="1" x="1011"/>
        <item m="1" x="952"/>
        <item m="1" x="804"/>
        <item m="1" x="655"/>
        <item m="1" x="689"/>
        <item m="1" x="247"/>
        <item x="14"/>
        <item x="51"/>
        <item x="181"/>
        <item m="1" x="340"/>
        <item m="1" x="236"/>
        <item m="1" x="646"/>
        <item x="4"/>
        <item m="1" x="548"/>
        <item m="1" x="616"/>
        <item m="1" x="505"/>
        <item m="1" x="265"/>
        <item x="152"/>
        <item m="1" x="769"/>
        <item x="50"/>
        <item m="1" x="506"/>
        <item m="1" x="775"/>
        <item x="3"/>
        <item m="1" x="260"/>
        <item x="37"/>
        <item x="26"/>
        <item x="16"/>
        <item m="1" x="785"/>
        <item m="1" x="473"/>
        <item m="1" x="301"/>
        <item m="1" x="752"/>
        <item m="1" x="414"/>
        <item x="73"/>
        <item x="1"/>
        <item x="191"/>
        <item m="1" x="710"/>
        <item m="1" x="1044"/>
        <item m="1" x="1088"/>
        <item m="1" x="981"/>
        <item x="64"/>
        <item m="1" x="679"/>
        <item m="1" x="671"/>
        <item m="1" x="893"/>
        <item m="1" x="427"/>
        <item m="1" x="375"/>
        <item m="1" x="421"/>
        <item m="1" x="657"/>
        <item m="1" x="818"/>
        <item m="1" x="1003"/>
        <item m="1" x="770"/>
        <item m="1" x="296"/>
        <item m="1" x="924"/>
        <item m="1" x="524"/>
        <item m="1" x="633"/>
        <item m="1" x="455"/>
        <item m="1" x="586"/>
        <item x="158"/>
        <item m="1" x="529"/>
        <item m="1" x="1080"/>
        <item m="1" x="773"/>
        <item m="1" x="398"/>
        <item m="1" x="490"/>
        <item m="1" x="780"/>
        <item m="1" x="533"/>
        <item m="1" x="316"/>
        <item m="1" x="400"/>
        <item m="1" x="329"/>
        <item m="1" x="786"/>
        <item m="1" x="1031"/>
        <item x="91"/>
        <item x="116"/>
        <item m="1" x="1052"/>
        <item m="1" x="628"/>
        <item m="1" x="321"/>
        <item m="1" x="800"/>
        <item m="1" x="358"/>
        <item m="1" x="856"/>
        <item m="1" x="356"/>
        <item m="1" x="406"/>
        <item m="1" x="663"/>
        <item m="1" x="1066"/>
        <item m="1" x="1082"/>
        <item m="1" x="339"/>
        <item m="1" x="297"/>
        <item m="1" x="392"/>
        <item m="1" x="814"/>
        <item m="1" x="426"/>
        <item m="1" x="499"/>
        <item m="1" x="886"/>
        <item m="1" x="347"/>
        <item m="1" x="964"/>
        <item m="1" x="1002"/>
        <item m="1" x="342"/>
        <item m="1" x="614"/>
        <item m="1" x="967"/>
        <item m="1" x="413"/>
        <item m="1" x="285"/>
        <item x="94"/>
        <item m="1" x="733"/>
        <item m="1" x="232"/>
        <item x="19"/>
        <item m="1" x="951"/>
        <item m="1" x="666"/>
        <item m="1" x="476"/>
        <item m="1" x="419"/>
        <item x="65"/>
        <item m="1" x="957"/>
        <item x="40"/>
        <item m="1" x="299"/>
        <item m="1" x="713"/>
        <item m="1" x="935"/>
        <item m="1" x="848"/>
        <item x="52"/>
        <item x="78"/>
        <item x="132"/>
        <item m="1" x="1090"/>
        <item m="1" x="278"/>
        <item m="1" x="220"/>
        <item m="1" x="909"/>
        <item m="1" x="550"/>
        <item m="1" x="273"/>
        <item m="1" x="755"/>
        <item m="1" x="510"/>
        <item x="53"/>
        <item m="1" x="539"/>
        <item m="1" x="652"/>
        <item x="54"/>
        <item x="60"/>
        <item x="28"/>
        <item x="124"/>
        <item x="159"/>
        <item x="160"/>
        <item x="161"/>
        <item m="1" x="350"/>
        <item m="1" x="289"/>
        <item m="1" x="336"/>
        <item m="1" x="764"/>
        <item m="1" x="875"/>
        <item m="1" x="919"/>
        <item m="1" x="913"/>
        <item x="182"/>
        <item x="183"/>
        <item m="1" x="436"/>
        <item x="74"/>
        <item x="18"/>
        <item x="184"/>
        <item x="185"/>
        <item x="193"/>
        <item x="43"/>
        <item m="1" x="941"/>
        <item x="168"/>
        <item x="162"/>
        <item x="163"/>
        <item x="169"/>
        <item x="196"/>
        <item x="99"/>
        <item m="1" x="580"/>
        <item x="44"/>
        <item x="56"/>
        <item x="59"/>
        <item x="61"/>
        <item m="1" x="727"/>
        <item m="1" x="221"/>
        <item m="1" x="378"/>
        <item x="98"/>
        <item x="111"/>
        <item m="1" x="231"/>
        <item x="128"/>
        <item m="1" x="638"/>
        <item m="1" x="286"/>
        <item m="1" x="966"/>
        <item m="1" x="341"/>
        <item x="198"/>
        <item x="199"/>
        <item m="1" x="263"/>
        <item m="1" x="326"/>
        <item m="1" x="937"/>
        <item x="30"/>
        <item m="1" x="439"/>
        <item m="1" x="528"/>
        <item m="1" x="338"/>
        <item m="1" x="348"/>
        <item m="1" x="497"/>
        <item m="1" x="357"/>
        <item m="1" x="1054"/>
        <item m="1" x="1037"/>
        <item m="1" x="776"/>
        <item m="1" x="282"/>
        <item m="1" x="585"/>
        <item x="164"/>
        <item m="1" x="788"/>
        <item m="1" x="736"/>
        <item x="118"/>
        <item m="1" x="824"/>
        <item m="1" x="394"/>
        <item m="1" x="609"/>
        <item m="1" x="684"/>
        <item m="1" x="295"/>
        <item m="1" x="889"/>
        <item m="1" x="570"/>
        <item x="7"/>
        <item m="1" x="496"/>
        <item m="1" x="686"/>
        <item m="1" x="1017"/>
        <item m="1" x="516"/>
        <item m="1" x="408"/>
        <item m="1" x="522"/>
        <item x="101"/>
        <item x="102"/>
        <item x="123"/>
        <item x="126"/>
        <item m="1" x="707"/>
        <item x="103"/>
        <item m="1" x="417"/>
        <item x="200"/>
        <item x="104"/>
        <item x="125"/>
        <item m="1" x="430"/>
        <item m="1" x="884"/>
        <item x="6"/>
        <item m="1" x="840"/>
        <item m="1" x="1009"/>
        <item x="31"/>
        <item m="1" x="306"/>
        <item m="1" x="558"/>
        <item m="1" x="896"/>
        <item x="41"/>
        <item m="1" x="409"/>
        <item m="1" x="973"/>
        <item m="1" x="317"/>
        <item x="201"/>
        <item x="46"/>
        <item m="1" x="223"/>
        <item x="178"/>
        <item x="113"/>
        <item m="1" x="591"/>
        <item m="1" x="870"/>
        <item m="1" x="702"/>
        <item m="1" x="365"/>
        <item m="1" x="631"/>
        <item m="1" x="962"/>
        <item m="1" x="395"/>
        <item m="1" x="519"/>
        <item m="1" x="387"/>
        <item m="1" x="514"/>
        <item m="1" x="373"/>
        <item m="1" x="433"/>
        <item m="1" x="989"/>
        <item x="42"/>
        <item m="1" x="366"/>
        <item m="1" x="315"/>
        <item x="170"/>
        <item m="1" x="383"/>
        <item m="1" x="619"/>
        <item m="1" x="600"/>
        <item m="1" x="900"/>
        <item x="165"/>
        <item m="1" x="556"/>
        <item m="1" x="302"/>
        <item m="1" x="456"/>
        <item m="1" x="647"/>
        <item m="1" x="532"/>
        <item m="1" x="298"/>
        <item m="1" x="904"/>
        <item m="1" x="557"/>
        <item m="1" x="761"/>
        <item m="1" x="402"/>
        <item m="1" x="485"/>
        <item m="1" x="932"/>
        <item m="1" x="997"/>
        <item m="1" x="401"/>
        <item x="8"/>
        <item x="39"/>
        <item m="1" x="842"/>
        <item x="186"/>
        <item m="1" x="801"/>
        <item m="1" x="410"/>
        <item m="1" x="595"/>
        <item x="119"/>
        <item m="1" x="240"/>
        <item m="1" x="213"/>
        <item m="1" x="1047"/>
        <item m="1" x="835"/>
        <item m="1" x="914"/>
        <item m="1" x="517"/>
        <item m="1" x="1070"/>
        <item x="130"/>
        <item m="1" x="545"/>
        <item m="1" x="700"/>
        <item m="1" x="603"/>
        <item m="1" x="576"/>
        <item m="1" x="418"/>
        <item m="1" x="457"/>
        <item m="1" x="724"/>
        <item m="1" x="388"/>
        <item m="1" x="266"/>
        <item m="1" x="494"/>
        <item m="1" x="863"/>
        <item m="1" x="618"/>
        <item m="1" x="1021"/>
        <item m="1" x="623"/>
        <item m="1" x="512"/>
        <item m="1" x="656"/>
        <item m="1" x="1030"/>
        <item m="1" x="242"/>
        <item x="203"/>
        <item x="187"/>
        <item m="1" x="690"/>
        <item m="1" x="309"/>
        <item m="1" x="729"/>
        <item m="1" x="1020"/>
        <item m="1" x="368"/>
        <item m="1" x="465"/>
        <item m="1" x="216"/>
        <item m="1" x="353"/>
        <item x="204"/>
        <item m="1" x="815"/>
        <item x="129"/>
        <item m="1" x="551"/>
        <item m="1" x="610"/>
        <item m="1" x="225"/>
        <item m="1" x="604"/>
        <item x="179"/>
        <item m="1" x="643"/>
        <item m="1" x="1022"/>
        <item m="1" x="1014"/>
        <item m="1" x="489"/>
        <item x="45"/>
        <item m="1" x="816"/>
        <item m="1" x="861"/>
        <item m="1" x="698"/>
        <item m="1" x="852"/>
        <item m="1" x="887"/>
        <item m="1" x="562"/>
        <item m="1" x="917"/>
        <item m="1" x="720"/>
        <item m="1" x="899"/>
        <item m="1" x="903"/>
        <item x="166"/>
        <item m="1" x="217"/>
        <item m="1" x="308"/>
        <item m="1" x="560"/>
        <item x="188"/>
        <item m="1" x="1085"/>
        <item x="15"/>
        <item m="1" x="699"/>
        <item m="1" x="565"/>
        <item m="1" x="1061"/>
        <item x="171"/>
        <item x="207"/>
        <item m="1" x="313"/>
        <item x="189"/>
        <item x="82"/>
        <item x="83"/>
        <item m="1" x="703"/>
        <item m="1" x="536"/>
        <item m="1" x="834"/>
        <item m="1" x="669"/>
        <item x="172"/>
        <item m="1" x="245"/>
        <item m="1" x="943"/>
        <item m="1" x="860"/>
        <item m="1" x="252"/>
        <item m="1" x="950"/>
        <item m="1" x="858"/>
        <item m="1" x="501"/>
        <item m="1" x="429"/>
        <item m="1" x="806"/>
        <item m="1" x="582"/>
        <item m="1" x="872"/>
        <item m="1" x="692"/>
        <item m="1" x="589"/>
        <item m="1" x="874"/>
        <item m="1" x="927"/>
        <item m="1" x="841"/>
        <item m="1" x="290"/>
        <item m="1" x="1008"/>
        <item m="1" x="930"/>
        <item m="1" x="795"/>
        <item m="1" x="881"/>
        <item x="68"/>
        <item m="1" x="218"/>
        <item m="1" x="508"/>
        <item x="173"/>
        <item x="208"/>
        <item m="1" x="526"/>
        <item x="174"/>
        <item x="175"/>
        <item m="1" x="351"/>
        <item m="1" x="768"/>
        <item m="1" x="701"/>
        <item m="1" x="763"/>
        <item m="1" x="781"/>
        <item m="1" x="590"/>
        <item m="1" x="243"/>
        <item m="1" x="1059"/>
        <item m="1" x="819"/>
        <item m="1" x="1065"/>
        <item m="1" x="836"/>
        <item m="1" x="961"/>
        <item m="1" x="740"/>
        <item m="1" x="1083"/>
        <item m="1" x="1041"/>
        <item m="1" x="731"/>
        <item m="1" x="498"/>
        <item m="1" x="407"/>
        <item m="1" x="257"/>
        <item m="1" x="1019"/>
        <item m="1" x="566"/>
        <item m="1" x="584"/>
        <item m="1" x="793"/>
        <item m="1" x="1091"/>
        <item m="1" x="635"/>
        <item m="1" x="934"/>
        <item m="1" x="288"/>
        <item x="209"/>
        <item m="1" x="711"/>
        <item m="1" x="1027"/>
        <item m="1" x="1053"/>
        <item m="1" x="1028"/>
        <item m="1" x="535"/>
        <item m="1" x="452"/>
        <item m="1" x="405"/>
        <item m="1" x="255"/>
        <item m="1" x="403"/>
        <item m="1" x="230"/>
        <item m="1" x="215"/>
        <item m="1" x="871"/>
        <item m="1" x="420"/>
        <item m="1" x="362"/>
        <item m="1" x="797"/>
        <item m="1" x="988"/>
        <item m="1" x="352"/>
        <item m="1" x="1079"/>
        <item m="1" x="537"/>
        <item m="1" x="772"/>
        <item x="112"/>
        <item m="1" x="319"/>
        <item m="1" x="865"/>
        <item m="1" x="355"/>
        <item m="1" x="855"/>
        <item m="1" x="632"/>
        <item m="1" x="878"/>
        <item m="1" x="458"/>
        <item x="210"/>
        <item m="1" x="825"/>
        <item x="211"/>
        <item m="1" x="1043"/>
        <item m="1" x="977"/>
        <item m="1" x="915"/>
        <item x="84"/>
        <item x="167"/>
        <item x="194"/>
        <item m="1" x="802"/>
        <item m="1" x="509"/>
        <item m="1" x="601"/>
        <item m="1" x="920"/>
        <item m="1" x="737"/>
        <item m="1" x="597"/>
        <item m="1" x="1089"/>
        <item m="1" x="1074"/>
        <item x="212"/>
        <item m="1" x="642"/>
        <item m="1" x="259"/>
        <item m="1" x="888"/>
        <item m="1" x="906"/>
        <item m="1" x="907"/>
        <item m="1" x="980"/>
        <item m="1" x="328"/>
        <item m="1" x="629"/>
        <item m="1" x="437"/>
        <item m="1" x="438"/>
        <item m="1" x="1051"/>
        <item m="1" x="993"/>
        <item m="1" x="975"/>
        <item m="1" x="625"/>
        <item m="1" x="1035"/>
        <item m="1" x="552"/>
        <item m="1" x="746"/>
        <item m="1" x="925"/>
        <item m="1" x="264"/>
        <item m="1" x="481"/>
        <item m="1" x="284"/>
        <item m="1" x="742"/>
        <item m="1" x="683"/>
        <item m="1" x="714"/>
        <item x="120"/>
        <item m="1" x="778"/>
        <item m="1" x="978"/>
        <item m="1" x="322"/>
        <item m="1" x="605"/>
        <item x="72"/>
        <item m="1" x="318"/>
        <item m="1" x="1063"/>
        <item m="1" x="675"/>
        <item m="1" x="808"/>
        <item m="1" x="760"/>
        <item x="135"/>
        <item m="1" x="291"/>
        <item x="75"/>
        <item x="2"/>
        <item m="1" x="667"/>
        <item m="1" x="500"/>
        <item m="1" x="267"/>
        <item m="1" x="1068"/>
        <item m="1" x="827"/>
        <item m="1" x="386"/>
        <item m="1" x="726"/>
        <item m="1" x="630"/>
        <item m="1" x="1087"/>
        <item m="1" x="1005"/>
        <item m="1" x="572"/>
        <item m="1" x="459"/>
        <item m="1" x="549"/>
        <item m="1" x="305"/>
        <item m="1" x="959"/>
        <item m="1" x="756"/>
        <item m="1" x="1045"/>
        <item m="1" x="224"/>
        <item m="1" x="807"/>
        <item x="177"/>
        <item x="27"/>
        <item m="1" x="445"/>
        <item m="1" x="281"/>
        <item m="1" x="432"/>
        <item m="1" x="310"/>
        <item m="1" x="434"/>
        <item m="1" x="712"/>
        <item m="1" x="1042"/>
        <item m="1" x="608"/>
        <item m="1" x="753"/>
        <item m="1" x="593"/>
        <item m="1" x="873"/>
        <item m="1" x="843"/>
        <item m="1" x="492"/>
        <item m="1" x="971"/>
        <item m="1" x="602"/>
        <item m="1" x="718"/>
        <item m="1" x="830"/>
        <item m="1" x="435"/>
        <item m="1" x="320"/>
        <item m="1" x="1086"/>
        <item m="1" x="294"/>
        <item m="1" x="837"/>
        <item m="1" x="1077"/>
        <item m="1" x="1007"/>
        <item m="1" x="1075"/>
        <item m="1" x="1039"/>
        <item m="1" x="468"/>
        <item m="1" x="415"/>
        <item m="1" x="636"/>
        <item m="1" x="518"/>
        <item m="1" x="1081"/>
        <item m="1" x="866"/>
        <item m="1" x="1001"/>
        <item m="1" x="271"/>
        <item m="1" x="541"/>
        <item m="1" x="461"/>
        <item m="1" x="280"/>
        <item m="1" x="739"/>
        <item m="1" x="668"/>
        <item m="1" x="953"/>
        <item m="1" x="424"/>
        <item m="1" x="520"/>
        <item m="1" x="704"/>
        <item m="1" x="626"/>
        <item m="1" x="970"/>
        <item m="1" x="654"/>
        <item m="1" x="478"/>
        <item m="1" x="1058"/>
        <item m="1" x="885"/>
        <item m="1" x="1057"/>
        <item m="1" x="1056"/>
        <item m="1" x="337"/>
        <item m="1" x="709"/>
        <item m="1" x="380"/>
        <item m="1" x="897"/>
        <item m="1" x="979"/>
        <item m="1" x="521"/>
        <item m="1" x="311"/>
        <item m="1" x="219"/>
        <item m="1" x="443"/>
        <item m="1" x="1015"/>
        <item m="1" x="422"/>
        <item m="1" x="547"/>
        <item m="1" x="1038"/>
        <item m="1" x="717"/>
        <item m="1" x="812"/>
        <item m="1" x="474"/>
        <item m="1" x="757"/>
        <item m="1" x="300"/>
        <item m="1" x="645"/>
        <item m="1" x="491"/>
        <item m="1" x="799"/>
        <item m="1" x="534"/>
        <item m="1" x="579"/>
        <item m="1" x="460"/>
        <item m="1" x="396"/>
        <item m="1" x="794"/>
        <item m="1" x="939"/>
        <item x="22"/>
        <item x="180"/>
        <item x="106"/>
        <item x="95"/>
        <item x="117"/>
        <item x="36"/>
        <item x="176"/>
        <item x="77"/>
        <item x="190"/>
        <item x="11"/>
        <item m="1" x="680"/>
        <item m="1" x="345"/>
        <item m="1" x="956"/>
        <item m="1" x="895"/>
        <item m="1" x="377"/>
        <item m="1" x="511"/>
        <item m="1" x="269"/>
        <item m="1" x="627"/>
        <item m="1" x="256"/>
        <item x="67"/>
        <item m="1" x="261"/>
        <item m="1" x="1018"/>
        <item m="1" x="463"/>
        <item m="1" x="696"/>
        <item m="1" x="705"/>
        <item m="1" x="270"/>
        <item m="1" x="862"/>
        <item x="87"/>
        <item x="90"/>
        <item m="1" x="639"/>
        <item m="1" x="588"/>
        <item m="1" x="376"/>
        <item m="1" x="360"/>
        <item m="1" x="929"/>
        <item m="1" x="453"/>
        <item m="1" x="441"/>
        <item m="1" x="923"/>
        <item m="1" x="428"/>
        <item m="1" x="931"/>
        <item m="1" x="470"/>
        <item m="1" x="222"/>
        <item m="1" x="1004"/>
        <item m="1" x="673"/>
        <item m="1" x="853"/>
        <item m="1" x="723"/>
        <item m="1" x="617"/>
        <item m="1" x="471"/>
        <item m="1" x="599"/>
        <item m="1" x="677"/>
        <item m="1" x="553"/>
        <item m="1" x="393"/>
        <item m="1" x="1048"/>
        <item m="1" x="371"/>
        <item m="1" x="477"/>
        <item m="1" x="1000"/>
        <item m="1" x="569"/>
        <item m="1" x="540"/>
        <item m="1" x="912"/>
        <item m="1" x="648"/>
        <item m="1" x="384"/>
        <item m="1" x="831"/>
        <item m="1" x="575"/>
        <item m="1" x="594"/>
        <item m="1" x="587"/>
        <item m="1" x="233"/>
        <item m="1" x="640"/>
        <item m="1" x="440"/>
        <item m="1" x="331"/>
        <item m="1" x="1076"/>
        <item m="1" x="634"/>
        <item m="1" x="334"/>
        <item m="1" x="933"/>
        <item m="1" x="592"/>
        <item m="1" x="620"/>
        <item m="1" x="253"/>
        <item m="1" x="359"/>
        <item m="1" x="879"/>
        <item m="1" x="561"/>
        <item m="1" x="676"/>
        <item m="1" x="262"/>
        <item m="1" x="662"/>
        <item m="1" x="792"/>
        <item m="1" x="361"/>
        <item m="1" x="467"/>
        <item m="1" x="379"/>
        <item m="1" x="487"/>
        <item m="1" x="475"/>
        <item m="1" x="312"/>
        <item m="1" x="990"/>
        <item m="1" x="854"/>
        <item m="1" x="644"/>
        <item m="1" x="241"/>
        <item m="1" x="743"/>
        <item m="1" x="954"/>
        <item m="1" x="833"/>
        <item m="1" x="577"/>
        <item m="1" x="612"/>
        <item m="1" x="759"/>
        <item m="1" x="390"/>
        <item m="1" x="892"/>
        <item m="1" x="682"/>
        <item m="1" x="596"/>
        <item m="1" x="832"/>
        <item m="1" x="798"/>
        <item m="1" x="767"/>
        <item m="1" x="734"/>
        <item m="1" x="969"/>
        <item m="1" x="748"/>
        <item m="1" x="248"/>
        <item m="1" x="234"/>
        <item m="1" x="382"/>
        <item m="1" x="762"/>
        <item m="1" x="423"/>
        <item m="1" x="747"/>
        <item m="1" x="949"/>
        <item m="1" x="444"/>
        <item m="1" x="391"/>
        <item m="1" x="749"/>
        <item m="1" x="722"/>
        <item m="1" x="486"/>
        <item m="1" x="482"/>
        <item m="1" x="948"/>
        <item m="1" x="513"/>
        <item m="1" x="820"/>
        <item m="1" x="744"/>
        <item m="1" x="976"/>
        <item m="1" x="1010"/>
        <item m="1" x="292"/>
        <item m="1" x="1062"/>
        <item m="1" x="695"/>
        <item m="1" x="530"/>
        <item m="1" x="916"/>
        <item m="1" x="303"/>
        <item m="1" x="982"/>
        <item m="1" x="828"/>
        <item m="1" x="527"/>
        <item m="1" x="502"/>
        <item m="1" x="483"/>
        <item m="1" x="544"/>
        <item m="1" x="894"/>
        <item m="1" x="479"/>
        <item m="1" x="228"/>
        <item m="1" x="984"/>
        <item m="1" x="910"/>
        <item m="1" x="660"/>
        <item m="1" x="571"/>
        <item m="1" x="944"/>
        <item m="1" x="637"/>
        <item m="1" x="606"/>
        <item m="1" x="314"/>
        <item m="1" x="554"/>
        <item m="1" x="681"/>
        <item m="1" x="653"/>
        <item m="1" x="659"/>
        <item m="1" x="239"/>
        <item m="1" x="325"/>
        <item m="1" x="466"/>
        <item m="1" x="389"/>
        <item m="1" x="908"/>
        <item m="1" x="911"/>
        <item m="1" x="844"/>
        <item m="1" x="867"/>
        <item m="1" x="454"/>
        <item m="1" x="1073"/>
        <item m="1" x="583"/>
        <item m="1" x="293"/>
        <item m="1" x="898"/>
        <item m="1" x="567"/>
        <item m="1" x="488"/>
        <item m="1" x="411"/>
        <item m="1" x="237"/>
        <item m="1" x="214"/>
        <item x="76"/>
        <item m="1" x="451"/>
        <item m="1" x="789"/>
        <item m="1" x="254"/>
        <item m="1" x="838"/>
        <item m="1" x="811"/>
        <item m="1" x="258"/>
        <item m="1" x="641"/>
        <item m="1" x="928"/>
        <item m="1" x="615"/>
        <item m="1" x="1023"/>
        <item m="1" x="868"/>
        <item m="1" x="968"/>
        <item m="1" x="661"/>
        <item m="1" x="268"/>
        <item m="1" x="945"/>
        <item m="1" x="823"/>
        <item m="1" x="849"/>
        <item m="1" x="425"/>
        <item m="1" x="574"/>
        <item m="1" x="883"/>
        <item m="1" x="546"/>
        <item m="1" x="926"/>
        <item m="1" x="369"/>
        <item m="1" x="715"/>
        <item m="1" x="469"/>
        <item m="1" x="307"/>
        <item m="1" x="784"/>
        <item m="1" x="803"/>
        <item m="1" x="622"/>
        <item m="1" x="693"/>
        <item m="1" x="694"/>
        <item m="1" x="688"/>
        <item m="1" x="974"/>
        <item m="1" x="381"/>
        <item m="1" x="986"/>
        <item m="1" x="1046"/>
        <item m="1" x="346"/>
        <item m="1" x="274"/>
        <item m="1" x="343"/>
        <item m="1" x="766"/>
        <item m="1" x="735"/>
        <item m="1" x="404"/>
        <item m="1" x="991"/>
        <item m="1" x="826"/>
        <item m="1" x="227"/>
        <item m="1" x="335"/>
        <item m="1" x="947"/>
        <item m="1" x="578"/>
        <item m="1" x="829"/>
        <item m="1" x="810"/>
        <item m="1" x="791"/>
        <item m="1" x="672"/>
        <item m="1" x="563"/>
        <item m="1" x="538"/>
        <item m="1" x="251"/>
        <item m="1" x="363"/>
        <item m="1" x="960"/>
        <item m="1" x="1024"/>
        <item m="1" x="719"/>
        <item m="1" x="1069"/>
        <item m="1" x="283"/>
        <item m="1" x="758"/>
        <item m="1" x="821"/>
        <item m="1" x="1016"/>
        <item m="1" x="901"/>
        <item m="1" x="845"/>
        <item m="1" x="1033"/>
        <item m="1" x="796"/>
        <item m="1" x="691"/>
        <item m="1" x="349"/>
        <item m="1" x="725"/>
        <item m="1" x="922"/>
        <item m="1" x="1092"/>
        <item m="1" x="876"/>
        <item m="1" x="495"/>
        <item m="1" x="732"/>
        <item m="1" x="1064"/>
        <item m="1" x="678"/>
        <item m="1" x="543"/>
        <item m="1" x="665"/>
        <item m="1" x="573"/>
        <item m="1" x="1025"/>
        <item m="1" x="685"/>
        <item m="1" x="999"/>
        <item m="1" x="750"/>
        <item m="1" x="446"/>
        <item m="1" x="324"/>
        <item m="1" x="226"/>
        <item m="1" x="1006"/>
        <item m="1" x="246"/>
        <item m="1" x="664"/>
        <item m="1" x="333"/>
        <item m="1" x="994"/>
        <item m="1" x="1071"/>
        <item m="1" x="728"/>
        <item m="1" x="983"/>
        <item m="1" x="1060"/>
        <item m="1" x="687"/>
        <item m="1" x="972"/>
        <item m="1" x="354"/>
        <item m="1" x="942"/>
        <item m="1" x="238"/>
        <item m="1" x="782"/>
        <item m="1" x="493"/>
        <item m="1" x="555"/>
        <item m="1" x="1067"/>
        <item m="1" x="921"/>
        <item x="131"/>
        <item x="86"/>
        <item m="1" x="323"/>
        <item m="1" x="706"/>
        <item m="1" x="869"/>
        <item m="1" x="650"/>
        <item m="1" x="1084"/>
        <item m="1" x="774"/>
        <item m="1" x="995"/>
        <item m="1" x="1040"/>
        <item m="1" x="864"/>
        <item m="1" x="472"/>
        <item m="1" x="1032"/>
        <item m="1" x="327"/>
        <item m="1" x="936"/>
        <item m="1" x="751"/>
        <item m="1" x="364"/>
        <item m="1" x="1012"/>
        <item m="1" x="525"/>
        <item m="1" x="822"/>
        <item m="1" x="250"/>
        <item m="1" x="449"/>
        <item m="1" x="507"/>
        <item m="1" x="708"/>
        <item m="1" x="946"/>
        <item m="1" x="542"/>
        <item m="1" x="564"/>
        <item x="0"/>
        <item x="58"/>
        <item m="1" x="721"/>
        <item m="1" x="658"/>
        <item m="1" x="275"/>
        <item m="1" x="649"/>
        <item m="1" x="367"/>
        <item m="1" x="765"/>
        <item m="1" x="244"/>
        <item m="1" x="1055"/>
        <item m="1" x="846"/>
        <item m="1" x="568"/>
        <item m="1" x="1050"/>
        <item m="1" x="987"/>
        <item x="29"/>
        <item m="1" x="450"/>
        <item m="1" x="741"/>
        <item x="88"/>
        <item x="108"/>
        <item m="1" x="905"/>
        <item m="1" x="235"/>
        <item x="79"/>
        <item x="121"/>
        <item m="1" x="847"/>
        <item x="92"/>
        <item x="55"/>
        <item x="81"/>
        <item x="142"/>
        <item m="1" x="771"/>
        <item m="1" x="805"/>
        <item x="157"/>
        <item m="1" x="304"/>
        <item m="1" x="531"/>
        <item x="9"/>
        <item x="10"/>
        <item m="1" x="877"/>
        <item x="134"/>
        <item x="133"/>
        <item x="93"/>
        <item x="107"/>
        <item x="192"/>
        <item x="70"/>
        <item x="71"/>
        <item x="85"/>
        <item x="127"/>
        <item x="114"/>
        <item x="80"/>
        <item x="47"/>
        <item m="1" x="817"/>
        <item x="48"/>
        <item x="115"/>
        <item x="62"/>
        <item x="63"/>
        <item x="57"/>
        <item x="24"/>
        <item x="206"/>
        <item m="1" x="882"/>
        <item x="33"/>
        <item x="97"/>
        <item x="100"/>
        <item x="105"/>
        <item x="109"/>
        <item x="110"/>
        <item x="122"/>
        <item m="1" x="523"/>
        <item x="89"/>
        <item x="197"/>
        <item x="34"/>
        <item x="66"/>
        <item x="136"/>
        <item x="137"/>
        <item x="138"/>
        <item x="139"/>
        <item x="140"/>
        <item x="141"/>
        <item x="143"/>
        <item x="144"/>
        <item x="145"/>
        <item x="146"/>
        <item x="147"/>
        <item x="148"/>
        <item x="96"/>
        <item x="149"/>
        <item x="150"/>
        <item x="151"/>
        <item x="195"/>
        <item x="153"/>
        <item x="154"/>
        <item x="155"/>
        <item x="156"/>
        <item x="202"/>
        <item x="205"/>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56">
    <i>
      <x v="111"/>
    </i>
    <i>
      <x v="163"/>
    </i>
    <i>
      <x v="164"/>
    </i>
    <i>
      <x v="191"/>
    </i>
    <i>
      <x v="223"/>
    </i>
    <i>
      <x v="248"/>
    </i>
    <i>
      <x v="249"/>
    </i>
    <i>
      <x v="258"/>
    </i>
    <i>
      <x v="259"/>
    </i>
    <i>
      <x v="286"/>
    </i>
    <i>
      <x v="301"/>
    </i>
    <i>
      <x v="302"/>
    </i>
    <i>
      <x v="303"/>
    </i>
    <i>
      <x v="304"/>
    </i>
    <i>
      <x v="306"/>
    </i>
    <i>
      <x v="309"/>
    </i>
    <i>
      <x v="310"/>
    </i>
    <i>
      <x v="328"/>
    </i>
    <i>
      <x v="372"/>
    </i>
    <i>
      <x v="530"/>
    </i>
    <i>
      <x v="580"/>
    </i>
    <i>
      <x v="696"/>
    </i>
    <i>
      <x v="697"/>
    </i>
    <i>
      <x v="698"/>
    </i>
    <i>
      <x v="721"/>
    </i>
    <i>
      <x v="722"/>
    </i>
    <i>
      <x v="975"/>
    </i>
    <i>
      <x v="1018"/>
    </i>
    <i>
      <x v="1019"/>
    </i>
    <i>
      <x v="1023"/>
    </i>
    <i>
      <x v="1025"/>
    </i>
    <i>
      <x v="1039"/>
    </i>
    <i>
      <x v="1040"/>
    </i>
    <i>
      <x v="1044"/>
    </i>
    <i>
      <x v="1045"/>
    </i>
    <i>
      <x v="1059"/>
    </i>
    <i>
      <x v="1060"/>
    </i>
    <i>
      <x v="1061"/>
    </i>
    <i>
      <x v="1062"/>
    </i>
    <i>
      <x v="1063"/>
    </i>
    <i>
      <x v="1064"/>
    </i>
    <i>
      <x v="1066"/>
    </i>
    <i>
      <x v="1078"/>
    </i>
    <i>
      <x v="1079"/>
    </i>
    <i>
      <x v="1080"/>
    </i>
    <i>
      <x v="1081"/>
    </i>
    <i>
      <x v="1082"/>
    </i>
    <i>
      <x v="1083"/>
    </i>
    <i>
      <x v="1084"/>
    </i>
    <i>
      <x v="1085"/>
    </i>
    <i>
      <x v="1086"/>
    </i>
    <i>
      <x v="1087"/>
    </i>
    <i>
      <x v="1088"/>
    </i>
    <i>
      <x v="1089"/>
    </i>
    <i>
      <x v="1090"/>
    </i>
    <i t="grand">
      <x/>
    </i>
  </rowItems>
  <colFields count="1">
    <field x="-2"/>
  </colFields>
  <colItems count="4">
    <i>
      <x/>
    </i>
    <i i="1">
      <x v="1"/>
    </i>
    <i i="2">
      <x v="2"/>
    </i>
    <i i="3">
      <x v="3"/>
    </i>
  </colItems>
  <pageFields count="3">
    <pageField fld="0" item="26" hier="-1"/>
    <pageField fld="5" hier="-1"/>
    <pageField fld="4" item="2" hier="-1"/>
  </pageFields>
  <dataFields count="4">
    <dataField name="Total Population" fld="9" baseField="0" baseItem="0"/>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3"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10">
  <location ref="L4:P431" firstHeaderRow="0" firstDataRow="1" firstDataCol="2" rowPageCount="1" colPageCount="1"/>
  <pivotFields count="158">
    <pivotField axis="axisRow" compact="0" outline="0" showAll="0">
      <items count="29">
        <item m="1" x="25"/>
        <item m="1" x="26"/>
        <item m="1" x="12"/>
        <item m="1" x="27"/>
        <item m="1" x="19"/>
        <item m="1" x="21"/>
        <item m="1" x="23"/>
        <item m="1" x="24"/>
        <item m="1" x="7"/>
        <item m="1" x="1"/>
        <item m="1" x="15"/>
        <item m="1" x="17"/>
        <item m="1" x="20"/>
        <item m="1" x="22"/>
        <item m="1" x="10"/>
        <item m="1" x="13"/>
        <item m="1" x="16"/>
        <item m="1" x="18"/>
        <item m="1" x="5"/>
        <item m="1" x="8"/>
        <item m="1" x="11"/>
        <item m="1" x="14"/>
        <item m="1" x="3"/>
        <item m="1" x="4"/>
        <item m="1" x="6"/>
        <item m="1" x="9"/>
        <item x="0"/>
        <item m="1" x="2"/>
        <item t="default"/>
      </items>
    </pivotField>
    <pivotField compact="0" outline="0" showAll="0" defaultSubtotal="0"/>
    <pivotField compact="0" outline="0" showAll="0" defaultSubtotal="0">
      <items count="64">
        <item m="1" x="34"/>
        <item m="1" x="51"/>
        <item m="1" x="53"/>
        <item m="1" x="44"/>
        <item m="1" x="62"/>
        <item m="1" x="16"/>
        <item m="1" x="35"/>
        <item m="1" x="45"/>
        <item x="10"/>
        <item x="0"/>
        <item m="1" x="25"/>
        <item x="9"/>
        <item x="14"/>
        <item m="1" x="36"/>
        <item m="1" x="46"/>
        <item x="1"/>
        <item m="1" x="21"/>
        <item m="1" x="52"/>
        <item m="1" x="32"/>
        <item m="1" x="23"/>
        <item m="1" x="58"/>
        <item x="12"/>
        <item x="5"/>
        <item x="11"/>
        <item x="13"/>
        <item m="1" x="57"/>
        <item m="1" x="50"/>
        <item x="8"/>
        <item m="1" x="61"/>
        <item m="1" x="26"/>
        <item m="1" x="18"/>
        <item m="1" x="37"/>
        <item m="1" x="42"/>
        <item m="1" x="41"/>
        <item m="1" x="31"/>
        <item m="1" x="63"/>
        <item m="1" x="22"/>
        <item m="1" x="43"/>
        <item m="1" x="19"/>
        <item x="3"/>
        <item m="1" x="29"/>
        <item m="1" x="28"/>
        <item m="1" x="24"/>
        <item m="1" x="48"/>
        <item m="1" x="54"/>
        <item m="1" x="17"/>
        <item m="1" x="60"/>
        <item m="1" x="49"/>
        <item m="1" x="20"/>
        <item m="1" x="59"/>
        <item m="1" x="55"/>
        <item x="2"/>
        <item x="6"/>
        <item m="1" x="27"/>
        <item m="1" x="47"/>
        <item x="4"/>
        <item m="1" x="33"/>
        <item m="1" x="39"/>
        <item m="1" x="38"/>
        <item m="1" x="56"/>
        <item m="1" x="40"/>
        <item x="7"/>
        <item m="1" x="30"/>
        <item m="1" x="15"/>
      </items>
    </pivotField>
    <pivotField compact="0" outline="0" showAll="0"/>
    <pivotField compact="0" outline="0" showAll="0">
      <items count="7">
        <item m="1" x="3"/>
        <item x="0"/>
        <item m="1" x="5"/>
        <item m="1" x="4"/>
        <item x="1"/>
        <item m="1" x="2"/>
        <item t="default"/>
      </items>
    </pivotField>
    <pivotField compact="0" outline="0" showAll="0">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compact="0" outline="0" showAll="0" defaultSubtotal="0">
      <items count="15">
        <item x="1"/>
        <item m="1" x="12"/>
        <item x="2"/>
        <item x="0"/>
        <item m="1" x="11"/>
        <item m="1" x="9"/>
        <item x="3"/>
        <item m="1" x="4"/>
        <item m="1" x="5"/>
        <item m="1" x="7"/>
        <item m="1" x="6"/>
        <item m="1" x="13"/>
        <item m="1" x="10"/>
        <item m="1" x="14"/>
        <item m="1" x="8"/>
      </items>
    </pivotField>
    <pivotField axis="axisRow" compact="0" outline="0" showAll="0">
      <items count="1094">
        <item m="1" x="754"/>
        <item m="1" x="518"/>
        <item m="1" x="636"/>
        <item m="1" x="1049"/>
        <item x="21"/>
        <item x="5"/>
        <item x="12"/>
        <item x="49"/>
        <item m="1" x="491"/>
        <item m="1" x="374"/>
        <item m="1" x="624"/>
        <item m="1" x="287"/>
        <item m="1" x="330"/>
        <item m="1" x="598"/>
        <item m="1" x="716"/>
        <item m="1" x="730"/>
        <item m="1" x="866"/>
        <item m="1" x="503"/>
        <item m="1" x="332"/>
        <item m="1" x="998"/>
        <item m="1" x="902"/>
        <item m="1" x="344"/>
        <item m="1" x="779"/>
        <item m="1" x="559"/>
        <item m="1" x="940"/>
        <item m="1" x="880"/>
        <item m="1" x="963"/>
        <item m="1" x="985"/>
        <item m="1" x="412"/>
        <item m="1" x="857"/>
        <item m="1" x="447"/>
        <item m="1" x="464"/>
        <item m="1" x="753"/>
        <item m="1" x="462"/>
        <item m="1" x="1077"/>
        <item m="1" x="370"/>
        <item m="1" x="1075"/>
        <item x="23"/>
        <item m="1" x="1036"/>
        <item m="1" x="1078"/>
        <item m="1" x="790"/>
        <item m="1" x="515"/>
        <item m="1" x="705"/>
        <item m="1" x="1086"/>
        <item m="1" x="399"/>
        <item m="1" x="261"/>
        <item m="1" x="432"/>
        <item x="17"/>
        <item m="1" x="448"/>
        <item m="1" x="938"/>
        <item m="1" x="891"/>
        <item m="1" x="955"/>
        <item m="1" x="276"/>
        <item m="1" x="385"/>
        <item m="1" x="611"/>
        <item m="1" x="850"/>
        <item m="1" x="851"/>
        <item m="1" x="607"/>
        <item m="1" x="760"/>
        <item m="1" x="581"/>
        <item m="1" x="442"/>
        <item x="13"/>
        <item m="1" x="1072"/>
        <item m="1" x="1026"/>
        <item m="1" x="787"/>
        <item x="25"/>
        <item m="1" x="992"/>
        <item m="1" x="474"/>
        <item m="1" x="777"/>
        <item m="1" x="809"/>
        <item m="1" x="249"/>
        <item m="1" x="272"/>
        <item x="20"/>
        <item m="1" x="965"/>
        <item m="1" x="484"/>
        <item m="1" x="397"/>
        <item m="1" x="480"/>
        <item x="32"/>
        <item m="1" x="674"/>
        <item m="1" x="434"/>
        <item m="1" x="799"/>
        <item m="1" x="839"/>
        <item m="1" x="229"/>
        <item m="1" x="783"/>
        <item m="1" x="1029"/>
        <item m="1" x="697"/>
        <item m="1" x="277"/>
        <item m="1" x="416"/>
        <item m="1" x="271"/>
        <item m="1" x="958"/>
        <item x="35"/>
        <item m="1" x="890"/>
        <item m="1" x="613"/>
        <item m="1" x="504"/>
        <item m="1" x="996"/>
        <item m="1" x="670"/>
        <item m="1" x="431"/>
        <item x="69"/>
        <item m="1" x="859"/>
        <item x="38"/>
        <item x="72"/>
        <item m="1" x="1013"/>
        <item m="1" x="372"/>
        <item x="87"/>
        <item m="1" x="1034"/>
        <item m="1" x="745"/>
        <item m="1" x="621"/>
        <item m="1" x="971"/>
        <item m="1" x="651"/>
        <item m="1" x="918"/>
        <item m="1" x="279"/>
        <item m="1" x="813"/>
        <item m="1" x="738"/>
        <item m="1" x="1011"/>
        <item m="1" x="952"/>
        <item m="1" x="804"/>
        <item m="1" x="655"/>
        <item m="1" x="219"/>
        <item m="1" x="689"/>
        <item m="1" x="247"/>
        <item x="14"/>
        <item x="51"/>
        <item x="181"/>
        <item m="1" x="340"/>
        <item m="1" x="236"/>
        <item m="1" x="646"/>
        <item x="4"/>
        <item m="1" x="548"/>
        <item m="1" x="616"/>
        <item m="1" x="505"/>
        <item m="1" x="265"/>
        <item x="152"/>
        <item m="1" x="769"/>
        <item x="50"/>
        <item m="1" x="506"/>
        <item m="1" x="775"/>
        <item m="1" x="1007"/>
        <item x="3"/>
        <item m="1" x="260"/>
        <item x="37"/>
        <item m="1" x="712"/>
        <item x="26"/>
        <item x="90"/>
        <item x="16"/>
        <item m="1" x="785"/>
        <item m="1" x="827"/>
        <item m="1" x="473"/>
        <item m="1" x="301"/>
        <item m="1" x="396"/>
        <item m="1" x="794"/>
        <item m="1" x="752"/>
        <item m="1" x="414"/>
        <item x="73"/>
        <item x="1"/>
        <item x="77"/>
        <item x="191"/>
        <item m="1" x="710"/>
        <item x="2"/>
        <item m="1" x="1044"/>
        <item m="1" x="1088"/>
        <item m="1" x="593"/>
        <item m="1" x="953"/>
        <item m="1" x="981"/>
        <item x="64"/>
        <item m="1" x="718"/>
        <item m="1" x="679"/>
        <item m="1" x="671"/>
        <item m="1" x="893"/>
        <item m="1" x="427"/>
        <item m="1" x="830"/>
        <item m="1" x="375"/>
        <item m="1" x="421"/>
        <item m="1" x="657"/>
        <item m="1" x="818"/>
        <item m="1" x="1003"/>
        <item m="1" x="770"/>
        <item m="1" x="296"/>
        <item m="1" x="924"/>
        <item m="1" x="680"/>
        <item m="1" x="956"/>
        <item x="75"/>
        <item m="1" x="300"/>
        <item m="1" x="463"/>
        <item m="1" x="524"/>
        <item m="1" x="633"/>
        <item m="1" x="455"/>
        <item m="1" x="586"/>
        <item x="158"/>
        <item m="1" x="529"/>
        <item m="1" x="1080"/>
        <item m="1" x="773"/>
        <item m="1" x="398"/>
        <item m="1" x="490"/>
        <item m="1" x="780"/>
        <item m="1" x="533"/>
        <item m="1" x="316"/>
        <item m="1" x="400"/>
        <item m="1" x="329"/>
        <item m="1" x="786"/>
        <item m="1" x="1031"/>
        <item m="1" x="337"/>
        <item x="91"/>
        <item x="116"/>
        <item m="1" x="1052"/>
        <item m="1" x="628"/>
        <item m="1" x="321"/>
        <item m="1" x="1045"/>
        <item m="1" x="800"/>
        <item m="1" x="358"/>
        <item m="1" x="856"/>
        <item m="1" x="280"/>
        <item m="1" x="356"/>
        <item m="1" x="939"/>
        <item m="1" x="406"/>
        <item m="1" x="663"/>
        <item m="1" x="1066"/>
        <item m="1" x="1082"/>
        <item m="1" x="339"/>
        <item m="1" x="297"/>
        <item m="1" x="392"/>
        <item m="1" x="814"/>
        <item m="1" x="426"/>
        <item m="1" x="499"/>
        <item m="1" x="886"/>
        <item m="1" x="347"/>
        <item m="1" x="837"/>
        <item m="1" x="294"/>
        <item m="1" x="964"/>
        <item m="1" x="1002"/>
        <item m="1" x="342"/>
        <item m="1" x="614"/>
        <item m="1" x="967"/>
        <item m="1" x="413"/>
        <item m="1" x="1005"/>
        <item m="1" x="285"/>
        <item x="94"/>
        <item m="1" x="733"/>
        <item m="1" x="232"/>
        <item x="19"/>
        <item m="1" x="951"/>
        <item m="1" x="666"/>
        <item m="1" x="476"/>
        <item m="1" x="1001"/>
        <item m="1" x="419"/>
        <item x="65"/>
        <item m="1" x="957"/>
        <item m="1" x="267"/>
        <item m="1" x="500"/>
        <item m="1" x="605"/>
        <item m="1" x="322"/>
        <item x="40"/>
        <item m="1" x="299"/>
        <item m="1" x="713"/>
        <item m="1" x="311"/>
        <item m="1" x="935"/>
        <item m="1" x="291"/>
        <item m="1" x="848"/>
        <item x="52"/>
        <item m="1" x="281"/>
        <item x="78"/>
        <item x="132"/>
        <item m="1" x="1090"/>
        <item m="1" x="278"/>
        <item m="1" x="220"/>
        <item m="1" x="909"/>
        <item m="1" x="550"/>
        <item m="1" x="273"/>
        <item m="1" x="755"/>
        <item m="1" x="510"/>
        <item x="53"/>
        <item m="1" x="539"/>
        <item m="1" x="652"/>
        <item x="54"/>
        <item x="60"/>
        <item x="28"/>
        <item x="124"/>
        <item x="159"/>
        <item x="160"/>
        <item x="161"/>
        <item x="27"/>
        <item m="1" x="350"/>
        <item m="1" x="289"/>
        <item m="1" x="336"/>
        <item m="1" x="764"/>
        <item m="1" x="875"/>
        <item m="1" x="919"/>
        <item x="22"/>
        <item m="1" x="913"/>
        <item m="1" x="386"/>
        <item x="182"/>
        <item x="183"/>
        <item x="95"/>
        <item m="1" x="436"/>
        <item x="74"/>
        <item x="18"/>
        <item x="184"/>
        <item x="185"/>
        <item x="193"/>
        <item x="43"/>
        <item m="1" x="941"/>
        <item x="168"/>
        <item x="162"/>
        <item x="163"/>
        <item x="169"/>
        <item x="196"/>
        <item x="99"/>
        <item m="1" x="580"/>
        <item x="44"/>
        <item x="56"/>
        <item x="59"/>
        <item x="61"/>
        <item m="1" x="727"/>
        <item m="1" x="221"/>
        <item m="1" x="378"/>
        <item x="98"/>
        <item x="111"/>
        <item m="1" x="231"/>
        <item x="128"/>
        <item m="1" x="638"/>
        <item m="1" x="286"/>
        <item m="1" x="966"/>
        <item m="1" x="424"/>
        <item m="1" x="341"/>
        <item x="198"/>
        <item x="199"/>
        <item m="1" x="263"/>
        <item m="1" x="326"/>
        <item m="1" x="937"/>
        <item x="30"/>
        <item m="1" x="439"/>
        <item m="1" x="528"/>
        <item m="1" x="256"/>
        <item m="1" x="478"/>
        <item m="1" x="338"/>
        <item m="1" x="348"/>
        <item m="1" x="497"/>
        <item m="1" x="357"/>
        <item m="1" x="534"/>
        <item m="1" x="1054"/>
        <item m="1" x="415"/>
        <item m="1" x="979"/>
        <item m="1" x="1037"/>
        <item m="1" x="776"/>
        <item x="117"/>
        <item m="1" x="897"/>
        <item m="1" x="282"/>
        <item m="1" x="585"/>
        <item x="164"/>
        <item m="1" x="608"/>
        <item m="1" x="788"/>
        <item m="1" x="736"/>
        <item x="118"/>
        <item m="1" x="824"/>
        <item m="1" x="394"/>
        <item m="1" x="609"/>
        <item m="1" x="684"/>
        <item m="1" x="295"/>
        <item m="1" x="889"/>
        <item m="1" x="570"/>
        <item x="7"/>
        <item m="1" x="496"/>
        <item m="1" x="1081"/>
        <item m="1" x="686"/>
        <item m="1" x="1017"/>
        <item m="1" x="516"/>
        <item m="1" x="978"/>
        <item m="1" x="408"/>
        <item m="1" x="547"/>
        <item m="1" x="522"/>
        <item x="101"/>
        <item x="102"/>
        <item x="123"/>
        <item x="126"/>
        <item m="1" x="707"/>
        <item x="103"/>
        <item m="1" x="417"/>
        <item x="106"/>
        <item x="200"/>
        <item x="104"/>
        <item x="125"/>
        <item m="1" x="1042"/>
        <item m="1" x="430"/>
        <item x="36"/>
        <item m="1" x="884"/>
        <item x="6"/>
        <item m="1" x="840"/>
        <item m="1" x="1009"/>
        <item x="31"/>
        <item m="1" x="306"/>
        <item m="1" x="558"/>
        <item m="1" x="896"/>
        <item x="41"/>
        <item m="1" x="409"/>
        <item m="1" x="973"/>
        <item m="1" x="317"/>
        <item x="201"/>
        <item x="46"/>
        <item m="1" x="675"/>
        <item m="1" x="223"/>
        <item x="178"/>
        <item x="113"/>
        <item m="1" x="717"/>
        <item m="1" x="591"/>
        <item m="1" x="812"/>
        <item m="1" x="870"/>
        <item m="1" x="702"/>
        <item m="1" x="549"/>
        <item m="1" x="365"/>
        <item m="1" x="631"/>
        <item m="1" x="962"/>
        <item m="1" x="395"/>
        <item m="1" x="667"/>
        <item m="1" x="519"/>
        <item m="1" x="1015"/>
        <item m="1" x="387"/>
        <item m="1" x="443"/>
        <item m="1" x="895"/>
        <item m="1" x="514"/>
        <item m="1" x="373"/>
        <item m="1" x="433"/>
        <item m="1" x="989"/>
        <item x="42"/>
        <item m="1" x="366"/>
        <item m="1" x="315"/>
        <item x="170"/>
        <item m="1" x="383"/>
        <item m="1" x="619"/>
        <item m="1" x="600"/>
        <item m="1" x="900"/>
        <item x="165"/>
        <item m="1" x="556"/>
        <item m="1" x="302"/>
        <item m="1" x="456"/>
        <item m="1" x="647"/>
        <item m="1" x="532"/>
        <item m="1" x="298"/>
        <item m="1" x="904"/>
        <item m="1" x="557"/>
        <item m="1" x="761"/>
        <item m="1" x="402"/>
        <item m="1" x="485"/>
        <item m="1" x="932"/>
        <item m="1" x="997"/>
        <item m="1" x="401"/>
        <item m="1" x="468"/>
        <item m="1" x="1068"/>
        <item x="8"/>
        <item x="11"/>
        <item x="39"/>
        <item m="1" x="842"/>
        <item x="186"/>
        <item m="1" x="801"/>
        <item m="1" x="410"/>
        <item m="1" x="595"/>
        <item x="119"/>
        <item m="1" x="240"/>
        <item m="1" x="520"/>
        <item m="1" x="213"/>
        <item x="177"/>
        <item m="1" x="1047"/>
        <item m="1" x="835"/>
        <item m="1" x="914"/>
        <item m="1" x="517"/>
        <item m="1" x="1070"/>
        <item x="130"/>
        <item m="1" x="545"/>
        <item m="1" x="700"/>
        <item m="1" x="603"/>
        <item m="1" x="576"/>
        <item m="1" x="418"/>
        <item m="1" x="726"/>
        <item m="1" x="457"/>
        <item m="1" x="724"/>
        <item m="1" x="627"/>
        <item m="1" x="696"/>
        <item m="1" x="388"/>
        <item m="1" x="266"/>
        <item m="1" x="494"/>
        <item m="1" x="863"/>
        <item m="1" x="345"/>
        <item m="1" x="618"/>
        <item m="1" x="1021"/>
        <item m="1" x="623"/>
        <item m="1" x="270"/>
        <item m="1" x="512"/>
        <item m="1" x="656"/>
        <item m="1" x="1030"/>
        <item m="1" x="541"/>
        <item m="1" x="862"/>
        <item m="1" x="756"/>
        <item m="1" x="242"/>
        <item x="203"/>
        <item x="187"/>
        <item m="1" x="690"/>
        <item m="1" x="309"/>
        <item m="1" x="729"/>
        <item m="1" x="1020"/>
        <item m="1" x="368"/>
        <item m="1" x="465"/>
        <item m="1" x="216"/>
        <item m="1" x="353"/>
        <item x="204"/>
        <item m="1" x="815"/>
        <item x="129"/>
        <item m="1" x="551"/>
        <item m="1" x="757"/>
        <item m="1" x="610"/>
        <item m="1" x="225"/>
        <item m="1" x="377"/>
        <item x="135"/>
        <item m="1" x="604"/>
        <item x="179"/>
        <item m="1" x="643"/>
        <item m="1" x="1022"/>
        <item m="1" x="1014"/>
        <item m="1" x="511"/>
        <item m="1" x="489"/>
        <item x="45"/>
        <item m="1" x="1038"/>
        <item m="1" x="816"/>
        <item m="1" x="861"/>
        <item m="1" x="698"/>
        <item m="1" x="852"/>
        <item m="1" x="887"/>
        <item m="1" x="562"/>
        <item m="1" x="917"/>
        <item m="1" x="720"/>
        <item m="1" x="899"/>
        <item m="1" x="903"/>
        <item x="166"/>
        <item m="1" x="217"/>
        <item m="1" x="308"/>
        <item m="1" x="560"/>
        <item x="188"/>
        <item m="1" x="1085"/>
        <item x="15"/>
        <item m="1" x="699"/>
        <item m="1" x="565"/>
        <item m="1" x="1061"/>
        <item x="171"/>
        <item x="207"/>
        <item m="1" x="313"/>
        <item x="189"/>
        <item x="82"/>
        <item x="83"/>
        <item m="1" x="703"/>
        <item m="1" x="536"/>
        <item m="1" x="834"/>
        <item m="1" x="669"/>
        <item m="1" x="704"/>
        <item m="1" x="320"/>
        <item m="1" x="435"/>
        <item m="1" x="492"/>
        <item m="1" x="602"/>
        <item m="1" x="873"/>
        <item x="172"/>
        <item m="1" x="245"/>
        <item m="1" x="943"/>
        <item m="1" x="860"/>
        <item m="1" x="252"/>
        <item m="1" x="950"/>
        <item m="1" x="858"/>
        <item m="1" x="501"/>
        <item m="1" x="429"/>
        <item m="1" x="806"/>
        <item m="1" x="582"/>
        <item m="1" x="872"/>
        <item m="1" x="692"/>
        <item x="67"/>
        <item m="1" x="589"/>
        <item m="1" x="874"/>
        <item m="1" x="310"/>
        <item m="1" x="927"/>
        <item m="1" x="841"/>
        <item m="1" x="1087"/>
        <item m="1" x="380"/>
        <item m="1" x="290"/>
        <item m="1" x="1008"/>
        <item m="1" x="930"/>
        <item m="1" x="795"/>
        <item m="1" x="778"/>
        <item m="1" x="881"/>
        <item x="68"/>
        <item x="180"/>
        <item m="1" x="218"/>
        <item m="1" x="508"/>
        <item m="1" x="1063"/>
        <item x="173"/>
        <item x="208"/>
        <item m="1" x="526"/>
        <item x="174"/>
        <item x="175"/>
        <item m="1" x="351"/>
        <item m="1" x="768"/>
        <item m="1" x="701"/>
        <item m="1" x="763"/>
        <item m="1" x="781"/>
        <item m="1" x="590"/>
        <item m="1" x="243"/>
        <item m="1" x="630"/>
        <item m="1" x="1059"/>
        <item m="1" x="819"/>
        <item m="1" x="1065"/>
        <item m="1" x="1056"/>
        <item m="1" x="1057"/>
        <item m="1" x="885"/>
        <item m="1" x="1058"/>
        <item m="1" x="836"/>
        <item m="1" x="961"/>
        <item m="1" x="224"/>
        <item m="1" x="740"/>
        <item m="1" x="1083"/>
        <item m="1" x="1041"/>
        <item m="1" x="731"/>
        <item m="1" x="579"/>
        <item m="1" x="498"/>
        <item m="1" x="407"/>
        <item m="1" x="257"/>
        <item m="1" x="1019"/>
        <item m="1" x="566"/>
        <item m="1" x="584"/>
        <item m="1" x="793"/>
        <item m="1" x="1091"/>
        <item m="1" x="1018"/>
        <item m="1" x="635"/>
        <item m="1" x="934"/>
        <item m="1" x="288"/>
        <item m="1" x="461"/>
        <item x="209"/>
        <item m="1" x="711"/>
        <item m="1" x="1027"/>
        <item m="1" x="1053"/>
        <item m="1" x="1028"/>
        <item m="1" x="739"/>
        <item m="1" x="668"/>
        <item m="1" x="535"/>
        <item m="1" x="452"/>
        <item m="1" x="405"/>
        <item m="1" x="255"/>
        <item m="1" x="403"/>
        <item m="1" x="230"/>
        <item m="1" x="215"/>
        <item m="1" x="871"/>
        <item m="1" x="420"/>
        <item m="1" x="639"/>
        <item m="1" x="422"/>
        <item m="1" x="572"/>
        <item m="1" x="269"/>
        <item m="1" x="362"/>
        <item m="1" x="797"/>
        <item m="1" x="988"/>
        <item m="1" x="352"/>
        <item m="1" x="521"/>
        <item m="1" x="1079"/>
        <item m="1" x="537"/>
        <item m="1" x="460"/>
        <item m="1" x="808"/>
        <item m="1" x="772"/>
        <item x="176"/>
        <item m="1" x="318"/>
        <item x="112"/>
        <item m="1" x="654"/>
        <item m="1" x="319"/>
        <item m="1" x="865"/>
        <item m="1" x="355"/>
        <item m="1" x="855"/>
        <item m="1" x="632"/>
        <item m="1" x="878"/>
        <item m="1" x="458"/>
        <item x="190"/>
        <item x="210"/>
        <item m="1" x="305"/>
        <item m="1" x="825"/>
        <item x="211"/>
        <item m="1" x="1043"/>
        <item m="1" x="1039"/>
        <item m="1" x="977"/>
        <item m="1" x="915"/>
        <item m="1" x="459"/>
        <item x="84"/>
        <item x="167"/>
        <item x="194"/>
        <item m="1" x="959"/>
        <item m="1" x="802"/>
        <item m="1" x="709"/>
        <item m="1" x="509"/>
        <item m="1" x="601"/>
        <item m="1" x="920"/>
        <item m="1" x="807"/>
        <item m="1" x="737"/>
        <item m="1" x="597"/>
        <item m="1" x="1089"/>
        <item m="1" x="1074"/>
        <item x="212"/>
        <item m="1" x="642"/>
        <item m="1" x="259"/>
        <item m="1" x="888"/>
        <item m="1" x="906"/>
        <item m="1" x="907"/>
        <item m="1" x="980"/>
        <item m="1" x="328"/>
        <item m="1" x="629"/>
        <item m="1" x="437"/>
        <item m="1" x="438"/>
        <item m="1" x="1051"/>
        <item m="1" x="993"/>
        <item m="1" x="645"/>
        <item m="1" x="975"/>
        <item m="1" x="625"/>
        <item m="1" x="1035"/>
        <item m="1" x="626"/>
        <item m="1" x="970"/>
        <item m="1" x="552"/>
        <item m="1" x="843"/>
        <item m="1" x="746"/>
        <item m="1" x="925"/>
        <item m="1" x="264"/>
        <item m="1" x="481"/>
        <item m="1" x="284"/>
        <item m="1" x="742"/>
        <item m="1" x="683"/>
        <item m="1" x="714"/>
        <item x="120"/>
        <item m="1" x="445"/>
        <item m="1" x="588"/>
        <item m="1" x="376"/>
        <item m="1" x="360"/>
        <item m="1" x="929"/>
        <item m="1" x="453"/>
        <item m="1" x="441"/>
        <item m="1" x="923"/>
        <item m="1" x="428"/>
        <item m="1" x="931"/>
        <item m="1" x="470"/>
        <item m="1" x="222"/>
        <item m="1" x="1004"/>
        <item m="1" x="673"/>
        <item m="1" x="853"/>
        <item m="1" x="723"/>
        <item m="1" x="617"/>
        <item m="1" x="471"/>
        <item m="1" x="599"/>
        <item m="1" x="677"/>
        <item m="1" x="553"/>
        <item m="1" x="393"/>
        <item m="1" x="1048"/>
        <item m="1" x="371"/>
        <item m="1" x="477"/>
        <item m="1" x="1000"/>
        <item m="1" x="569"/>
        <item m="1" x="540"/>
        <item m="1" x="912"/>
        <item m="1" x="648"/>
        <item m="1" x="384"/>
        <item m="1" x="831"/>
        <item m="1" x="575"/>
        <item m="1" x="594"/>
        <item m="1" x="587"/>
        <item m="1" x="233"/>
        <item m="1" x="640"/>
        <item m="1" x="440"/>
        <item m="1" x="331"/>
        <item m="1" x="1076"/>
        <item m="1" x="634"/>
        <item m="1" x="334"/>
        <item m="1" x="933"/>
        <item m="1" x="592"/>
        <item m="1" x="620"/>
        <item m="1" x="253"/>
        <item m="1" x="359"/>
        <item m="1" x="879"/>
        <item m="1" x="561"/>
        <item m="1" x="676"/>
        <item m="1" x="262"/>
        <item m="1" x="662"/>
        <item m="1" x="792"/>
        <item m="1" x="361"/>
        <item m="1" x="467"/>
        <item m="1" x="379"/>
        <item m="1" x="487"/>
        <item m="1" x="475"/>
        <item m="1" x="312"/>
        <item m="1" x="990"/>
        <item m="1" x="854"/>
        <item m="1" x="644"/>
        <item m="1" x="241"/>
        <item m="1" x="743"/>
        <item m="1" x="954"/>
        <item m="1" x="833"/>
        <item m="1" x="577"/>
        <item m="1" x="612"/>
        <item m="1" x="759"/>
        <item m="1" x="390"/>
        <item m="1" x="892"/>
        <item m="1" x="682"/>
        <item m="1" x="596"/>
        <item m="1" x="832"/>
        <item m="1" x="798"/>
        <item m="1" x="767"/>
        <item m="1" x="734"/>
        <item m="1" x="969"/>
        <item m="1" x="748"/>
        <item m="1" x="248"/>
        <item m="1" x="234"/>
        <item m="1" x="382"/>
        <item m="1" x="762"/>
        <item m="1" x="423"/>
        <item m="1" x="747"/>
        <item m="1" x="949"/>
        <item m="1" x="444"/>
        <item m="1" x="391"/>
        <item m="1" x="749"/>
        <item m="1" x="722"/>
        <item m="1" x="486"/>
        <item m="1" x="482"/>
        <item m="1" x="948"/>
        <item m="1" x="513"/>
        <item m="1" x="820"/>
        <item m="1" x="744"/>
        <item m="1" x="976"/>
        <item m="1" x="1010"/>
        <item m="1" x="292"/>
        <item m="1" x="1062"/>
        <item m="1" x="695"/>
        <item m="1" x="530"/>
        <item m="1" x="916"/>
        <item m="1" x="303"/>
        <item m="1" x="982"/>
        <item m="1" x="828"/>
        <item m="1" x="527"/>
        <item m="1" x="502"/>
        <item m="1" x="483"/>
        <item m="1" x="544"/>
        <item m="1" x="894"/>
        <item m="1" x="479"/>
        <item m="1" x="228"/>
        <item m="1" x="984"/>
        <item m="1" x="910"/>
        <item m="1" x="660"/>
        <item m="1" x="571"/>
        <item m="1" x="944"/>
        <item m="1" x="637"/>
        <item m="1" x="606"/>
        <item m="1" x="314"/>
        <item m="1" x="554"/>
        <item m="1" x="681"/>
        <item m="1" x="653"/>
        <item m="1" x="659"/>
        <item m="1" x="239"/>
        <item m="1" x="325"/>
        <item m="1" x="466"/>
        <item m="1" x="389"/>
        <item m="1" x="908"/>
        <item m="1" x="911"/>
        <item m="1" x="844"/>
        <item m="1" x="867"/>
        <item m="1" x="454"/>
        <item m="1" x="1073"/>
        <item m="1" x="583"/>
        <item m="1" x="293"/>
        <item m="1" x="898"/>
        <item m="1" x="567"/>
        <item m="1" x="488"/>
        <item m="1" x="411"/>
        <item m="1" x="237"/>
        <item m="1" x="214"/>
        <item x="76"/>
        <item m="1" x="451"/>
        <item m="1" x="789"/>
        <item m="1" x="254"/>
        <item m="1" x="838"/>
        <item m="1" x="811"/>
        <item m="1" x="258"/>
        <item m="1" x="641"/>
        <item m="1" x="928"/>
        <item m="1" x="615"/>
        <item m="1" x="1023"/>
        <item m="1" x="868"/>
        <item m="1" x="968"/>
        <item m="1" x="661"/>
        <item m="1" x="268"/>
        <item m="1" x="945"/>
        <item m="1" x="823"/>
        <item m="1" x="849"/>
        <item m="1" x="425"/>
        <item m="1" x="574"/>
        <item m="1" x="883"/>
        <item m="1" x="546"/>
        <item m="1" x="926"/>
        <item m="1" x="369"/>
        <item m="1" x="715"/>
        <item m="1" x="469"/>
        <item m="1" x="307"/>
        <item m="1" x="784"/>
        <item m="1" x="803"/>
        <item m="1" x="622"/>
        <item m="1" x="693"/>
        <item m="1" x="694"/>
        <item m="1" x="688"/>
        <item m="1" x="974"/>
        <item m="1" x="381"/>
        <item m="1" x="986"/>
        <item m="1" x="1046"/>
        <item m="1" x="346"/>
        <item m="1" x="274"/>
        <item m="1" x="343"/>
        <item m="1" x="766"/>
        <item m="1" x="735"/>
        <item m="1" x="404"/>
        <item m="1" x="991"/>
        <item m="1" x="826"/>
        <item m="1" x="227"/>
        <item m="1" x="335"/>
        <item m="1" x="947"/>
        <item m="1" x="578"/>
        <item m="1" x="829"/>
        <item m="1" x="810"/>
        <item m="1" x="791"/>
        <item m="1" x="672"/>
        <item m="1" x="563"/>
        <item m="1" x="538"/>
        <item m="1" x="251"/>
        <item m="1" x="363"/>
        <item m="1" x="960"/>
        <item m="1" x="1024"/>
        <item m="1" x="719"/>
        <item m="1" x="1069"/>
        <item m="1" x="283"/>
        <item m="1" x="758"/>
        <item m="1" x="821"/>
        <item m="1" x="1016"/>
        <item m="1" x="901"/>
        <item m="1" x="845"/>
        <item m="1" x="1033"/>
        <item m="1" x="796"/>
        <item m="1" x="691"/>
        <item m="1" x="349"/>
        <item m="1" x="725"/>
        <item m="1" x="922"/>
        <item m="1" x="1092"/>
        <item m="1" x="876"/>
        <item m="1" x="495"/>
        <item m="1" x="732"/>
        <item m="1" x="1064"/>
        <item m="1" x="678"/>
        <item m="1" x="543"/>
        <item m="1" x="665"/>
        <item m="1" x="573"/>
        <item m="1" x="1025"/>
        <item m="1" x="685"/>
        <item m="1" x="999"/>
        <item m="1" x="750"/>
        <item m="1" x="446"/>
        <item m="1" x="324"/>
        <item m="1" x="226"/>
        <item m="1" x="1006"/>
        <item m="1" x="246"/>
        <item m="1" x="664"/>
        <item m="1" x="333"/>
        <item m="1" x="994"/>
        <item m="1" x="1071"/>
        <item m="1" x="728"/>
        <item m="1" x="983"/>
        <item m="1" x="1060"/>
        <item m="1" x="687"/>
        <item m="1" x="972"/>
        <item m="1" x="354"/>
        <item m="1" x="942"/>
        <item m="1" x="238"/>
        <item m="1" x="782"/>
        <item m="1" x="493"/>
        <item m="1" x="555"/>
        <item m="1" x="1067"/>
        <item m="1" x="921"/>
        <item x="131"/>
        <item x="86"/>
        <item m="1" x="323"/>
        <item m="1" x="706"/>
        <item m="1" x="869"/>
        <item m="1" x="650"/>
        <item m="1" x="1084"/>
        <item m="1" x="774"/>
        <item m="1" x="995"/>
        <item m="1" x="1040"/>
        <item m="1" x="864"/>
        <item m="1" x="472"/>
        <item m="1" x="1032"/>
        <item m="1" x="327"/>
        <item m="1" x="936"/>
        <item m="1" x="751"/>
        <item m="1" x="364"/>
        <item m="1" x="1012"/>
        <item m="1" x="525"/>
        <item m="1" x="822"/>
        <item m="1" x="250"/>
        <item m="1" x="449"/>
        <item m="1" x="507"/>
        <item m="1" x="708"/>
        <item m="1" x="946"/>
        <item m="1" x="542"/>
        <item m="1" x="564"/>
        <item x="0"/>
        <item x="58"/>
        <item m="1" x="721"/>
        <item m="1" x="658"/>
        <item m="1" x="275"/>
        <item m="1" x="649"/>
        <item m="1" x="367"/>
        <item m="1" x="765"/>
        <item m="1" x="244"/>
        <item m="1" x="1055"/>
        <item m="1" x="846"/>
        <item m="1" x="568"/>
        <item m="1" x="1050"/>
        <item m="1" x="987"/>
        <item x="29"/>
        <item m="1" x="450"/>
        <item m="1" x="741"/>
        <item x="88"/>
        <item x="108"/>
        <item m="1" x="905"/>
        <item m="1" x="235"/>
        <item x="79"/>
        <item x="121"/>
        <item m="1" x="847"/>
        <item x="92"/>
        <item x="55"/>
        <item x="81"/>
        <item x="142"/>
        <item m="1" x="771"/>
        <item m="1" x="805"/>
        <item x="157"/>
        <item m="1" x="304"/>
        <item m="1" x="531"/>
        <item x="9"/>
        <item x="10"/>
        <item m="1" x="877"/>
        <item x="134"/>
        <item x="133"/>
        <item x="93"/>
        <item x="107"/>
        <item x="192"/>
        <item x="70"/>
        <item x="71"/>
        <item x="85"/>
        <item x="127"/>
        <item x="114"/>
        <item x="80"/>
        <item x="47"/>
        <item m="1" x="817"/>
        <item x="48"/>
        <item x="115"/>
        <item x="62"/>
        <item x="63"/>
        <item x="57"/>
        <item x="24"/>
        <item x="206"/>
        <item m="1" x="882"/>
        <item x="33"/>
        <item x="97"/>
        <item x="100"/>
        <item x="105"/>
        <item x="109"/>
        <item x="110"/>
        <item x="122"/>
        <item m="1" x="523"/>
        <item x="89"/>
        <item x="197"/>
        <item x="34"/>
        <item x="66"/>
        <item x="136"/>
        <item x="137"/>
        <item x="138"/>
        <item x="139"/>
        <item x="140"/>
        <item x="141"/>
        <item x="143"/>
        <item x="144"/>
        <item x="145"/>
        <item x="146"/>
        <item x="147"/>
        <item x="148"/>
        <item x="96"/>
        <item x="149"/>
        <item x="150"/>
        <item x="151"/>
        <item x="195"/>
        <item x="153"/>
        <item x="154"/>
        <item x="155"/>
        <item x="156"/>
        <item x="202"/>
        <item x="205"/>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0"/>
        <item x="1"/>
        <item m="1" x="4"/>
        <item m="1" x="2"/>
        <item m="1" x="3"/>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427">
    <i>
      <x v="4"/>
      <x v="26"/>
    </i>
    <i t="default">
      <x v="4"/>
    </i>
    <i>
      <x v="5"/>
      <x v="26"/>
    </i>
    <i t="default">
      <x v="5"/>
    </i>
    <i>
      <x v="6"/>
      <x v="26"/>
    </i>
    <i t="default">
      <x v="6"/>
    </i>
    <i>
      <x v="7"/>
      <x v="26"/>
    </i>
    <i t="default">
      <x v="7"/>
    </i>
    <i>
      <x v="37"/>
      <x v="26"/>
    </i>
    <i t="default">
      <x v="37"/>
    </i>
    <i>
      <x v="47"/>
      <x v="26"/>
    </i>
    <i t="default">
      <x v="47"/>
    </i>
    <i>
      <x v="61"/>
      <x v="26"/>
    </i>
    <i t="default">
      <x v="61"/>
    </i>
    <i>
      <x v="65"/>
      <x v="26"/>
    </i>
    <i t="default">
      <x v="65"/>
    </i>
    <i>
      <x v="72"/>
      <x v="26"/>
    </i>
    <i t="default">
      <x v="72"/>
    </i>
    <i>
      <x v="77"/>
      <x v="26"/>
    </i>
    <i t="default">
      <x v="77"/>
    </i>
    <i>
      <x v="90"/>
      <x v="26"/>
    </i>
    <i t="default">
      <x v="90"/>
    </i>
    <i>
      <x v="97"/>
      <x v="26"/>
    </i>
    <i t="default">
      <x v="97"/>
    </i>
    <i>
      <x v="99"/>
      <x v="26"/>
    </i>
    <i t="default">
      <x v="99"/>
    </i>
    <i>
      <x v="100"/>
      <x v="26"/>
    </i>
    <i t="default">
      <x v="100"/>
    </i>
    <i>
      <x v="103"/>
      <x v="26"/>
    </i>
    <i t="default">
      <x v="103"/>
    </i>
    <i>
      <x v="120"/>
      <x v="26"/>
    </i>
    <i t="default">
      <x v="120"/>
    </i>
    <i>
      <x v="121"/>
      <x v="26"/>
    </i>
    <i t="default">
      <x v="121"/>
    </i>
    <i>
      <x v="122"/>
      <x v="26"/>
    </i>
    <i t="default">
      <x v="122"/>
    </i>
    <i>
      <x v="126"/>
      <x v="26"/>
    </i>
    <i t="default">
      <x v="126"/>
    </i>
    <i>
      <x v="131"/>
      <x v="26"/>
    </i>
    <i t="default">
      <x v="131"/>
    </i>
    <i>
      <x v="133"/>
      <x v="26"/>
    </i>
    <i t="default">
      <x v="133"/>
    </i>
    <i>
      <x v="137"/>
      <x v="26"/>
    </i>
    <i t="default">
      <x v="137"/>
    </i>
    <i>
      <x v="139"/>
      <x v="26"/>
    </i>
    <i t="default">
      <x v="139"/>
    </i>
    <i>
      <x v="141"/>
      <x v="26"/>
    </i>
    <i t="default">
      <x v="141"/>
    </i>
    <i>
      <x v="142"/>
      <x v="26"/>
    </i>
    <i t="default">
      <x v="142"/>
    </i>
    <i>
      <x v="143"/>
      <x v="26"/>
    </i>
    <i t="default">
      <x v="143"/>
    </i>
    <i>
      <x v="152"/>
      <x v="26"/>
    </i>
    <i t="default">
      <x v="152"/>
    </i>
    <i>
      <x v="153"/>
      <x v="26"/>
    </i>
    <i t="default">
      <x v="153"/>
    </i>
    <i>
      <x v="154"/>
      <x v="26"/>
    </i>
    <i t="default">
      <x v="154"/>
    </i>
    <i>
      <x v="155"/>
      <x v="26"/>
    </i>
    <i t="default">
      <x v="155"/>
    </i>
    <i>
      <x v="157"/>
      <x v="26"/>
    </i>
    <i t="default">
      <x v="157"/>
    </i>
    <i>
      <x v="163"/>
      <x v="26"/>
    </i>
    <i t="default">
      <x v="163"/>
    </i>
    <i>
      <x v="180"/>
      <x v="26"/>
    </i>
    <i t="default">
      <x v="180"/>
    </i>
    <i>
      <x v="187"/>
      <x v="26"/>
    </i>
    <i t="default">
      <x v="187"/>
    </i>
    <i>
      <x v="201"/>
      <x v="26"/>
    </i>
    <i t="default">
      <x v="201"/>
    </i>
    <i>
      <x v="202"/>
      <x v="26"/>
    </i>
    <i t="default">
      <x v="202"/>
    </i>
    <i>
      <x v="235"/>
      <x v="26"/>
    </i>
    <i t="default">
      <x v="235"/>
    </i>
    <i>
      <x v="238"/>
      <x v="26"/>
    </i>
    <i t="default">
      <x v="238"/>
    </i>
    <i>
      <x v="244"/>
      <x v="26"/>
    </i>
    <i t="default">
      <x v="244"/>
    </i>
    <i>
      <x v="250"/>
      <x v="26"/>
    </i>
    <i t="default">
      <x v="250"/>
    </i>
    <i>
      <x v="257"/>
      <x v="26"/>
    </i>
    <i t="default">
      <x v="257"/>
    </i>
    <i>
      <x v="259"/>
      <x v="26"/>
    </i>
    <i t="default">
      <x v="259"/>
    </i>
    <i>
      <x v="260"/>
      <x v="26"/>
    </i>
    <i t="default">
      <x v="260"/>
    </i>
    <i>
      <x v="269"/>
      <x v="26"/>
    </i>
    <i t="default">
      <x v="269"/>
    </i>
    <i>
      <x v="272"/>
      <x v="26"/>
    </i>
    <i t="default">
      <x v="272"/>
    </i>
    <i>
      <x v="273"/>
      <x v="26"/>
    </i>
    <i t="default">
      <x v="273"/>
    </i>
    <i>
      <x v="274"/>
      <x v="26"/>
    </i>
    <i t="default">
      <x v="274"/>
    </i>
    <i>
      <x v="275"/>
      <x v="26"/>
    </i>
    <i t="default">
      <x v="275"/>
    </i>
    <i>
      <x v="276"/>
      <x v="26"/>
    </i>
    <i t="default">
      <x v="276"/>
    </i>
    <i>
      <x v="277"/>
      <x v="26"/>
    </i>
    <i t="default">
      <x v="277"/>
    </i>
    <i>
      <x v="278"/>
      <x v="26"/>
    </i>
    <i t="default">
      <x v="278"/>
    </i>
    <i>
      <x v="279"/>
      <x v="26"/>
    </i>
    <i t="default">
      <x v="279"/>
    </i>
    <i>
      <x v="286"/>
      <x v="26"/>
    </i>
    <i t="default">
      <x v="286"/>
    </i>
    <i>
      <x v="289"/>
      <x v="26"/>
    </i>
    <i t="default">
      <x v="289"/>
    </i>
    <i>
      <x v="290"/>
      <x v="26"/>
    </i>
    <i t="default">
      <x v="290"/>
    </i>
    <i>
      <x v="291"/>
      <x v="26"/>
    </i>
    <i t="default">
      <x v="291"/>
    </i>
    <i>
      <x v="293"/>
      <x v="26"/>
    </i>
    <i t="default">
      <x v="293"/>
    </i>
    <i>
      <x v="294"/>
      <x v="26"/>
    </i>
    <i t="default">
      <x v="294"/>
    </i>
    <i>
      <x v="295"/>
      <x v="26"/>
    </i>
    <i t="default">
      <x v="295"/>
    </i>
    <i>
      <x v="296"/>
      <x v="26"/>
    </i>
    <i t="default">
      <x v="296"/>
    </i>
    <i>
      <x v="297"/>
      <x v="26"/>
    </i>
    <i t="default">
      <x v="297"/>
    </i>
    <i>
      <x v="298"/>
      <x v="26"/>
    </i>
    <i t="default">
      <x v="298"/>
    </i>
    <i>
      <x v="300"/>
      <x v="26"/>
    </i>
    <i t="default">
      <x v="300"/>
    </i>
    <i>
      <x v="301"/>
      <x v="26"/>
    </i>
    <i t="default">
      <x v="301"/>
    </i>
    <i>
      <x v="302"/>
      <x v="26"/>
    </i>
    <i t="default">
      <x v="302"/>
    </i>
    <i>
      <x v="303"/>
      <x v="26"/>
    </i>
    <i t="default">
      <x v="303"/>
    </i>
    <i>
      <x v="304"/>
      <x v="26"/>
    </i>
    <i t="default">
      <x v="304"/>
    </i>
    <i>
      <x v="305"/>
      <x v="26"/>
    </i>
    <i t="default">
      <x v="305"/>
    </i>
    <i>
      <x v="307"/>
      <x v="26"/>
    </i>
    <i t="default">
      <x v="307"/>
    </i>
    <i>
      <x v="308"/>
      <x v="26"/>
    </i>
    <i t="default">
      <x v="308"/>
    </i>
    <i>
      <x v="309"/>
      <x v="26"/>
    </i>
    <i t="default">
      <x v="309"/>
    </i>
    <i>
      <x v="310"/>
      <x v="26"/>
    </i>
    <i t="default">
      <x v="310"/>
    </i>
    <i>
      <x v="314"/>
      <x v="26"/>
    </i>
    <i t="default">
      <x v="314"/>
    </i>
    <i>
      <x v="315"/>
      <x v="26"/>
    </i>
    <i t="default">
      <x v="315"/>
    </i>
    <i>
      <x v="317"/>
      <x v="26"/>
    </i>
    <i t="default">
      <x v="317"/>
    </i>
    <i>
      <x v="323"/>
      <x v="26"/>
    </i>
    <i t="default">
      <x v="323"/>
    </i>
    <i>
      <x v="324"/>
      <x v="26"/>
    </i>
    <i t="default">
      <x v="324"/>
    </i>
    <i>
      <x v="328"/>
      <x v="26"/>
    </i>
    <i t="default">
      <x v="328"/>
    </i>
    <i>
      <x v="343"/>
      <x v="26"/>
    </i>
    <i t="default">
      <x v="343"/>
    </i>
    <i>
      <x v="347"/>
      <x v="26"/>
    </i>
    <i t="default">
      <x v="347"/>
    </i>
    <i>
      <x v="351"/>
      <x v="26"/>
    </i>
    <i t="default">
      <x v="351"/>
    </i>
    <i>
      <x v="359"/>
      <x v="26"/>
    </i>
    <i t="default">
      <x v="359"/>
    </i>
    <i>
      <x v="369"/>
      <x v="26"/>
    </i>
    <i t="default">
      <x v="369"/>
    </i>
    <i>
      <x v="370"/>
      <x v="26"/>
    </i>
    <i t="default">
      <x v="370"/>
    </i>
    <i>
      <x v="371"/>
      <x v="26"/>
    </i>
    <i t="default">
      <x v="371"/>
    </i>
    <i>
      <x v="372"/>
      <x v="26"/>
    </i>
    <i t="default">
      <x v="372"/>
    </i>
    <i>
      <x v="374"/>
      <x v="26"/>
    </i>
    <i t="default">
      <x v="374"/>
    </i>
    <i>
      <x v="376"/>
      <x v="26"/>
    </i>
    <i t="default">
      <x v="376"/>
    </i>
    <i>
      <x v="377"/>
      <x v="26"/>
    </i>
    <i t="default">
      <x v="377"/>
    </i>
    <i>
      <x v="378"/>
      <x v="26"/>
    </i>
    <i t="default">
      <x v="378"/>
    </i>
    <i>
      <x v="379"/>
      <x v="26"/>
    </i>
    <i t="default">
      <x v="379"/>
    </i>
    <i>
      <x v="382"/>
      <x v="26"/>
    </i>
    <i t="default">
      <x v="382"/>
    </i>
    <i>
      <x v="384"/>
      <x v="26"/>
    </i>
    <i t="default">
      <x v="384"/>
    </i>
    <i>
      <x v="387"/>
      <x v="26"/>
    </i>
    <i t="default">
      <x v="387"/>
    </i>
    <i>
      <x v="391"/>
      <x v="26"/>
    </i>
    <i t="default">
      <x v="391"/>
    </i>
    <i>
      <x v="395"/>
      <x v="26"/>
    </i>
    <i t="default">
      <x v="395"/>
    </i>
    <i>
      <x v="396"/>
      <x v="26"/>
    </i>
    <i t="default">
      <x v="396"/>
    </i>
    <i>
      <x v="399"/>
      <x v="26"/>
    </i>
    <i t="default">
      <x v="399"/>
    </i>
    <i>
      <x v="400"/>
      <x v="26"/>
    </i>
    <i t="default">
      <x v="400"/>
    </i>
    <i>
      <x v="421"/>
      <x v="26"/>
    </i>
    <i t="default">
      <x v="421"/>
    </i>
    <i>
      <x v="424"/>
      <x v="26"/>
    </i>
    <i t="default">
      <x v="424"/>
    </i>
    <i>
      <x v="429"/>
      <x v="26"/>
    </i>
    <i t="default">
      <x v="429"/>
    </i>
    <i>
      <x v="446"/>
      <x v="26"/>
    </i>
    <i t="default">
      <x v="446"/>
    </i>
    <i>
      <x v="447"/>
      <x v="26"/>
    </i>
    <i t="default">
      <x v="447"/>
    </i>
    <i>
      <x v="448"/>
      <x v="26"/>
    </i>
    <i t="default">
      <x v="448"/>
    </i>
    <i>
      <x v="450"/>
      <x v="26"/>
    </i>
    <i t="default">
      <x v="450"/>
    </i>
    <i>
      <x v="454"/>
      <x v="26"/>
    </i>
    <i t="default">
      <x v="454"/>
    </i>
    <i>
      <x v="458"/>
      <x v="26"/>
    </i>
    <i t="default">
      <x v="458"/>
    </i>
    <i>
      <x v="464"/>
      <x v="26"/>
    </i>
    <i t="default">
      <x v="464"/>
    </i>
    <i>
      <x v="491"/>
      <x v="26"/>
    </i>
    <i t="default">
      <x v="491"/>
    </i>
    <i>
      <x v="492"/>
      <x v="26"/>
    </i>
    <i t="default">
      <x v="492"/>
    </i>
    <i>
      <x v="501"/>
      <x v="26"/>
    </i>
    <i t="default">
      <x v="501"/>
    </i>
    <i>
      <x v="503"/>
      <x v="26"/>
    </i>
    <i t="default">
      <x v="503"/>
    </i>
    <i>
      <x v="509"/>
      <x v="26"/>
    </i>
    <i t="default">
      <x v="509"/>
    </i>
    <i>
      <x v="511"/>
      <x v="26"/>
    </i>
    <i t="default">
      <x v="511"/>
    </i>
    <i>
      <x v="517"/>
      <x v="26"/>
    </i>
    <i t="default">
      <x v="517"/>
    </i>
    <i>
      <x v="529"/>
      <x v="26"/>
    </i>
    <i t="default">
      <x v="529"/>
    </i>
    <i>
      <x v="533"/>
      <x v="26"/>
    </i>
    <i t="default">
      <x v="533"/>
    </i>
    <i>
      <x v="535"/>
      <x v="26"/>
    </i>
    <i t="default">
      <x v="535"/>
    </i>
    <i>
      <x v="539"/>
      <x v="26"/>
    </i>
    <i t="default">
      <x v="539"/>
    </i>
    <i>
      <x v="540"/>
      <x v="26"/>
    </i>
    <i t="default">
      <x v="540"/>
    </i>
    <i>
      <x v="542"/>
      <x v="26"/>
    </i>
    <i t="default">
      <x v="542"/>
    </i>
    <i>
      <x v="543"/>
      <x v="26"/>
    </i>
    <i t="default">
      <x v="543"/>
    </i>
    <i>
      <x v="544"/>
      <x v="26"/>
    </i>
    <i t="default">
      <x v="544"/>
    </i>
    <i>
      <x v="555"/>
      <x v="26"/>
    </i>
    <i t="default">
      <x v="555"/>
    </i>
    <i>
      <x v="568"/>
      <x v="26"/>
    </i>
    <i t="default">
      <x v="568"/>
    </i>
    <i>
      <x v="582"/>
      <x v="26"/>
    </i>
    <i t="default">
      <x v="582"/>
    </i>
    <i>
      <x v="583"/>
      <x v="26"/>
    </i>
    <i t="default">
      <x v="583"/>
    </i>
    <i>
      <x v="587"/>
      <x v="26"/>
    </i>
    <i t="default">
      <x v="587"/>
    </i>
    <i>
      <x v="588"/>
      <x v="26"/>
    </i>
    <i t="default">
      <x v="588"/>
    </i>
    <i>
      <x v="590"/>
      <x v="26"/>
    </i>
    <i t="default">
      <x v="590"/>
    </i>
    <i>
      <x v="591"/>
      <x v="26"/>
    </i>
    <i t="default">
      <x v="591"/>
    </i>
    <i>
      <x v="628"/>
      <x v="26"/>
    </i>
    <i t="default">
      <x v="628"/>
    </i>
    <i>
      <x v="658"/>
      <x v="26"/>
    </i>
    <i t="default">
      <x v="658"/>
    </i>
    <i>
      <x v="660"/>
      <x v="26"/>
    </i>
    <i t="default">
      <x v="660"/>
    </i>
    <i>
      <x v="669"/>
      <x v="26"/>
    </i>
    <i t="default">
      <x v="669"/>
    </i>
    <i>
      <x v="670"/>
      <x v="26"/>
    </i>
    <i t="default">
      <x v="670"/>
    </i>
    <i>
      <x v="673"/>
      <x v="26"/>
    </i>
    <i t="default">
      <x v="673"/>
    </i>
    <i>
      <x v="679"/>
      <x v="26"/>
    </i>
    <i t="default">
      <x v="679"/>
    </i>
    <i>
      <x v="680"/>
      <x v="26"/>
    </i>
    <i t="default">
      <x v="680"/>
    </i>
    <i>
      <x v="681"/>
      <x v="26"/>
    </i>
    <i t="default">
      <x v="681"/>
    </i>
    <i>
      <x v="693"/>
      <x v="26"/>
    </i>
    <i t="default">
      <x v="693"/>
    </i>
    <i>
      <x v="722"/>
      <x v="26"/>
    </i>
    <i t="default">
      <x v="722"/>
    </i>
    <i>
      <x v="866"/>
      <x v="26"/>
    </i>
    <i t="default">
      <x v="866"/>
    </i>
    <i>
      <x v="974"/>
      <x v="26"/>
    </i>
    <i t="default">
      <x v="974"/>
    </i>
    <i>
      <x v="975"/>
      <x v="26"/>
    </i>
    <i t="default">
      <x v="975"/>
    </i>
    <i>
      <x v="1001"/>
      <x v="26"/>
    </i>
    <i t="default">
      <x v="1001"/>
    </i>
    <i>
      <x v="1002"/>
      <x v="26"/>
    </i>
    <i t="default">
      <x v="1002"/>
    </i>
    <i>
      <x v="1015"/>
      <x v="26"/>
    </i>
    <i t="default">
      <x v="1015"/>
    </i>
    <i>
      <x v="1018"/>
      <x v="26"/>
    </i>
    <i t="default">
      <x v="1018"/>
    </i>
    <i>
      <x v="1019"/>
      <x v="26"/>
    </i>
    <i t="default">
      <x v="1019"/>
    </i>
    <i>
      <x v="1022"/>
      <x v="26"/>
    </i>
    <i t="default">
      <x v="1022"/>
    </i>
    <i>
      <x v="1023"/>
      <x v="26"/>
    </i>
    <i t="default">
      <x v="1023"/>
    </i>
    <i>
      <x v="1025"/>
      <x v="26"/>
    </i>
    <i t="default">
      <x v="1025"/>
    </i>
    <i>
      <x v="1026"/>
      <x v="26"/>
    </i>
    <i t="default">
      <x v="1026"/>
    </i>
    <i>
      <x v="1027"/>
      <x v="26"/>
    </i>
    <i t="default">
      <x v="1027"/>
    </i>
    <i>
      <x v="1028"/>
      <x v="26"/>
    </i>
    <i t="default">
      <x v="1028"/>
    </i>
    <i>
      <x v="1031"/>
      <x v="26"/>
    </i>
    <i t="default">
      <x v="1031"/>
    </i>
    <i>
      <x v="1034"/>
      <x v="26"/>
    </i>
    <i t="default">
      <x v="1034"/>
    </i>
    <i>
      <x v="1035"/>
      <x v="26"/>
    </i>
    <i t="default">
      <x v="1035"/>
    </i>
    <i>
      <x v="1037"/>
      <x v="26"/>
    </i>
    <i t="default">
      <x v="1037"/>
    </i>
    <i>
      <x v="1038"/>
      <x v="26"/>
    </i>
    <i t="default">
      <x v="1038"/>
    </i>
    <i>
      <x v="1039"/>
      <x v="26"/>
    </i>
    <i t="default">
      <x v="1039"/>
    </i>
    <i>
      <x v="1040"/>
      <x v="26"/>
    </i>
    <i t="default">
      <x v="1040"/>
    </i>
    <i>
      <x v="1041"/>
      <x v="26"/>
    </i>
    <i t="default">
      <x v="1041"/>
    </i>
    <i>
      <x v="1042"/>
      <x v="26"/>
    </i>
    <i t="default">
      <x v="1042"/>
    </i>
    <i>
      <x v="1043"/>
      <x v="26"/>
    </i>
    <i t="default">
      <x v="1043"/>
    </i>
    <i>
      <x v="1044"/>
      <x v="26"/>
    </i>
    <i t="default">
      <x v="1044"/>
    </i>
    <i>
      <x v="1045"/>
      <x v="26"/>
    </i>
    <i t="default">
      <x v="1045"/>
    </i>
    <i>
      <x v="1046"/>
      <x v="26"/>
    </i>
    <i t="default">
      <x v="1046"/>
    </i>
    <i>
      <x v="1047"/>
      <x v="26"/>
    </i>
    <i t="default">
      <x v="1047"/>
    </i>
    <i>
      <x v="1048"/>
      <x v="26"/>
    </i>
    <i t="default">
      <x v="1048"/>
    </i>
    <i>
      <x v="1050"/>
      <x v="26"/>
    </i>
    <i t="default">
      <x v="1050"/>
    </i>
    <i>
      <x v="1051"/>
      <x v="26"/>
    </i>
    <i t="default">
      <x v="1051"/>
    </i>
    <i>
      <x v="1052"/>
      <x v="26"/>
    </i>
    <i t="default">
      <x v="1052"/>
    </i>
    <i>
      <x v="1053"/>
      <x v="26"/>
    </i>
    <i t="default">
      <x v="1053"/>
    </i>
    <i>
      <x v="1054"/>
      <x v="26"/>
    </i>
    <i t="default">
      <x v="1054"/>
    </i>
    <i>
      <x v="1055"/>
      <x v="26"/>
    </i>
    <i t="default">
      <x v="1055"/>
    </i>
    <i>
      <x v="1056"/>
      <x v="26"/>
    </i>
    <i t="default">
      <x v="1056"/>
    </i>
    <i>
      <x v="1058"/>
      <x v="26"/>
    </i>
    <i t="default">
      <x v="1058"/>
    </i>
    <i>
      <x v="1059"/>
      <x v="26"/>
    </i>
    <i t="default">
      <x v="1059"/>
    </i>
    <i>
      <x v="1060"/>
      <x v="26"/>
    </i>
    <i t="default">
      <x v="1060"/>
    </i>
    <i>
      <x v="1061"/>
      <x v="26"/>
    </i>
    <i t="default">
      <x v="1061"/>
    </i>
    <i>
      <x v="1062"/>
      <x v="26"/>
    </i>
    <i t="default">
      <x v="1062"/>
    </i>
    <i>
      <x v="1063"/>
      <x v="26"/>
    </i>
    <i t="default">
      <x v="1063"/>
    </i>
    <i>
      <x v="1064"/>
      <x v="26"/>
    </i>
    <i t="default">
      <x v="1064"/>
    </i>
    <i>
      <x v="1066"/>
      <x v="26"/>
    </i>
    <i t="default">
      <x v="1066"/>
    </i>
    <i>
      <x v="1067"/>
      <x v="26"/>
    </i>
    <i t="default">
      <x v="1067"/>
    </i>
    <i>
      <x v="1068"/>
      <x v="26"/>
    </i>
    <i t="default">
      <x v="1068"/>
    </i>
    <i>
      <x v="1069"/>
      <x v="26"/>
    </i>
    <i t="default">
      <x v="1069"/>
    </i>
    <i>
      <x v="1070"/>
      <x v="26"/>
    </i>
    <i t="default">
      <x v="1070"/>
    </i>
    <i>
      <x v="1071"/>
      <x v="26"/>
    </i>
    <i t="default">
      <x v="1071"/>
    </i>
    <i>
      <x v="1072"/>
      <x v="26"/>
    </i>
    <i t="default">
      <x v="1072"/>
    </i>
    <i>
      <x v="1073"/>
      <x v="26"/>
    </i>
    <i t="default">
      <x v="1073"/>
    </i>
    <i>
      <x v="1074"/>
      <x v="26"/>
    </i>
    <i t="default">
      <x v="1074"/>
    </i>
    <i>
      <x v="1075"/>
      <x v="26"/>
    </i>
    <i t="default">
      <x v="1075"/>
    </i>
    <i>
      <x v="1076"/>
      <x v="26"/>
    </i>
    <i t="default">
      <x v="1076"/>
    </i>
    <i>
      <x v="1077"/>
      <x v="26"/>
    </i>
    <i t="default">
      <x v="1077"/>
    </i>
    <i>
      <x v="1078"/>
      <x v="26"/>
    </i>
    <i t="default">
      <x v="1078"/>
    </i>
    <i>
      <x v="1079"/>
      <x v="26"/>
    </i>
    <i t="default">
      <x v="1079"/>
    </i>
    <i>
      <x v="1080"/>
      <x v="26"/>
    </i>
    <i t="default">
      <x v="1080"/>
    </i>
    <i>
      <x v="1081"/>
      <x v="26"/>
    </i>
    <i t="default">
      <x v="1081"/>
    </i>
    <i>
      <x v="1082"/>
      <x v="26"/>
    </i>
    <i t="default">
      <x v="1082"/>
    </i>
    <i>
      <x v="1083"/>
      <x v="26"/>
    </i>
    <i t="default">
      <x v="1083"/>
    </i>
    <i>
      <x v="1084"/>
      <x v="26"/>
    </i>
    <i t="default">
      <x v="1084"/>
    </i>
    <i>
      <x v="1085"/>
      <x v="26"/>
    </i>
    <i t="default">
      <x v="1085"/>
    </i>
    <i>
      <x v="1086"/>
      <x v="26"/>
    </i>
    <i t="default">
      <x v="1086"/>
    </i>
    <i>
      <x v="1087"/>
      <x v="26"/>
    </i>
    <i t="default">
      <x v="1087"/>
    </i>
    <i>
      <x v="1088"/>
      <x v="26"/>
    </i>
    <i t="default">
      <x v="1088"/>
    </i>
    <i>
      <x v="1089"/>
      <x v="26"/>
    </i>
    <i t="default">
      <x v="1089"/>
    </i>
    <i>
      <x v="1090"/>
      <x v="26"/>
    </i>
    <i t="default">
      <x v="1090"/>
    </i>
    <i>
      <x v="1091"/>
      <x v="26"/>
    </i>
    <i t="default">
      <x v="1091"/>
    </i>
    <i>
      <x v="1092"/>
      <x v="26"/>
    </i>
    <i t="default">
      <x v="1092"/>
    </i>
    <i t="grand">
      <x/>
    </i>
  </rowItems>
  <colFields count="1">
    <field x="-2"/>
  </colFields>
  <colItems count="3">
    <i>
      <x/>
    </i>
    <i i="1">
      <x v="1"/>
    </i>
    <i i="2">
      <x v="2"/>
    </i>
  </colItems>
  <pageFields count="1">
    <pageField fld="145" hier="-1"/>
  </pageFields>
  <dataFields count="3">
    <dataField name="# of People adopt basic personal and community hygiene practices" fld="119" baseField="0" baseItem="0"/>
    <dataField name="# of people access to functioning  sanitation facilities" fld="107" baseField="0" baseItem="0"/>
    <dataField name="# of people Equitable and continuous access to sufficient quantity of domestic water" fld="99"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4" rowHeaderCaption="State" colHeaderCaption=" ">
  <location ref="B101:D111" firstHeaderRow="0" firstDataRow="1" firstDataCol="1" rowPageCount="5" colPageCount="1"/>
  <pivotFields count="158">
    <pivotField axis="axisPage" subtotalTop="0" multipleItemSelectionAllowed="1" showAll="0">
      <items count="29">
        <item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axis="axisRow" subtotalTop="0" showAll="0" sortType="ascending">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axis="axisPage" multipleItemSelectionAllowed="1" showAll="0" defaultSubtotal="0">
      <items count="15">
        <item x="1"/>
        <item x="2"/>
        <item m="1" x="11"/>
        <item h="1" m="1" x="9"/>
        <item m="1" x="7"/>
        <item m="1" x="6"/>
        <item h="1" m="1" x="13"/>
        <item m="1" x="10"/>
        <item h="1" m="1" x="14"/>
        <item h="1"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0">
    <i>
      <x v="6"/>
    </i>
    <i>
      <x v="7"/>
    </i>
    <i>
      <x v="9"/>
    </i>
    <i>
      <x v="10"/>
    </i>
    <i>
      <x v="13"/>
    </i>
    <i>
      <x v="15"/>
    </i>
    <i>
      <x v="18"/>
    </i>
    <i>
      <x v="26"/>
    </i>
    <i>
      <x v="30"/>
    </i>
    <i>
      <x v="32"/>
    </i>
  </rowItems>
  <colFields count="1">
    <field x="-2"/>
  </colFields>
  <colItems count="2">
    <i>
      <x/>
    </i>
    <i i="1">
      <x v="1"/>
    </i>
  </colItems>
  <pageFields count="5">
    <pageField fld="0" hier="-1"/>
    <pageField fld="145" item="0" hier="-1"/>
    <pageField fld="4" hier="-1"/>
    <pageField fld="6" hier="-1"/>
    <pageField fld="146" item="0" hier="-1"/>
  </pageFields>
  <dataFields count="2">
    <dataField name=" % Water Coverage" fld="153" baseField="0" baseItem="0"/>
    <dataField name=" % Water GAP" fld="154" baseField="0" baseItem="0"/>
  </dataFields>
  <formats count="13">
    <format dxfId="155">
      <pivotArea field="4" type="button" dataOnly="0" labelOnly="1" outline="0" axis="axisPage" fieldPosition="2"/>
    </format>
    <format dxfId="154">
      <pivotArea type="all" dataOnly="0" outline="0" fieldPosition="0"/>
    </format>
    <format dxfId="153">
      <pivotArea outline="0" collapsedLevelsAreSubtotals="1" fieldPosition="0"/>
    </format>
    <format dxfId="152">
      <pivotArea field="4" type="button" dataOnly="0" labelOnly="1" outline="0" axis="axisPage" fieldPosition="2"/>
    </format>
    <format dxfId="151">
      <pivotArea type="all" dataOnly="0" outline="0" fieldPosition="0"/>
    </format>
    <format dxfId="150">
      <pivotArea outline="0" collapsedLevelsAreSubtotals="1" fieldPosition="0"/>
    </format>
    <format dxfId="149">
      <pivotArea outline="0" collapsedLevelsAreSubtotals="1" fieldPosition="0"/>
    </format>
    <format dxfId="148">
      <pivotArea field="5" type="button" dataOnly="0" labelOnly="1" outline="0" axis="axisRow" fieldPosition="0"/>
    </format>
    <format dxfId="147">
      <pivotArea field="5" type="button" dataOnly="0" labelOnly="1" outline="0" axis="axisRow" fieldPosition="0"/>
    </format>
    <format dxfId="146">
      <pivotArea field="5" type="button" dataOnly="0" labelOnly="1" outline="0" axis="axisRow" fieldPosition="0"/>
    </format>
    <format dxfId="145">
      <pivotArea field="4" type="button" dataOnly="0" labelOnly="1" outline="0" axis="axisPage" fieldPosition="2"/>
    </format>
    <format dxfId="144">
      <pivotArea dataOnly="0" labelOnly="1" outline="0" fieldPosition="0">
        <references count="2">
          <reference field="4" count="1">
            <x v="2"/>
          </reference>
          <reference field="145" count="1" selected="0">
            <x v="0"/>
          </reference>
        </references>
      </pivotArea>
    </format>
    <format dxfId="143">
      <pivotArea dataOnly="0" labelOnly="1" outline="0" fieldPosition="0">
        <references count="2">
          <reference field="4" count="0"/>
          <reference field="145" count="1" selected="0">
            <x v="0"/>
          </reference>
        </references>
      </pivotArea>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3" rowHeaderCaption="State" colHeaderCaption=" ">
  <location ref="B267:D279" firstHeaderRow="0" firstDataRow="1" firstDataCol="1" rowPageCount="5" colPageCount="1"/>
  <pivotFields count="158">
    <pivotField axis="axisPage" subtotalTop="0" multipleItemSelectionAllowed="1" showAll="0">
      <items count="29">
        <item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showAll="0">
      <items count="7">
        <item x="0"/>
        <item m="1" x="4"/>
        <item x="1"/>
        <item m="1" x="2"/>
        <item m="1" x="3"/>
        <item m="1" x="5"/>
        <item t="default"/>
      </items>
    </pivotField>
    <pivotField axis="axisRow" subtotalTop="0" showAll="0" sortType="ascending">
      <items count="48">
        <item m="1" x="31"/>
        <item x="0"/>
        <item m="1" x="44"/>
        <item m="1" x="36"/>
        <item x="2"/>
        <item x="3"/>
        <item x="21"/>
        <item x="23"/>
        <item x="11"/>
        <item x="13"/>
        <item x="17"/>
        <item m="1" x="39"/>
        <item m="1" x="26"/>
        <item x="14"/>
        <item m="1" x="46"/>
        <item x="15"/>
        <item m="1" x="42"/>
        <item x="7"/>
        <item x="19"/>
        <item m="1" x="37"/>
        <item m="1" x="30"/>
        <item x="5"/>
        <item x="8"/>
        <item m="1" x="25"/>
        <item x="6"/>
        <item m="1" x="43"/>
        <item x="18"/>
        <item m="1" x="34"/>
        <item x="1"/>
        <item m="1" x="33"/>
        <item x="20"/>
        <item m="1" x="29"/>
        <item x="16"/>
        <item m="1" x="27"/>
        <item m="1" x="28"/>
        <item m="1" x="32"/>
        <item m="1" x="38"/>
        <item m="1" x="35"/>
        <item m="1" x="45"/>
        <item m="1" x="41"/>
        <item x="12"/>
        <item m="1" x="40"/>
        <item x="10"/>
        <item x="9"/>
        <item x="22"/>
        <item x="4"/>
        <item m="1" x="24"/>
        <item t="default"/>
      </items>
    </pivotField>
    <pivotField axis="axisPage" multipleItemSelectionAllowed="1" showAll="0" defaultSubtotal="0">
      <items count="15">
        <item x="1"/>
        <item x="2"/>
        <item m="1" x="11"/>
        <item h="1" m="1" x="9"/>
        <item m="1" x="7"/>
        <item m="1" x="6"/>
        <item h="1" m="1" x="13"/>
        <item m="1" x="10"/>
        <item h="1" m="1" x="14"/>
        <item m="1" x="8"/>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2">
    <i>
      <x v="1"/>
    </i>
    <i>
      <x v="4"/>
    </i>
    <i>
      <x v="5"/>
    </i>
    <i>
      <x v="17"/>
    </i>
    <i>
      <x v="21"/>
    </i>
    <i>
      <x v="22"/>
    </i>
    <i>
      <x v="24"/>
    </i>
    <i>
      <x v="28"/>
    </i>
    <i>
      <x v="40"/>
    </i>
    <i>
      <x v="42"/>
    </i>
    <i>
      <x v="43"/>
    </i>
    <i>
      <x v="45"/>
    </i>
  </rowItems>
  <colFields count="1">
    <field x="-2"/>
  </colFields>
  <colItems count="2">
    <i>
      <x/>
    </i>
    <i i="1">
      <x v="1"/>
    </i>
  </colItems>
  <pageFields count="5">
    <pageField fld="146" item="0" hier="-1"/>
    <pageField fld="0" hier="-1"/>
    <pageField fld="145" item="0" hier="-1"/>
    <pageField fld="4" item="0" hier="-1"/>
    <pageField fld="6" hier="-1"/>
  </pageFields>
  <dataFields count="2">
    <dataField name="  % Hygiene Coverage" fld="152" baseField="0" baseItem="0" numFmtId="1"/>
    <dataField name="  % Hygiene Gap" fld="151" baseField="0" baseItem="0" numFmtId="1"/>
  </dataFields>
  <formats count="11">
    <format dxfId="166">
      <pivotArea type="all" dataOnly="0" outline="0" fieldPosition="0"/>
    </format>
    <format dxfId="165">
      <pivotArea outline="0" collapsedLevelsAreSubtotals="1" fieldPosition="0"/>
    </format>
    <format dxfId="164">
      <pivotArea field="4" type="button" dataOnly="0" labelOnly="1" outline="0" axis="axisPage" fieldPosition="3"/>
    </format>
    <format dxfId="163">
      <pivotArea type="all" dataOnly="0" outline="0" fieldPosition="0"/>
    </format>
    <format dxfId="162">
      <pivotArea outline="0" collapsedLevelsAreSubtotals="1" fieldPosition="0"/>
    </format>
    <format dxfId="161">
      <pivotArea outline="0" collapsedLevelsAreSubtotals="1" fieldPosition="0"/>
    </format>
    <format dxfId="160">
      <pivotArea field="5" type="button" dataOnly="0" labelOnly="1" outline="0" axis="axisRow" fieldPosition="0"/>
    </format>
    <format dxfId="159">
      <pivotArea field="5" type="button" dataOnly="0" labelOnly="1" outline="0" axis="axisRow" fieldPosition="0"/>
    </format>
    <format dxfId="158">
      <pivotArea field="5" type="button" dataOnly="0" labelOnly="1" outline="0" axis="axisRow" fieldPosition="0"/>
    </format>
    <format dxfId="157">
      <pivotArea field="4" type="button" dataOnly="0" labelOnly="1" outline="0" axis="axisPage" fieldPosition="3"/>
    </format>
    <format dxfId="156">
      <pivotArea dataOnly="0" labelOnly="1" outline="0" fieldPosition="0">
        <references count="2">
          <reference field="4" count="1">
            <x v="0"/>
          </reference>
          <reference field="145"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9">
  <location ref="I38:K39" firstHeaderRow="0" firstDataRow="1" firstDataCol="1" rowPageCount="4" colPageCount="1"/>
  <pivotFields count="158">
    <pivotField axis="axisPage" subtotalTop="0" multipleItemSelectionAllowed="1" showAll="0">
      <items count="29">
        <item m="1" x="26"/>
        <item m="1" x="12"/>
        <item h="1" m="1" x="19"/>
        <item h="1" m="1" x="1"/>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multipleItemSelectionAllowed="1" showAll="0">
      <items count="7">
        <item h="1" x="0"/>
        <item m="1" x="4"/>
        <item x="1"/>
        <item m="1" x="2"/>
        <item h="1" m="1" x="3"/>
        <item h="1" m="1" x="5"/>
        <item t="default"/>
      </items>
    </pivotField>
    <pivotField subtotalTop="0" showAll="0"/>
    <pivotField axis="axisPage" multipleItemSelectionAllowed="1" showAll="0" defaultSubtotal="0">
      <items count="15">
        <item x="1"/>
        <item x="2"/>
        <item m="1" x="11"/>
        <item m="1" x="7"/>
        <item h="1" m="1" x="6"/>
        <item h="1" m="1" x="13"/>
        <item h="1" m="1" x="10"/>
        <item h="1" m="1" x="14"/>
        <item h="1" m="1" x="8"/>
        <item h="1" m="1" x="9"/>
        <item h="1" m="1" x="12"/>
        <item h="1" m="1" x="4"/>
        <item h="1" m="1" x="5"/>
        <item x="3"/>
        <item x="0"/>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1"/>
  </rowFields>
  <rowItems count="1">
    <i>
      <x v="339"/>
    </i>
  </rowItems>
  <colFields count="1">
    <field x="-2"/>
  </colFields>
  <colItems count="2">
    <i>
      <x/>
    </i>
    <i i="1">
      <x v="1"/>
    </i>
  </colItems>
  <pageFields count="4">
    <pageField fld="0" hier="-1"/>
    <pageField fld="4" hier="-1"/>
    <pageField fld="145" hier="-1"/>
    <pageField fld="6" hier="-1"/>
  </pageFields>
  <dataFields count="2">
    <dataField name="Coverage" fld="99" baseField="132" baseItem="339"/>
    <dataField name="Gap" fld="102" baseField="132" baseItem="339"/>
  </dataFields>
  <formats count="12">
    <format dxfId="178">
      <pivotArea type="all" dataOnly="0" outline="0" fieldPosition="0"/>
    </format>
    <format dxfId="177">
      <pivotArea outline="0" collapsedLevelsAreSubtotals="1" fieldPosition="0"/>
    </format>
    <format dxfId="176">
      <pivotArea field="141" type="button" dataOnly="0" labelOnly="1" outline="0" axis="axisRow" fieldPosition="0"/>
    </format>
    <format dxfId="175">
      <pivotArea type="all" dataOnly="0" outline="0" fieldPosition="0"/>
    </format>
    <format dxfId="174">
      <pivotArea field="141" type="button" dataOnly="0" labelOnly="1" outline="0" axis="axisRow" fieldPosition="0"/>
    </format>
    <format dxfId="173">
      <pivotArea field="141" type="button" dataOnly="0" labelOnly="1" outline="0" axis="axisRow" fieldPosition="0"/>
    </format>
    <format dxfId="172">
      <pivotArea type="all" dataOnly="0" outline="0" fieldPosition="0"/>
    </format>
    <format dxfId="171">
      <pivotArea outline="0" collapsedLevelsAreSubtotals="1" fieldPosition="0"/>
    </format>
    <format dxfId="170">
      <pivotArea field="141" type="button" dataOnly="0" labelOnly="1" outline="0" axis="axisRow" fieldPosition="0"/>
    </format>
    <format dxfId="169">
      <pivotArea field="4" type="button" dataOnly="0" labelOnly="1" outline="0" axis="axisPage" fieldPosition="1"/>
    </format>
    <format dxfId="168">
      <pivotArea dataOnly="0" labelOnly="1" outline="0" fieldPosition="0">
        <references count="1">
          <reference field="4" count="1">
            <x v="2"/>
          </reference>
        </references>
      </pivotArea>
    </format>
    <format dxfId="167">
      <pivotArea outline="0" collapsedLevelsAreSubtotals="1" fieldPosition="0"/>
    </format>
  </formats>
  <chartFormats count="8">
    <chartFormat chart="14" format="16"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14" format="17" series="1">
      <pivotArea type="data" outline="0" fieldPosition="0">
        <references count="1">
          <reference field="4294967294" count="1" selected="0">
            <x v="1"/>
          </reference>
        </references>
      </pivotArea>
    </chartFormat>
    <chartFormat chart="6" format="5" series="1">
      <pivotArea type="data" outline="0" fieldPosition="0">
        <references count="1">
          <reference field="4294967294" count="1" selected="0">
            <x v="1"/>
          </reference>
        </references>
      </pivotArea>
    </chartFormat>
    <chartFormat chart="46" format="18" series="1">
      <pivotArea type="data" outline="0" fieldPosition="0">
        <references count="1">
          <reference field="4294967294" count="1" selected="0">
            <x v="0"/>
          </reference>
        </references>
      </pivotArea>
    </chartFormat>
    <chartFormat chart="46" format="19" series="1">
      <pivotArea type="data" outline="0" fieldPosition="0">
        <references count="1">
          <reference field="4294967294" count="1" selected="0">
            <x v="1"/>
          </reference>
        </references>
      </pivotArea>
    </chartFormat>
    <chartFormat chart="47" format="20" series="1">
      <pivotArea type="data" outline="0" fieldPosition="0">
        <references count="1">
          <reference field="4294967294" count="1" selected="0">
            <x v="0"/>
          </reference>
        </references>
      </pivotArea>
    </chartFormat>
    <chartFormat chart="47" format="2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67">
  <location ref="C294:D298" firstHeaderRow="1" firstDataRow="2" firstDataCol="1" rowPageCount="3" colPageCount="1"/>
  <pivotFields count="158">
    <pivotField axis="axisPage" subtotalTop="0" multipleItemSelectionAllowed="1" showAll="0">
      <items count="29">
        <item m="1" x="26"/>
        <item m="1" x="12"/>
        <item m="1" x="27"/>
        <item m="1" x="19"/>
        <item m="1" x="7"/>
        <item m="1" x="1"/>
        <item m="1" x="25"/>
        <item m="1" x="21"/>
        <item m="1" x="23"/>
        <item m="1" x="24"/>
        <item m="1" x="15"/>
        <item m="1" x="17"/>
        <item m="1" x="20"/>
        <item m="1" x="22"/>
        <item h="1" m="1" x="10"/>
        <item h="1" m="1" x="13"/>
        <item h="1" m="1" x="16"/>
        <item m="1" x="18"/>
        <item h="1" m="1" x="5"/>
        <item h="1" m="1" x="8"/>
        <item h="1" m="1" x="11"/>
        <item m="1" x="14"/>
        <item h="1" m="1" x="3"/>
        <item h="1" m="1" x="4"/>
        <item h="1" m="1" x="6"/>
        <item m="1" x="9"/>
        <item x="0"/>
        <item h="1" m="1" x="2"/>
        <item t="default"/>
      </items>
    </pivotField>
    <pivotField showAll="0" defaultSubtotal="0"/>
    <pivotField showAll="0" defaultSubtotal="0"/>
    <pivotField subtotalTop="0" showAll="0"/>
    <pivotField axis="axisPage" subtotalTop="0" multipleItemSelectionAllowed="1" showAll="0">
      <items count="7">
        <item x="0"/>
        <item h="1" m="1" x="4"/>
        <item h="1" x="1"/>
        <item m="1" x="2"/>
        <item h="1" m="1" x="3"/>
        <item h="1" m="1" x="5"/>
        <item t="default"/>
      </items>
    </pivotField>
    <pivotField subtotalTop="0" showAll="0"/>
    <pivotField axis="axisRow" showAll="0" defaultSubtotal="0">
      <items count="15">
        <item x="1"/>
        <item x="2"/>
        <item m="1" x="11"/>
        <item m="1" x="7"/>
        <item m="1" x="6"/>
        <item m="1" x="13"/>
        <item m="1" x="10"/>
        <item m="1" x="14"/>
        <item m="1" x="8"/>
        <item m="1" x="9"/>
        <item m="1" x="12"/>
        <item m="1" x="4"/>
        <item m="1" x="5"/>
        <item x="3"/>
        <item x="0"/>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h="1" m="1" x="2"/>
        <item h="1" m="1" x="3"/>
        <item t="default"/>
      </items>
    </pivotField>
    <pivotField axis="axisPage" subtotalTop="0" showAll="0">
      <items count="4">
        <item x="0"/>
        <item x="1"/>
        <item x="2"/>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3">
    <i>
      <x/>
    </i>
    <i>
      <x v="1"/>
    </i>
    <i>
      <x v="14"/>
    </i>
  </rowItems>
  <colFields count="1">
    <field x="145"/>
  </colFields>
  <colItems count="1">
    <i>
      <x/>
    </i>
  </colItems>
  <pageFields count="3">
    <pageField fld="0" hier="-1"/>
    <pageField fld="4" hier="-1"/>
    <pageField fld="146" item="0" hier="-1"/>
  </pageFields>
  <dataFields count="1">
    <dataField name="Count of Site Name" fld="7" subtotal="count" baseField="0" baseItem="0"/>
  </dataFields>
  <formats count="19">
    <format dxfId="197">
      <pivotArea type="all" dataOnly="0" outline="0" fieldPosition="0"/>
    </format>
    <format dxfId="196">
      <pivotArea outline="0" collapsedLevelsAreSubtotals="1" fieldPosition="0"/>
    </format>
    <format dxfId="195">
      <pivotArea field="4" type="button" dataOnly="0" labelOnly="1" outline="0" axis="axisPage" fieldPosition="1"/>
    </format>
    <format dxfId="194">
      <pivotArea dataOnly="0" labelOnly="1" fieldPosition="0">
        <references count="1">
          <reference field="4" count="0"/>
        </references>
      </pivotArea>
    </format>
    <format dxfId="193">
      <pivotArea dataOnly="0" labelOnly="1" grandRow="1" outline="0" fieldPosition="0"/>
    </format>
    <format dxfId="192">
      <pivotArea dataOnly="0" labelOnly="1" outline="0" fieldPosition="0">
        <references count="1">
          <reference field="4294967294" count="1">
            <x v="0"/>
          </reference>
        </references>
      </pivotArea>
    </format>
    <format dxfId="191">
      <pivotArea type="all" dataOnly="0" outline="0" fieldPosition="0"/>
    </format>
    <format dxfId="190">
      <pivotArea outline="0" collapsedLevelsAreSubtotals="1" fieldPosition="0"/>
    </format>
    <format dxfId="189">
      <pivotArea type="origin" dataOnly="0" labelOnly="1" outline="0" fieldPosition="0"/>
    </format>
    <format dxfId="188">
      <pivotArea field="145" type="button" dataOnly="0" labelOnly="1" outline="0" axis="axisCol" fieldPosition="0"/>
    </format>
    <format dxfId="187">
      <pivotArea type="topRight" dataOnly="0" labelOnly="1" outline="0" fieldPosition="0"/>
    </format>
    <format dxfId="186">
      <pivotArea dataOnly="0" labelOnly="1" fieldPosition="0">
        <references count="1">
          <reference field="145" count="0"/>
        </references>
      </pivotArea>
    </format>
    <format dxfId="185">
      <pivotArea type="all" dataOnly="0" outline="0" fieldPosition="0"/>
    </format>
    <format dxfId="184">
      <pivotArea outline="0" collapsedLevelsAreSubtotals="1" fieldPosition="0"/>
    </format>
    <format dxfId="183">
      <pivotArea dataOnly="0" labelOnly="1" fieldPosition="0">
        <references count="1">
          <reference field="145" count="0"/>
        </references>
      </pivotArea>
    </format>
    <format dxfId="182">
      <pivotArea field="4" type="button" dataOnly="0" labelOnly="1" outline="0" axis="axisPage" fieldPosition="1"/>
    </format>
    <format dxfId="181">
      <pivotArea dataOnly="0" labelOnly="1" outline="0" fieldPosition="0">
        <references count="2">
          <reference field="0" count="1" selected="0">
            <x v="8"/>
          </reference>
          <reference field="4" count="0"/>
        </references>
      </pivotArea>
    </format>
    <format dxfId="180">
      <pivotArea dataOnly="0" labelOnly="1" outline="0" fieldPosition="0">
        <references count="2">
          <reference field="0" count="1" selected="0">
            <x v="9"/>
          </reference>
          <reference field="4" count="0"/>
        </references>
      </pivotArea>
    </format>
    <format dxfId="179">
      <pivotArea dataOnly="0" labelOnly="1" outline="0" fieldPosition="0">
        <references count="2">
          <reference field="0" count="1" selected="0">
            <x v="9"/>
          </reference>
          <reference field="4" count="0"/>
        </references>
      </pivotArea>
    </format>
  </formats>
  <chartFormats count="12">
    <chartFormat chart="7" format="8" series="1">
      <pivotArea type="data" outline="0" fieldPosition="0">
        <references count="2">
          <reference field="4294967294" count="1" selected="0">
            <x v="0"/>
          </reference>
          <reference field="145" count="1" selected="0">
            <x v="0"/>
          </reference>
        </references>
      </pivotArea>
    </chartFormat>
    <chartFormat chart="7" format="9" series="1">
      <pivotArea type="data" outline="0" fieldPosition="0">
        <references count="2">
          <reference field="4294967294" count="1" selected="0">
            <x v="0"/>
          </reference>
          <reference field="145" count="1" selected="0">
            <x v="1"/>
          </reference>
        </references>
      </pivotArea>
    </chartFormat>
    <chartFormat chart="10" format="8" series="1">
      <pivotArea type="data" outline="0" fieldPosition="0">
        <references count="2">
          <reference field="4294967294" count="1" selected="0">
            <x v="0"/>
          </reference>
          <reference field="145" count="1" selected="0">
            <x v="0"/>
          </reference>
        </references>
      </pivotArea>
    </chartFormat>
    <chartFormat chart="10" format="9" series="1">
      <pivotArea type="data" outline="0" fieldPosition="0">
        <references count="2">
          <reference field="4294967294" count="1" selected="0">
            <x v="0"/>
          </reference>
          <reference field="145" count="1" selected="0">
            <x v="1"/>
          </reference>
        </references>
      </pivotArea>
    </chartFormat>
    <chartFormat chart="40" format="8" series="1">
      <pivotArea type="data" outline="0" fieldPosition="0">
        <references count="2">
          <reference field="4294967294" count="1" selected="0">
            <x v="0"/>
          </reference>
          <reference field="145" count="1" selected="0">
            <x v="0"/>
          </reference>
        </references>
      </pivotArea>
    </chartFormat>
    <chartFormat chart="40" format="9" series="1">
      <pivotArea type="data" outline="0" fieldPosition="0">
        <references count="2">
          <reference field="4294967294" count="1" selected="0">
            <x v="0"/>
          </reference>
          <reference field="145" count="1" selected="0">
            <x v="1"/>
          </reference>
        </references>
      </pivotArea>
    </chartFormat>
    <chartFormat chart="42" format="12" series="1">
      <pivotArea type="data" outline="0" fieldPosition="0">
        <references count="2">
          <reference field="4294967294" count="1" selected="0">
            <x v="0"/>
          </reference>
          <reference field="145" count="1" selected="0">
            <x v="0"/>
          </reference>
        </references>
      </pivotArea>
    </chartFormat>
    <chartFormat chart="42" format="13" series="1">
      <pivotArea type="data" outline="0" fieldPosition="0">
        <references count="2">
          <reference field="4294967294" count="1" selected="0">
            <x v="0"/>
          </reference>
          <reference field="145" count="1" selected="0">
            <x v="1"/>
          </reference>
        </references>
      </pivotArea>
    </chartFormat>
    <chartFormat chart="60" format="12" series="1">
      <pivotArea type="data" outline="0" fieldPosition="0">
        <references count="2">
          <reference field="4294967294" count="1" selected="0">
            <x v="0"/>
          </reference>
          <reference field="145" count="1" selected="0">
            <x v="0"/>
          </reference>
        </references>
      </pivotArea>
    </chartFormat>
    <chartFormat chart="60" format="13" series="1">
      <pivotArea type="data" outline="0" fieldPosition="0">
        <references count="2">
          <reference field="4294967294" count="1" selected="0">
            <x v="0"/>
          </reference>
          <reference field="145" count="1" selected="0">
            <x v="1"/>
          </reference>
        </references>
      </pivotArea>
    </chartFormat>
    <chartFormat chart="40" format="10"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0" s="1"/>
        <i x="1"/>
        <i x="3" nd="1"/>
        <i x="5" nd="1"/>
        <i x="4" nd="1"/>
        <i x="2"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7">
        <i x="0" s="1"/>
        <i x="2" s="1"/>
        <i x="3" s="1"/>
        <i x="21" s="1"/>
        <i x="23" s="1"/>
        <i x="11" s="1"/>
        <i x="13" s="1"/>
        <i x="17" s="1"/>
        <i x="14" s="1"/>
        <i x="15" s="1"/>
        <i x="7" s="1"/>
        <i x="19" s="1"/>
        <i x="5" s="1"/>
        <i x="8" s="1"/>
        <i x="6" s="1"/>
        <i x="18" s="1"/>
        <i x="1" s="1"/>
        <i x="20" s="1"/>
        <i x="16" s="1"/>
        <i x="12" s="1"/>
        <i x="10" s="1"/>
        <i x="9" s="1"/>
        <i x="22" s="1"/>
        <i x="4" s="1"/>
        <i x="31" s="1" nd="1"/>
        <i x="44" s="1" nd="1"/>
        <i x="36" s="1" nd="1"/>
        <i x="39" s="1" nd="1"/>
        <i x="26" s="1" nd="1"/>
        <i x="46" s="1" nd="1"/>
        <i x="42" s="1" nd="1"/>
        <i x="37" s="1" nd="1"/>
        <i x="30" s="1" nd="1"/>
        <i x="25" s="1" nd="1"/>
        <i x="43" s="1" nd="1"/>
        <i x="34" s="1" nd="1"/>
        <i x="33" s="1" nd="1"/>
        <i x="29" s="1" nd="1"/>
        <i x="27" s="1" nd="1"/>
        <i x="28" s="1" nd="1"/>
        <i x="32" s="1" nd="1"/>
        <i x="38" s="1" nd="1"/>
        <i x="35" s="1" nd="1"/>
        <i x="45" s="1" nd="1"/>
        <i x="41" s="1" nd="1"/>
        <i x="40" s="1" nd="1"/>
        <i x="24"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72">
        <i x="15" s="1"/>
        <i x="13" s="1"/>
        <i x="0" s="1"/>
        <i x="2" s="1"/>
        <i x="12" s="1"/>
        <i x="17" s="1"/>
        <i x="11" s="1"/>
        <i x="10" s="1"/>
        <i x="1" s="1"/>
        <i x="6" s="1"/>
        <i x="14" s="1"/>
        <i x="16" s="1"/>
        <i x="9" s="1"/>
        <i x="4" s="1"/>
        <i x="3" s="1"/>
        <i x="7" s="1"/>
        <i x="5" s="1"/>
        <i x="8" s="1"/>
        <i x="37" s="1" nd="1"/>
        <i x="56" s="1" nd="1"/>
        <i x="59" s="1" nd="1"/>
        <i x="45" s="1" nd="1"/>
        <i x="71" s="1" nd="1"/>
        <i x="38" s="1" nd="1"/>
        <i x="46" s="1" nd="1"/>
        <i x="43" s="1" nd="1"/>
        <i x="30" s="1" nd="1"/>
        <i x="66" s="1" nd="1"/>
        <i x="47" s="1" nd="1"/>
        <i x="60" s="1" nd="1"/>
        <i x="25" s="1" nd="1"/>
        <i x="58" s="1" nd="1"/>
        <i x="35" s="1" nd="1"/>
        <i x="27" s="1" nd="1"/>
        <i x="67" s="1" nd="1"/>
        <i x="51" s="1" nd="1"/>
        <i x="53" s="1" nd="1"/>
        <i x="70" s="1" nd="1"/>
        <i x="20" s="1" nd="1"/>
        <i x="44" s="1" nd="1"/>
        <i x="42" s="1" nd="1"/>
        <i x="34" s="1" nd="1"/>
        <i x="26" s="1" nd="1"/>
        <i x="55" s="1" nd="1"/>
        <i x="22" s="1" nd="1"/>
        <i x="21" s="1" nd="1"/>
        <i x="63" s="1" nd="1"/>
        <i x="32" s="1" nd="1"/>
        <i x="31" s="1" nd="1"/>
        <i x="29" s="1" nd="1"/>
        <i x="50" s="1" nd="1"/>
        <i x="28" s="1" nd="1"/>
        <i x="61" s="1" nd="1"/>
        <i x="65" s="1" nd="1"/>
        <i x="19" s="1" nd="1"/>
        <i x="23" s="1" nd="1"/>
        <i x="54" s="1" nd="1"/>
        <i x="41" s="1" nd="1"/>
        <i x="69" s="1" nd="1"/>
        <i x="52" s="1" nd="1"/>
        <i x="24" s="1" nd="1"/>
        <i x="68" s="1" nd="1"/>
        <i x="62" s="1" nd="1"/>
        <i x="48" s="1" nd="1"/>
        <i x="36" s="1" nd="1"/>
        <i x="40" s="1" nd="1"/>
        <i x="57" s="1" nd="1"/>
        <i x="39" s="1" nd="1"/>
        <i x="64" s="1" nd="1"/>
        <i x="33" s="1" nd="1"/>
        <i x="49" s="1" nd="1"/>
        <i x="18"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5">
        <i x="1" s="1"/>
        <i x="2" s="1"/>
        <i x="0"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5">
        <i x="1" s="1"/>
        <i x="2" s="1"/>
        <i x="0"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64">
        <i x="10" s="1"/>
        <i x="0" s="1"/>
        <i x="9" s="1"/>
        <i x="14" s="1"/>
        <i x="1" s="1"/>
        <i x="12" s="1"/>
        <i x="5" s="1"/>
        <i x="11" s="1"/>
        <i x="13" s="1"/>
        <i x="8" s="1"/>
        <i x="3" s="1"/>
        <i x="2" s="1"/>
        <i x="6" s="1"/>
        <i x="4" s="1"/>
        <i x="7" s="1"/>
        <i x="34" s="1" nd="1"/>
        <i x="51" s="1" nd="1"/>
        <i x="53" s="1" nd="1"/>
        <i x="44" s="1" nd="1"/>
        <i x="62" s="1" nd="1"/>
        <i x="16" s="1" nd="1"/>
        <i x="35" s="1" nd="1"/>
        <i x="45" s="1" nd="1"/>
        <i x="25" s="1" nd="1"/>
        <i x="36" s="1" nd="1"/>
        <i x="46" s="1" nd="1"/>
        <i x="21" s="1" nd="1"/>
        <i x="52" s="1" nd="1"/>
        <i x="32" s="1" nd="1"/>
        <i x="23" s="1" nd="1"/>
        <i x="58" s="1" nd="1"/>
        <i x="57" s="1" nd="1"/>
        <i x="50" s="1" nd="1"/>
        <i x="61" s="1" nd="1"/>
        <i x="26" s="1" nd="1"/>
        <i x="18" s="1" nd="1"/>
        <i x="37" s="1" nd="1"/>
        <i x="42" s="1" nd="1"/>
        <i x="41" s="1" nd="1"/>
        <i x="31" s="1" nd="1"/>
        <i x="63" s="1" nd="1"/>
        <i x="22" s="1" nd="1"/>
        <i x="43" s="1" nd="1"/>
        <i x="19" s="1" nd="1"/>
        <i x="29" s="1" nd="1"/>
        <i x="28" s="1" nd="1"/>
        <i x="24" s="1" nd="1"/>
        <i x="48" s="1" nd="1"/>
        <i x="54" s="1" nd="1"/>
        <i x="17" s="1" nd="1"/>
        <i x="60" s="1" nd="1"/>
        <i x="49" s="1" nd="1"/>
        <i x="20" s="1" nd="1"/>
        <i x="59" s="1" nd="1"/>
        <i x="55" s="1" nd="1"/>
        <i x="27" s="1" nd="1"/>
        <i x="47" s="1" nd="1"/>
        <i x="33" s="1" nd="1"/>
        <i x="39" s="1" nd="1"/>
        <i x="38" s="1" nd="1"/>
        <i x="56" s="1" nd="1"/>
        <i x="40" s="1" nd="1"/>
        <i x="30" s="1" nd="1"/>
        <i x="15"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64">
        <i x="10" s="1"/>
        <i x="12" s="1"/>
        <i x="5" s="1"/>
        <i x="11" s="1"/>
        <i x="13" s="1"/>
        <i x="3" s="1"/>
        <i x="34" s="1" nd="1"/>
        <i x="51" s="1" nd="1"/>
        <i x="53" s="1" nd="1"/>
        <i x="44" s="1" nd="1"/>
        <i x="62" s="1" nd="1"/>
        <i x="16" s="1" nd="1"/>
        <i x="35" s="1" nd="1"/>
        <i x="45" s="1" nd="1"/>
        <i x="0" s="1" nd="1"/>
        <i x="25" s="1" nd="1"/>
        <i x="9" s="1" nd="1"/>
        <i x="14" s="1" nd="1"/>
        <i x="36" s="1" nd="1"/>
        <i x="46" s="1" nd="1"/>
        <i x="1" s="1" nd="1"/>
        <i x="21" s="1" nd="1"/>
        <i x="52" s="1" nd="1"/>
        <i x="32" s="1" nd="1"/>
        <i x="23" s="1" nd="1"/>
        <i x="58" s="1" nd="1"/>
        <i x="57" s="1" nd="1"/>
        <i x="50" s="1" nd="1"/>
        <i x="8" s="1" nd="1"/>
        <i x="61" s="1" nd="1"/>
        <i x="26" s="1" nd="1"/>
        <i x="18" s="1" nd="1"/>
        <i x="37" s="1" nd="1"/>
        <i x="42" s="1" nd="1"/>
        <i x="41" s="1" nd="1"/>
        <i x="31" s="1" nd="1"/>
        <i x="63" s="1" nd="1"/>
        <i x="22" s="1" nd="1"/>
        <i x="43" s="1" nd="1"/>
        <i x="19" s="1" nd="1"/>
        <i x="29" s="1" nd="1"/>
        <i x="28" s="1" nd="1"/>
        <i x="24" s="1" nd="1"/>
        <i x="48" s="1" nd="1"/>
        <i x="54" s="1" nd="1"/>
        <i x="17" s="1" nd="1"/>
        <i x="60" s="1" nd="1"/>
        <i x="49" s="1" nd="1"/>
        <i x="20" s="1" nd="1"/>
        <i x="59" s="1" nd="1"/>
        <i x="55" s="1" nd="1"/>
        <i x="2" s="1" nd="1"/>
        <i x="6" s="1" nd="1"/>
        <i x="27" s="1" nd="1"/>
        <i x="47" s="1" nd="1"/>
        <i x="4" s="1" nd="1"/>
        <i x="33" s="1" nd="1"/>
        <i x="39" s="1" nd="1"/>
        <i x="38" s="1" nd="1"/>
        <i x="56" s="1" nd="1"/>
        <i x="40" s="1" nd="1"/>
        <i x="7" s="1" nd="1"/>
        <i x="30" s="1" nd="1"/>
        <i x="15"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5">
        <i x="1" s="1"/>
        <i x="2" s="1"/>
        <i x="3" s="1"/>
        <i x="12" s="1" nd="1"/>
        <i x="0"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5093C6AA-D38F-4B30-BD0A-DFC0251F6E6C}" sourceName="Township">
  <pivotTables>
    <pivotTable tabId="92" name="PivotTable16"/>
  </pivotTables>
  <data>
    <tabular pivotCacheId="1">
      <items count="47">
        <i x="0" s="1"/>
        <i x="2" s="1"/>
        <i x="3" s="1"/>
        <i x="1" s="1"/>
        <i x="4" s="1"/>
        <i x="31" s="1" nd="1"/>
        <i x="44" s="1" nd="1"/>
        <i x="36" s="1" nd="1"/>
        <i x="21" s="1" nd="1"/>
        <i x="23" s="1" nd="1"/>
        <i x="11" s="1" nd="1"/>
        <i x="13" s="1" nd="1"/>
        <i x="17" s="1" nd="1"/>
        <i x="39" s="1" nd="1"/>
        <i x="26" s="1" nd="1"/>
        <i x="14" s="1" nd="1"/>
        <i x="46" s="1" nd="1"/>
        <i x="15" s="1" nd="1"/>
        <i x="42" s="1" nd="1"/>
        <i x="7" s="1" nd="1"/>
        <i x="19" s="1" nd="1"/>
        <i x="37" s="1" nd="1"/>
        <i x="30" s="1" nd="1"/>
        <i x="5" s="1" nd="1"/>
        <i x="8" s="1" nd="1"/>
        <i x="25" s="1" nd="1"/>
        <i x="6" s="1" nd="1"/>
        <i x="43" s="1" nd="1"/>
        <i x="18" s="1" nd="1"/>
        <i x="34" s="1" nd="1"/>
        <i x="33" s="1" nd="1"/>
        <i x="20" s="1" nd="1"/>
        <i x="29" s="1" nd="1"/>
        <i x="16" s="1" nd="1"/>
        <i x="27" s="1" nd="1"/>
        <i x="28" s="1" nd="1"/>
        <i x="32" s="1" nd="1"/>
        <i x="38" s="1" nd="1"/>
        <i x="35" s="1" nd="1"/>
        <i x="45" s="1" nd="1"/>
        <i x="41" s="1" nd="1"/>
        <i x="12" s="1" nd="1"/>
        <i x="40" s="1" nd="1"/>
        <i x="10" s="1" nd="1"/>
        <i x="9" s="1" nd="1"/>
        <i x="22" s="1" nd="1"/>
        <i x="24"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3" xr10:uid="{94B07E3E-C975-4AF8-9E88-F6D948F37CC0}" sourceName="State">
  <pivotTables>
    <pivotTable tabId="92" name="PivotTable16"/>
  </pivotTables>
  <data>
    <tabular pivotCacheId="1">
      <items count="6">
        <i x="0" s="1"/>
        <i x="3" nd="1"/>
        <i x="5" nd="1"/>
        <i x="4" nd="1"/>
        <i x="1" nd="1"/>
        <i x="2"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1" xr10:uid="{09D36CC4-C8DE-4B23-B57E-1373AE239918}" sourceName="WASH project agency">
  <pivotTables>
    <pivotTable tabId="92" name="PivotTable16"/>
  </pivotTables>
  <data>
    <tabular pivotCacheId="1">
      <items count="72">
        <i x="0"/>
        <i x="2"/>
        <i x="12"/>
        <i x="17" s="1"/>
        <i x="11"/>
        <i x="10"/>
        <i x="1"/>
        <i x="6"/>
        <i x="9" s="1"/>
        <i x="3" s="1"/>
        <i x="7"/>
        <i x="37" nd="1"/>
        <i x="56" nd="1"/>
        <i x="15" nd="1"/>
        <i x="59" nd="1"/>
        <i x="45" nd="1"/>
        <i x="71" nd="1"/>
        <i x="38" nd="1"/>
        <i x="46" nd="1"/>
        <i x="13" nd="1"/>
        <i x="43" nd="1"/>
        <i x="30" nd="1"/>
        <i x="66" nd="1"/>
        <i x="47" nd="1"/>
        <i x="60" nd="1"/>
        <i x="25" nd="1"/>
        <i x="58" nd="1"/>
        <i x="35" nd="1"/>
        <i x="27" nd="1"/>
        <i x="67" nd="1"/>
        <i x="14" nd="1"/>
        <i x="16" nd="1"/>
        <i x="51" nd="1"/>
        <i x="53" nd="1"/>
        <i x="70" nd="1"/>
        <i x="20" nd="1"/>
        <i x="44" nd="1"/>
        <i x="42" nd="1"/>
        <i x="34" nd="1"/>
        <i x="26" nd="1"/>
        <i x="55" nd="1"/>
        <i x="22" nd="1"/>
        <i x="21" nd="1"/>
        <i x="63" nd="1"/>
        <i x="4" nd="1"/>
        <i x="32" nd="1"/>
        <i x="31" nd="1"/>
        <i x="29" nd="1"/>
        <i x="50" nd="1"/>
        <i x="28" nd="1"/>
        <i x="61" nd="1"/>
        <i x="65" nd="1"/>
        <i x="19" nd="1"/>
        <i x="23" nd="1"/>
        <i x="54" nd="1"/>
        <i x="41" nd="1"/>
        <i x="69" nd="1"/>
        <i x="52" nd="1"/>
        <i x="24" nd="1"/>
        <i x="68" nd="1"/>
        <i x="62" nd="1"/>
        <i x="48" nd="1"/>
        <i x="5" nd="1"/>
        <i x="36" nd="1"/>
        <i x="40" nd="1"/>
        <i x="57" nd="1"/>
        <i x="39" nd="1"/>
        <i x="64" nd="1"/>
        <i x="8" nd="1"/>
        <i x="33" nd="1"/>
        <i x="49" nd="1"/>
        <i x="18"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0" s="1"/>
        <i x="1"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7">
        <i x="0" s="1"/>
        <i x="2" s="1"/>
        <i x="3" s="1"/>
        <i x="21" s="1"/>
        <i x="23" s="1"/>
        <i x="11" s="1"/>
        <i x="13" s="1"/>
        <i x="17" s="1"/>
        <i x="14" s="1"/>
        <i x="15" s="1"/>
        <i x="7" s="1"/>
        <i x="19" s="1"/>
        <i x="5" s="1"/>
        <i x="8" s="1"/>
        <i x="6" s="1"/>
        <i x="18" s="1"/>
        <i x="1" s="1"/>
        <i x="20" s="1"/>
        <i x="16" s="1"/>
        <i x="12" s="1"/>
        <i x="10" s="1"/>
        <i x="9" s="1"/>
        <i x="22" s="1"/>
        <i x="4" s="1"/>
        <i x="31" s="1" nd="1"/>
        <i x="44" s="1" nd="1"/>
        <i x="36" s="1" nd="1"/>
        <i x="39" s="1" nd="1"/>
        <i x="26" s="1" nd="1"/>
        <i x="46" s="1" nd="1"/>
        <i x="42" s="1" nd="1"/>
        <i x="37" s="1" nd="1"/>
        <i x="30" s="1" nd="1"/>
        <i x="25" s="1" nd="1"/>
        <i x="43" s="1" nd="1"/>
        <i x="34" s="1" nd="1"/>
        <i x="33" s="1" nd="1"/>
        <i x="29" s="1" nd="1"/>
        <i x="27" s="1" nd="1"/>
        <i x="28" s="1" nd="1"/>
        <i x="32" s="1" nd="1"/>
        <i x="38" s="1" nd="1"/>
        <i x="35" s="1" nd="1"/>
        <i x="45" s="1" nd="1"/>
        <i x="41" s="1" nd="1"/>
        <i x="40" s="1" nd="1"/>
        <i x="2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0"/>
        <i x="1" s="1"/>
        <i x="3" nd="1"/>
        <i x="5" nd="1"/>
        <i x="4" nd="1"/>
        <i x="2"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7">
        <i x="21" s="1"/>
        <i x="23" s="1"/>
        <i x="13" s="1"/>
        <i x="17" s="1"/>
        <i x="14" s="1"/>
        <i x="15" s="1"/>
        <i x="19" s="1"/>
        <i x="18" s="1"/>
        <i x="20" s="1"/>
        <i x="16" s="1"/>
        <i x="22" s="1"/>
        <i x="31" s="1" nd="1"/>
        <i x="0" s="1" nd="1"/>
        <i x="44" s="1" nd="1"/>
        <i x="36" s="1" nd="1"/>
        <i x="2" s="1" nd="1"/>
        <i x="3" s="1" nd="1"/>
        <i x="11" s="1" nd="1"/>
        <i x="39" s="1" nd="1"/>
        <i x="26" s="1" nd="1"/>
        <i x="46" s="1" nd="1"/>
        <i x="42" s="1" nd="1"/>
        <i x="7" s="1" nd="1"/>
        <i x="37" s="1" nd="1"/>
        <i x="30" s="1" nd="1"/>
        <i x="5" s="1" nd="1"/>
        <i x="8" s="1" nd="1"/>
        <i x="25" s="1" nd="1"/>
        <i x="6" s="1" nd="1"/>
        <i x="43" s="1" nd="1"/>
        <i x="34" s="1" nd="1"/>
        <i x="1" s="1" nd="1"/>
        <i x="33" s="1" nd="1"/>
        <i x="29" s="1" nd="1"/>
        <i x="27" s="1" nd="1"/>
        <i x="28" s="1" nd="1"/>
        <i x="32" s="1" nd="1"/>
        <i x="38" s="1" nd="1"/>
        <i x="35" s="1" nd="1"/>
        <i x="45" s="1" nd="1"/>
        <i x="41" s="1" nd="1"/>
        <i x="12" s="1" nd="1"/>
        <i x="40" s="1" nd="1"/>
        <i x="10" s="1" nd="1"/>
        <i x="9" s="1" nd="1"/>
        <i x="4" s="1" nd="1"/>
        <i x="2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9">
        <i x="1" s="1"/>
        <i x="0" s="1"/>
        <i x="3" s="1"/>
        <i x="5" s="1"/>
        <i x="8" s="1" nd="1"/>
        <i x="2" s="1" nd="1"/>
        <i x="6" s="1" nd="1"/>
        <i x="7" s="1" nd="1"/>
        <i x="4"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8">
        <i x="0" s="1"/>
        <i x="25" s="1" nd="1"/>
        <i x="26" s="1" nd="1"/>
        <i x="12" s="1" nd="1"/>
        <i x="27" s="1" nd="1"/>
        <i x="19" s="1" nd="1"/>
        <i x="21" s="1" nd="1"/>
        <i x="23" s="1" nd="1"/>
        <i x="24" s="1" nd="1"/>
        <i x="7" s="1" nd="1"/>
        <i x="15" s="1" nd="1"/>
        <i x="17" s="1" nd="1"/>
        <i x="20" s="1" nd="1"/>
        <i x="22" s="1" nd="1"/>
        <i x="10" s="1" nd="1"/>
        <i x="13" s="1" nd="1"/>
        <i x="16" s="1" nd="1"/>
        <i x="18" s="1" nd="1"/>
        <i x="5" s="1" nd="1"/>
        <i x="8" s="1" nd="1"/>
        <i x="11" s="1" nd="1"/>
        <i x="14" s="1" nd="1"/>
        <i x="3" s="1" nd="1"/>
        <i x="4" s="1" nd="1"/>
        <i x="6" s="1" nd="1"/>
        <i x="9" s="1" nd="1"/>
        <i x="2" s="1" nd="1"/>
        <i x="1"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9">
        <i x="0" s="1"/>
        <i x="1" s="1"/>
        <i x="5" s="1" nd="1"/>
        <i x="4" s="1" nd="1"/>
        <i x="6" s="1" nd="1"/>
        <i x="8" s="1" nd="1"/>
        <i x="2" s="1" nd="1"/>
        <i x="7" s="1" nd="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0" s="1"/>
        <i x="1" s="1"/>
        <i x="3" s="1" nd="1"/>
        <i x="5" s="1" nd="1"/>
        <i x="4"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 name="Township 3" xr10:uid="{490AF9B5-FE00-42EB-8466-91825A55359D}" cache="Slicer_Township3" caption="Township" rowHeight="294216"/>
  <slicer name="State 4" xr10:uid="{CC1A346C-F1AF-4834-93FF-C53013EC1150}" cache="Slicer_State3" caption="State" rowHeight="294216"/>
  <slicer name="WASH project agency 1" xr10:uid="{9F3A236F-3544-41BA-B710-D38460B73CE6}" cache="Slicer_WASH_project_agency1" caption="WASH project agency" rowHeight="29421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Dark5"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T219" totalsRowShown="0" headerRowDxfId="1227" dataDxfId="1225" headerRowBorderDxfId="1226" tableBorderDxfId="1224">
  <autoFilter ref="A6:ET219" xr:uid="{00000000-000C-0000-FFFF-FFFF00000000}">
    <filterColumn colId="5">
      <filters>
        <filter val="Bhamo"/>
      </filters>
    </filterColumn>
  </autoFilter>
  <sortState xmlns:xlrd2="http://schemas.microsoft.com/office/spreadsheetml/2017/richdata2" ref="A89:ET184">
    <sortCondition ref="H89:H219"/>
  </sortState>
  <tableColumns count="150">
    <tableColumn id="1" xr3:uid="{00000000-0010-0000-0000-000001000000}" name="Reporting Period" dataDxfId="1223" totalsRowDxfId="1222"/>
    <tableColumn id="75" xr3:uid="{00000000-0010-0000-0000-00004B000000}" name="WASH project agency" dataDxfId="1221" totalsRowDxfId="1220"/>
    <tableColumn id="2" xr3:uid="{00000000-0010-0000-0000-000002000000}" name="WASH implementing agency" dataDxfId="1219" totalsRowDxfId="1218"/>
    <tableColumn id="8" xr3:uid="{00000000-0010-0000-0000-000008000000}" name="Primary Donor covering WASH activities at site " dataDxfId="1217" totalsRowDxfId="1216"/>
    <tableColumn id="3" xr3:uid="{00000000-0010-0000-0000-000003000000}" name="State" dataDxfId="1215" totalsRowDxfId="1214"/>
    <tableColumn id="4" xr3:uid="{00000000-0010-0000-0000-000004000000}" name="Township" dataDxfId="1213" totalsRowDxfId="1212"/>
    <tableColumn id="82" xr3:uid="{00000000-0010-0000-0000-000052000000}" name="Location Type" dataDxfId="1211" totalsRowDxfId="1210" dataCellStyle="Percent">
      <calculatedColumnFormula>VLOOKUP(WWWW[[#This Row],[Site Name]],SiteDB6[[Site Name]:[Location Type]],8,FALSE)</calculatedColumnFormula>
    </tableColumn>
    <tableColumn id="5" xr3:uid="{00000000-0010-0000-0000-000005000000}" name="Site Name" dataDxfId="1209" totalsRowDxfId="1208"/>
    <tableColumn id="6" xr3:uid="{00000000-0010-0000-0000-000006000000}" name="Total HH" dataDxfId="1207" totalsRowDxfId="1206" dataCellStyle="Comma"/>
    <tableColumn id="7" xr3:uid="{00000000-0010-0000-0000-000007000000}" name="Total PoP " dataDxfId="1205" totalsRowDxfId="1204" dataCellStyle="Comma"/>
    <tableColumn id="77" xr3:uid="{00000000-0010-0000-0000-00004D000000}" name="Project start date" dataDxfId="1203" totalsRowDxfId="1202"/>
    <tableColumn id="9" xr3:uid="{00000000-0010-0000-0000-000009000000}" name="Project end date" dataDxfId="1201" totalsRowDxfId="1200"/>
    <tableColumn id="104" xr3:uid="{00000000-0010-0000-0000-000068000000}" name="#_students at TLS_CFS" dataDxfId="1199" totalsRowDxfId="1198" dataCellStyle="Comma"/>
    <tableColumn id="50" xr3:uid="{00000000-0010-0000-0000-000032000000}" name="#_ paid camp based WASH skilled labor" dataDxfId="1197" totalsRowDxfId="1196" dataCellStyle="Comma"/>
    <tableColumn id="51" xr3:uid="{00000000-0010-0000-0000-000033000000}" name="#_paid camp based unskilled WASH unskilled labor" dataDxfId="1195" totalsRowDxfId="1194" dataCellStyle="Comma"/>
    <tableColumn id="10" xr3:uid="{00000000-0010-0000-0000-00000A000000}" name="# Work days (approx) lost in this site due to access restrictions" dataDxfId="1193" totalsRowDxfId="1192" dataCellStyle="Comma"/>
    <tableColumn id="74" xr3:uid="{00000000-0010-0000-0000-00004A000000}" name="WASH Focal in camp management structure?" dataDxfId="1191" totalsRowDxfId="1190"/>
    <tableColumn id="83" xr3:uid="{00000000-0010-0000-0000-000053000000}" name="#_men on camp WASH team" dataDxfId="1189" totalsRowDxfId="1188" dataCellStyle="Comma"/>
    <tableColumn id="101" xr3:uid="{00000000-0010-0000-0000-000065000000}" name="#_women on camp WASH team" dataDxfId="1187" totalsRowDxfId="1186" dataCellStyle="Comma"/>
    <tableColumn id="14" xr3:uid="{00000000-0010-0000-0000-00000E000000}" name="#_Constructed/existing protected hand dug well" dataDxfId="1185" totalsRowDxfId="1184" dataCellStyle="Comma"/>
    <tableColumn id="102" xr3:uid="{00000000-0010-0000-0000-000066000000}" name="#_Non-functional protected hand dug well" dataDxfId="1183" totalsRowDxfId="1182" dataCellStyle="Comma"/>
    <tableColumn id="103" xr3:uid="{00000000-0010-0000-0000-000067000000}" name="#_Operation &amp; Maintenance of hand dug well" dataDxfId="1181" totalsRowDxfId="1180" dataCellStyle="Comma"/>
    <tableColumn id="15" xr3:uid="{00000000-0010-0000-0000-00000F000000}" name="#_Constructed/Existing tube wells/boreholes/handpumps_WASH_agency" dataDxfId="1179" totalsRowDxfId="1178" dataCellStyle="Comma"/>
    <tableColumn id="106" xr3:uid="{00000000-0010-0000-0000-00006A000000}" name="#_Non-Cluster partner water tube-wells/boreholes/handpumps" dataDxfId="1177" totalsRowDxfId="1176" dataCellStyle="Comma"/>
    <tableColumn id="107" xr3:uid="{00000000-0010-0000-0000-00006B000000}" name="#_Non-functional tube wells/boreholes/handpumps" dataDxfId="1175" totalsRowDxfId="1174" dataCellStyle="Comma"/>
    <tableColumn id="108" xr3:uid="{00000000-0010-0000-0000-00006C000000}" name="#_Operation &amp; Maintenance of tube wells/boreholes/handpumps" dataDxfId="1173" totalsRowDxfId="1172" dataCellStyle="Comma"/>
    <tableColumn id="109" xr3:uid="{00000000-0010-0000-0000-00006D000000}" name="#_Constructed/Existingwater storage tank with gravity fed reticulation system" dataDxfId="1171" totalsRowDxfId="1170" dataCellStyle="Comma"/>
    <tableColumn id="110" xr3:uid="{00000000-0010-0000-0000-00006E000000}" name="#_Non-functional storage tank gravity fed reticulation system" dataDxfId="1169" totalsRowDxfId="1168" dataCellStyle="Comma"/>
    <tableColumn id="111" xr3:uid="{00000000-0010-0000-0000-00006F000000}" name="#_Operation &amp; maintenance of storage tank and reticulation system" dataDxfId="1167" totalsRowDxfId="1166" dataCellStyle="Comma"/>
    <tableColumn id="112" xr3:uid="{00000000-0010-0000-0000-000070000000}" name="#_Water_Liters_supplied_by_Water boating or water trucking" dataDxfId="1165" totalsRowDxfId="1164" dataCellStyle="Comma"/>
    <tableColumn id="113" xr3:uid="{00000000-0010-0000-0000-000071000000}" name="#_Constructed/Existing protected/fenced ponds" dataDxfId="1163" totalsRowDxfId="1162" dataCellStyle="Comma"/>
    <tableColumn id="114" xr3:uid="{00000000-0010-0000-0000-000072000000}" name="#_Water_Liters_from_Constructed/Existing water distribution system from river or natural spring" dataDxfId="1161" totalsRowDxfId="1160" dataCellStyle="Comma"/>
    <tableColumn id="115" xr3:uid="{00000000-0010-0000-0000-000073000000}" name="#_committes/technicians trained and maintaining the water points" dataDxfId="1159" totalsRowDxfId="1158" dataCellStyle="Comma"/>
    <tableColumn id="116" xr3:uid="{00000000-0010-0000-0000-000074000000}" name="#_Water points fully handed over" dataDxfId="1157" totalsRowDxfId="1156" dataCellStyle="Comma"/>
    <tableColumn id="117" xr3:uid="{00000000-0010-0000-0000-000075000000}" name="#_Water sources tested for fecal coliform " dataDxfId="1155" totalsRowDxfId="1154" dataCellStyle="Comma"/>
    <tableColumn id="118" xr3:uid="{00000000-0010-0000-0000-000076000000}" name="#_Water sources passed" dataDxfId="1153" totalsRowDxfId="1152" dataCellStyle="Comma"/>
    <tableColumn id="119" xr3:uid="{00000000-0010-0000-0000-000077000000}" name="#_Household water samples tested for fecal coliform" dataDxfId="1151" totalsRowDxfId="1150" dataCellStyle="Comma"/>
    <tableColumn id="120" xr3:uid="{00000000-0010-0000-0000-000078000000}" name="#_Household passed" dataDxfId="1149" totalsRowDxfId="1148" dataCellStyle="Comma"/>
    <tableColumn id="121" xr3:uid="{00000000-0010-0000-0000-000079000000}" name="#_Constructed/Existing hand washing stations at TLS/CFS/THF" dataDxfId="1147" totalsRowDxfId="1146" dataCellStyle="Comma"/>
    <tableColumn id="17" xr3:uid="{00000000-0010-0000-0000-000011000000}" name="#_of water points in TLS/CFS" dataDxfId="1145" totalsRowDxfId="1144" dataCellStyle="Comma"/>
    <tableColumn id="143" xr3:uid="{244E3FFB-BD94-4A0C-BCF6-CC2FDD778512}" name="#_of water points in THF" dataDxfId="1143" totalsRowDxfId="1142" dataCellStyle="Comma"/>
    <tableColumn id="59" xr3:uid="{00000000-0010-0000-0000-00003B000000}" name="WATER Comments" dataDxfId="1141" totalsRowDxfId="1140"/>
    <tableColumn id="87" xr3:uid="{00000000-0010-0000-0000-000057000000}" name="#_Constructed latrines_by_WASHAgencies" dataDxfId="1139" totalsRowDxfId="1138" dataCellStyle="Comma"/>
    <tableColumn id="65" xr3:uid="{00000000-0010-0000-0000-000041000000}" name="#_Non Cluster partner latrines" dataDxfId="1137" totalsRowDxfId="1136" dataCellStyle="Comma"/>
    <tableColumn id="39" xr3:uid="{00000000-0010-0000-0000-000027000000}" name="Name of Non-Cluster partner who constructed latrines" dataDxfId="1135" totalsRowDxfId="1134"/>
    <tableColumn id="23" xr3:uid="{00000000-0010-0000-0000-000017000000}" name="#_Non-functional latrines" dataDxfId="1133" totalsRowDxfId="1132" dataCellStyle="Comma"/>
    <tableColumn id="24" xr3:uid="{00000000-0010-0000-0000-000018000000}" name="#_Operation &amp; maintenance of latrines" dataDxfId="1131" totalsRowDxfId="1130" dataCellStyle="Comma"/>
    <tableColumn id="25" xr3:uid="{00000000-0010-0000-0000-000019000000}" name="#_Latrines desludged during the past quarter" dataDxfId="1129" totalsRowDxfId="1128" dataCellStyle="Comma"/>
    <tableColumn id="122" xr3:uid="{00000000-0010-0000-0000-00007A000000}" name="#_Cubic meters of desludging in past quarter" dataDxfId="1127" totalsRowDxfId="1126" dataCellStyle="Comma"/>
    <tableColumn id="123" xr3:uid="{00000000-0010-0000-0000-00007B000000}" name="#_Latrines fully handed over" dataDxfId="1125" totalsRowDxfId="1124" dataCellStyle="Comma"/>
    <tableColumn id="124" xr3:uid="{00000000-0010-0000-0000-00007C000000}" name="Is there provision of solid waste management equipment?" dataDxfId="1123" totalsRowDxfId="1122" dataCellStyle="Percent"/>
    <tableColumn id="105" xr3:uid="{00000000-0010-0000-0000-000069000000}" name="Is there constructed surface water drainage system?_x000a_" dataDxfId="1121" totalsRowDxfId="1120"/>
    <tableColumn id="100" xr3:uid="{00000000-0010-0000-0000-000064000000}" name="#_Constructed/Existing child friendly latrines" dataDxfId="1119" totalsRowDxfId="1118" dataCellStyle="Comma"/>
    <tableColumn id="26" xr3:uid="{00000000-0010-0000-0000-00001A000000}" name="#_Constructed/Existing disabled &amp; elderly friendly latrines " dataDxfId="1117" totalsRowDxfId="1116" dataCellStyle="Comma"/>
    <tableColumn id="125" xr3:uid="{00000000-0010-0000-0000-00007D000000}" name="# of functional latrines in TLS/CFS supported by WASH partners during the reporting period" dataDxfId="1115" totalsRowDxfId="1114" dataCellStyle="Comma"/>
    <tableColumn id="94" xr3:uid="{7F7C0F7D-C4C1-4C47-A69B-747B7539E4BF}" name="# of functional latrines in THF supported by WASH partners during the reporting period2" dataDxfId="1113" totalsRowDxfId="1112" dataCellStyle="Comma"/>
    <tableColumn id="32" xr3:uid="{103DD5A6-1CAA-4F9C-AD18-280981AF11D7}" name="#_of_persons_with_disabilities_with_adapted_sanitation_option" dataDxfId="1111" totalsRowDxfId="1110" dataCellStyle="Comma"/>
    <tableColumn id="11" xr3:uid="{00000000-0010-0000-0000-00000B000000}" name="Sanitation Comments" dataDxfId="1109" totalsRowDxfId="1108"/>
    <tableColumn id="126" xr3:uid="{00000000-0010-0000-0000-00007E000000}" name="#_Constructed/Existing hand washing stations" dataDxfId="1107" totalsRowDxfId="1106" dataCellStyle="Comma"/>
    <tableColumn id="127" xr3:uid="{00000000-0010-0000-0000-00007F000000}" name="#_Non-Functional_hand_washing_stations" dataDxfId="1105" totalsRowDxfId="1104" dataCellStyle="Comma"/>
    <tableColumn id="13" xr3:uid="{00000000-0010-0000-0000-00000D000000}" name="#_Constructed/Existing_individual_bathing_spaces " dataDxfId="1103" totalsRowDxfId="1102" dataCellStyle="Comma"/>
    <tableColumn id="128" xr3:uid="{00000000-0010-0000-0000-000080000000}" name="#_Constructed/Existing communal bathing spaces " dataDxfId="1101" totalsRowDxfId="1100" dataCellStyle="Comma"/>
    <tableColumn id="129" xr3:uid="{00000000-0010-0000-0000-000081000000}" name="#_Non-Functional communal_bathing spaces " dataDxfId="1099" totalsRowDxfId="1098" dataCellStyle="Comma"/>
    <tableColumn id="130" xr3:uid="{00000000-0010-0000-0000-000082000000}" name="#_male hygiene promoters" dataDxfId="1097" totalsRowDxfId="1096" dataCellStyle="Comma"/>
    <tableColumn id="131" xr3:uid="{00000000-0010-0000-0000-000083000000}" name="#_female hygiene promoters" dataDxfId="1095" totalsRowDxfId="1094" dataCellStyle="Comma"/>
    <tableColumn id="132" xr3:uid="{00000000-0010-0000-0000-000084000000}" name="#_households that received standard amount of soap for this quarter" dataDxfId="1093" totalsRowDxfId="1092" dataCellStyle="Comma"/>
    <tableColumn id="133" xr3:uid="{00000000-0010-0000-0000-000085000000}" name="# of affected women and girls receiving a sufficient quantity of sanitary pads from direct distribution or from MHM room facilities" dataDxfId="1091" totalsRowDxfId="1090" dataCellStyle="Comma"/>
    <tableColumn id="134" xr3:uid="{00000000-0010-0000-0000-000086000000}" name="Is sufficient soap available for TLS? (Yes/No)" dataDxfId="1089" totalsRowDxfId="1088"/>
    <tableColumn id="20" xr3:uid="{00000000-0010-0000-0000-000014000000}" name="#_Hygiene Promotion activities (sessions) in TLS?" dataDxfId="1087" totalsRowDxfId="1086"/>
    <tableColumn id="27" xr3:uid="{00000000-0010-0000-0000-00001B000000}" name="% of students reached by HP activities" dataDxfId="1085" totalsRowDxfId="1084" dataCellStyle="Percent"/>
    <tableColumn id="28" xr3:uid="{00000000-0010-0000-0000-00001C000000}" name="Hygiene_x000a_Comments " dataDxfId="1083" totalsRowDxfId="1082"/>
    <tableColumn id="88" xr3:uid="{9392C146-40EC-4C6C-845E-899B52090CD0}" name="%_of_affected_people_surveyed_who_report_feeling_satistfied_with_the_latrine_design_and_sanitation_service" dataDxfId="1081" totalsRowDxfId="1080" dataCellStyle="Percent"/>
    <tableColumn id="84" xr3:uid="{D02E63BE-A09A-459E-A028-D523541E7FF1}" name="%_of_affected_people_surveyed_who_report_feeling_satistfied_with_the_water_point_design_and_water_service" dataDxfId="1079" totalsRowDxfId="1078" dataCellStyle="Percent"/>
    <tableColumn id="79" xr3:uid="{45D940FA-098B-422B-8457-B5D7E56B8A76}" name="#_of_affected_people_surveyed_who_report_feeling_informed_about_the_different_WASH_services_available_to_them" dataDxfId="1077" totalsRowDxfId="1076" dataCellStyle="Percent"/>
    <tableColumn id="69" xr3:uid="{48B022E4-7FE2-4B75-A989-82EB1EB664CB}" name="%_of_complaints_received_that_result_in_timely_corrective_action_and_feedback_to_the_community" dataDxfId="1075" totalsRowDxfId="1074" dataCellStyle="Percent"/>
    <tableColumn id="91" xr3:uid="{A6DE4835-FE6C-403F-8C4E-CB713ADA4F9D}" name="# of sanitation facilities (latrines) built/repaired/rehabilitated following risk-sensitive programming and consultation with communities and/or GBV risk-sensitive programming" dataDxfId="1073" totalsRowDxfId="1072" dataCellStyle="Comma"/>
    <tableColumn id="92" xr3:uid="{01D53E97-A04B-40D2-88CE-B51CAB6274C9}" name="# of sanitation facilities (HH sanitation devices) distributed following risk-sensitive programming and consultation with communities and/or GBV risk-sensitive programming" dataDxfId="1071" totalsRowDxfId="1070" dataCellStyle="Comma"/>
    <tableColumn id="93" xr3:uid="{6F0F9250-E439-4B01-A614-A46D59F326F9}" name="# of sanitation facilities (bathing spaces) built following risk-sensitive programming and consultation with communities" dataDxfId="1069" totalsRowDxfId="1068" dataCellStyle="Comma"/>
    <tableColumn id="145" xr3:uid="{30298DF9-32FA-4E53-94C8-0EF62540805E}" name="amount_of_MMK/Voucher_or_Token_distributed_per_HH/Family" dataDxfId="1067" totalsRowDxfId="1066" dataCellStyle="Comma"/>
    <tableColumn id="146" xr3:uid="{4E9D37B8-A6B6-46A3-8825-A3C815ACD4DF}" name="#_of_Family/HH_Reached" dataDxfId="1065" totalsRowDxfId="1064" dataCellStyle="Comma"/>
    <tableColumn id="147" xr3:uid="{DFAD0E27-7B9F-4712-A1C0-70A69EB291D4}" name="Date_of_Cash_distribution" dataDxfId="1063" totalsRowDxfId="1062" dataCellStyle="Comma"/>
    <tableColumn id="148" xr3:uid="{9DC61FBD-A6C6-4612-B41F-2504DEFCE9E4}" name="Cash_distributed_for_which_items" dataDxfId="1061" totalsRowDxfId="1060" dataCellStyle="Comma"/>
    <tableColumn id="97" xr3:uid="{00000000-0010-0000-0000-000061000000}" name="% of water sources passed" dataDxfId="1059" totalsRowDxfId="1058">
      <calculatedColumnFormula>IFERROR(WWWW[[#This Row],['#_Water sources passed]]/WWWW[[#This Row],['#_Water sources tested for fecal coliform ]],"no test")</calculatedColumnFormula>
    </tableColumn>
    <tableColumn id="98" xr3:uid="{00000000-0010-0000-0000-000062000000}" name="% Household passed" dataDxfId="1057" totalsRowDxfId="1056"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1055" totalsRowDxfId="1054"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1053" totalsRowDxfId="1052"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1051" totalsRowDxfId="1050"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1049" totalsRowDxfId="1048"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1047" totalsRowDxfId="1046" dataCellStyle="Percent">
      <calculatedColumnFormula>(WWWW[[#This Row],['#_Water_Liters_supplied_by_Water boating or water trucking]]/90)/15</calculatedColumnFormula>
    </tableColumn>
    <tableColumn id="52" xr3:uid="{00000000-0010-0000-0000-000034000000}" name="Liters_Constructed water distribution system from river" dataDxfId="1045" totalsRowDxfId="1044"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_HRP5" dataDxfId="1043" totalsRowDxfId="1042" dataCellStyle="Percent">
      <calculatedColumnFormula>IF(WWWW[[#This Row],['#_of water points in TLS/CFS]]*500&gt;WWWW[[#This Row],[Total PoP ]],WWWW[[#This Row],[Total PoP ]],WWWW[[#This Row],['#_of water points in TLS/CFS]]*500)</calculatedColumnFormula>
    </tableColumn>
    <tableColumn id="142" xr3:uid="{8F58250D-2990-476B-86BF-B519893DA5FE}" name="# People access to functional water points or water provision supported by WASH partners in THF_HRP6" dataDxfId="1041" totalsRowDxfId="1040" dataCellStyle="Percent">
      <calculatedColumnFormula>IF(WWWW[[#This Row],['#_of water points in THF]]*500&gt;WWWW[[#This Row],[Total PoP ]],WWWW[[#This Row],[Total PoP ]],WWWW[[#This Row],['#_of water points in THF]]*500)</calculatedColumnFormula>
    </tableColumn>
    <tableColumn id="150" xr3:uid="{697EB2E1-17B9-453B-A91B-0E2E70810771}" name="# People access to functional water points or water provision supported by WASH partners in TLS/CFS/THF_HRP5" dataDxfId="1039" totalsRowDxfId="1038" dataCellStyle="Percent"/>
    <tableColumn id="34" xr3:uid="{00000000-0010-0000-0000-000022000000}" name="Access to safe drinking water for Camp" dataDxfId="1037" totalsRowDxfId="1036"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1035" totalsRowDxfId="1034"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1033" totalsRowDxfId="1032"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1031" totalsRowDxfId="1030">
      <calculatedColumnFormula>WWWW[[#This Row],[%Equitable and continuous access to sufficient quantity of safe drinking water]]*WWWW[[#This Row],[Total PoP ]]</calculatedColumnFormula>
    </tableColumn>
    <tableColumn id="37" xr3:uid="{00000000-0010-0000-0000-000025000000}" name="% Access to unimproved water points" dataDxfId="1029" totalsRowDxfId="1028"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1027" totalsRowDxfId="1026">
      <calculatedColumnFormula>WWWW[[#This Row],[% Access to unimproved water points]]*WWWW[[#This Row],[Total PoP ]]</calculatedColumnFormula>
    </tableColumn>
    <tableColumn id="41" xr3:uid="{00000000-0010-0000-0000-000029000000}" name="% Equitable and continuous access to sufficient quantity of domestic water" dataDxfId="1025" totalsRowDxfId="1024"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1023" totalsRowDxfId="1022">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1021" totalsRowDxfId="1020">
      <calculatedColumnFormula>WWWW[[#This Row],[HRP1]]/500</calculatedColumnFormula>
    </tableColumn>
    <tableColumn id="85" xr3:uid="{00000000-0010-0000-0000-000055000000}" name="%equitable and continuous access to sufficient quantity of safe drinking and domestic water's GAP" dataDxfId="1019" totalsRowDxfId="1018">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1017" totalsRowDxfId="1016">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1015" totalsRowDxfId="1014"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1013" totalsRowDxfId="1012" dataCellStyle="Percent">
      <calculatedColumnFormula>ROUND(IF(WWWW[[#This Row],[Total PoP ]]&lt;500,1,WWWW[[#This Row],[Total PoP ]]/500),0)</calculatedColumnFormula>
    </tableColumn>
    <tableColumn id="66" xr3:uid="{00000000-0010-0000-0000-000042000000}" name="# of Functioning latrine" dataDxfId="1011" totalsRowDxfId="1010"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1009" totalsRowDxfId="1008" dataCellStyle="Percent">
      <calculatedColumnFormula>WWWW[[#This Row],[HRP2]]/WWWW[[#This Row],[Total PoP ]]</calculatedColumnFormula>
    </tableColumn>
    <tableColumn id="18" xr3:uid="{00000000-0010-0000-0000-000012000000}" name="HRP2" dataDxfId="1007" totalsRowDxfId="1006">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calculatedColumnFormula>
    </tableColumn>
    <tableColumn id="70" xr3:uid="{00000000-0010-0000-0000-000046000000}" name="# people access to continuous sanitation services desluding" dataDxfId="1005" totalsRowDxfId="1004"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1003" totalsRowDxfId="1002" dataCellStyle="Percent">
      <calculatedColumnFormul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6" dataDxfId="1001" totalsRowDxfId="1000"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73" xr3:uid="{00000000-0010-0000-0000-000049000000}" name="Total required Latrines" dataDxfId="999" totalsRowDxfId="998"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997" totalsRowDxfId="996"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995" totalsRowDxfId="994">
      <calculatedColumnFormula>1-WWWW[[#This Row],[% people access to functioning Latrine]]</calculatedColumnFormula>
    </tableColumn>
    <tableColumn id="76" xr3:uid="{00000000-0010-0000-0000-00004C000000}" name="% Latrines requiring  repairs" dataDxfId="993" totalsRowDxfId="992"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991" totalsRowDxfId="990">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989" totalsRowDxfId="988"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987" totalsRowDxfId="986"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985" totalsRowDxfId="984"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983" totalsRowDxfId="982"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981" totalsRowDxfId="980">
      <calculatedColumnFormula>IF(WWWW[[#This Row],[HRP3]]/WWWW[[#This Row],[Total PoP ]]&gt;1,1,WWWW[[#This Row],[HRP3]]/WWWW[[#This Row],[Total PoP ]])</calculatedColumnFormula>
    </tableColumn>
    <tableColumn id="72" xr3:uid="{00000000-0010-0000-0000-000048000000}" name="Hygiene Gap%" dataDxfId="979" totalsRowDxfId="978" dataCellStyle="Percent">
      <calculatedColumnFormula>1-WWWW[[#This Row],[Hygiene Coverage%]]</calculatedColumnFormula>
    </tableColumn>
    <tableColumn id="96" xr3:uid="{00000000-0010-0000-0000-000060000000}" name="%people reached by regular dedicated hygiene promotion" dataDxfId="977" totalsRowDxfId="976" dataCellStyle="Percent">
      <calculatedColumnFormula>WWWW[[#This Row],['# people reached by regular dedicated hygiene promotion_5]]/WWWW[[#This Row],[Total PoP ]]</calculatedColumnFormula>
    </tableColumn>
    <tableColumn id="55" xr3:uid="{00000000-0010-0000-0000-000037000000}" name="%HH with access to soap" dataDxfId="975" totalsRowDxfId="974"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973" totalsRowDxfId="972"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971" totalsRowDxfId="970"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969" totalsRowDxfId="968">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967" totalsRowDxfId="966">
      <calculatedColumnFormula>IF(WWWW[[#This Row],[Is sufficient soap available for TLS? (Yes/No)]]="yes",WWWW[[#This Row],['#_Constructed/Existing hand washing stations at TLS/CFS/THF]],0)</calculatedColumnFormula>
    </tableColumn>
    <tableColumn id="22" xr3:uid="{1493D209-8D39-48AA-8346-47078D7BAB87}" name="# People access to Handwashing Station" dataDxfId="965" totalsRowDxfId="964">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963" totalsRowDxfId="962">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961" totalsRowDxfId="960"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41" xr3:uid="{A796CC9A-DB86-49F6-AD19-DBE629BFF4BD}" name="# of affected people surveyed who report feeling satistfied with the latrine design and sanitation service " dataDxfId="959" totalsRowDxfId="958" dataCellStyle="Percent">
      <calculatedColumnFormula>WWWW[[#This Row],[%_of_affected_people_surveyed_who_report_feeling_satistfied_with_the_latrine_design_and_sanitation_service]]*WWWW[[#This Row],[Total PoP ]]</calculatedColumnFormula>
    </tableColumn>
    <tableColumn id="149" xr3:uid="{83A84FC4-76B3-40BA-8EBF-571DC7E63645}" name="# of affected people surveyed who report feeling satistfied with the water point design and water service" dataDxfId="957" totalsRowDxfId="956" dataCellStyle="Percent">
      <calculatedColumnFormula>WWWW[[#This Row],[%_of_affected_people_surveyed_who_report_feeling_satistfied_with_the_water_point_design_and_water_service]]*WWWW[[#This Row],[Total PoP ]]</calculatedColumnFormula>
    </tableColumn>
    <tableColumn id="136" xr3:uid="{CCE8281C-4A16-4AA3-BFA2-66D0C449737B}" name="# complaints received that result in timely, corrective action and feedback to the community" dataDxfId="955" totalsRowDxfId="954" dataCellStyle="Percent">
      <calculatedColumnFormula>WWWW[[#This Row],[%_of_complaints_received_that_result_in_timely_corrective_action_and_feedback_to_the_community]]*WWWW[[#This Row],[Total PoP ]]</calculatedColumnFormula>
    </tableColumn>
    <tableColumn id="138" xr3:uid="{D2E8727C-D400-42EC-927D-BF8DF766C3B5}" name="HRP4" dataDxfId="953" dataCellStyle="Percent">
      <calculatedColumnFormula>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calculatedColumnFormula>
    </tableColumn>
    <tableColumn id="139" xr3:uid="{D29A4F7B-10CF-4208-8675-3A9C881225BC}" name="HRP5" dataDxfId="952" dataCellStyle="Comma">
      <calculatedColumnFormula>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calculatedColumnFormula>
    </tableColumn>
    <tableColumn id="144" xr3:uid="{833A5B75-4755-41B5-A6AF-5D65116817B8}" name="HRP6" dataDxfId="951" totalsRowDxfId="950" dataCellStyle="Comma">
      <calculatedColumnFormula>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calculatedColumnFormula>
    </tableColumn>
    <tableColumn id="58" xr3:uid="{00000000-0010-0000-0000-00003A000000}" name="CCCM Management" dataDxfId="949" totalsRowDxfId="948" dataCellStyle="Percent">
      <calculatedColumnFormula>VLOOKUP(WWWW[[#This Row],[Site Name]],SiteDB6[[Site Name]:[CCCM Management]],6,FALSE)</calculatedColumnFormula>
    </tableColumn>
    <tableColumn id="81" xr3:uid="{00000000-0010-0000-0000-000051000000}" name="CCCM Focal Agency" dataDxfId="947" totalsRowDxfId="946" dataCellStyle="Percent">
      <calculatedColumnFormula>VLOOKUP(WWWW[[#This Row],[Site Name]],SiteDB6[[Site Name]:[CCCM Focal Agency]],7,FALSE)</calculatedColumnFormula>
    </tableColumn>
    <tableColumn id="80" xr3:uid="{00000000-0010-0000-0000-000050000000}" name="Location Type 1" dataDxfId="945" totalsRowDxfId="944" dataCellStyle="Percent">
      <calculatedColumnFormula>VLOOKUP(WWWW[[#This Row],[Site Name]],SiteDB6[[Site Name]:[Location Type 1]],9,FALSE)</calculatedColumnFormula>
    </tableColumn>
    <tableColumn id="45" xr3:uid="{00000000-0010-0000-0000-00002D000000}" name="Type of accommodation" dataDxfId="943" totalsRowDxfId="942" dataCellStyle="Percent">
      <calculatedColumnFormula>VLOOKUP(WWWW[[#This Row],[Site Name]],SiteDB6[[Site Name]:[Type of Accommodation]],10,FALSE)</calculatedColumnFormula>
    </tableColumn>
    <tableColumn id="46" xr3:uid="{00000000-0010-0000-0000-00002E000000}" name="Ethnic or GCA/NGCA" dataDxfId="941" totalsRowDxfId="940" dataCellStyle="Percent">
      <calculatedColumnFormula>VLOOKUP(WWWW[[#This Row],[Site Name]],SiteDB6[[Site Name]:[Ethnic or GCA/NGCA]],11,FALSE)</calculatedColumnFormula>
    </tableColumn>
    <tableColumn id="60" xr3:uid="{00000000-0010-0000-0000-00003C000000}" name="Lat" dataDxfId="939" totalsRowDxfId="938" dataCellStyle="Percent">
      <calculatedColumnFormula>VLOOKUP(WWWW[[#This Row],[Site Name]],SiteDB6[[Site Name]:[Lat]],12,FALSE)</calculatedColumnFormula>
    </tableColumn>
    <tableColumn id="61" xr3:uid="{00000000-0010-0000-0000-00003D000000}" name="Long" dataDxfId="937" totalsRowDxfId="936" dataCellStyle="Percent">
      <calculatedColumnFormula>VLOOKUP(WWWW[[#This Row],[Site Name]],SiteDB6[[Site Name]:[Long]],13,FALSE)</calculatedColumnFormula>
    </tableColumn>
    <tableColumn id="62" xr3:uid="{00000000-0010-0000-0000-00003E000000}" name="Pcode" dataDxfId="935" totalsRowDxfId="934" dataCellStyle="Percent">
      <calculatedColumnFormula>VLOOKUP(WWWW[[#This Row],[Site Name]],SiteDB6[[Site Name]:[Pcode]],3,FALSE)</calculatedColumnFormula>
    </tableColumn>
    <tableColumn id="63" xr3:uid="{00000000-0010-0000-0000-00003F000000}" name="Covered" dataDxfId="933" totalsRowDxfId="932">
      <calculatedColumnFormula>IF(C7="none","Notcovered","Covered")</calculatedColumnFormula>
    </tableColumn>
    <tableColumn id="64" xr3:uid="{00000000-0010-0000-0000-000040000000}" name="Remark" dataDxfId="931" totalsRowDxfId="930"/>
    <tableColumn id="137" xr3:uid="{4AE3EAE7-838D-448F-9EBF-A5D3F9444C5E}" name="HH" dataDxfId="929" totalsRowDxfId="928" dataCellStyle="Percent">
      <calculatedColumnFormula>VLOOKUP(WWWW[[#This Row],[Site Name]],SiteDB6[[Site Name]:[Pop
(Kachin/Shan-CCCM as of March 2023)]],16,FALSE)</calculatedColumnFormula>
    </tableColumn>
    <tableColumn id="140" xr3:uid="{FCC69DBE-FEAC-4669-A23E-99ECA329EC5D}" name="Population" dataDxfId="927" dataCellStyle="Percent">
      <calculatedColumnFormula>VLOOKUP(WWWW[[#This Row],[Site Name]],SiteDB6[[Site Name]:[Pop
(Kachin/Shan-CCCM as of March 2023)]],17,FALSE)</calculatedColumnFormula>
    </tableColumn>
  </tableColumns>
  <tableStyleInfo name="TableStyleMedium27"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34:H47" totalsRowShown="0" headerRowDxfId="99" dataDxfId="97" totalsRowDxfId="96" headerRowBorderDxfId="98">
  <autoFilter ref="B34:H47" xr:uid="{00000000-0009-0000-0100-00000A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200-000001000000}" name="Gap in WASH covered camps / township" dataDxfId="95" totalsRowDxfId="94"/>
    <tableColumn id="2" xr3:uid="{00000000-0010-0000-0200-000002000000}" name="Partners " dataDxfId="93"/>
    <tableColumn id="3" xr3:uid="{00000000-0010-0000-0200-000003000000}" name="# of sites" dataDxfId="92" dataCellStyle="Comma"/>
    <tableColumn id="4" xr3:uid="{00000000-0010-0000-0200-000004000000}" name="Total population" dataDxfId="91" dataCellStyle="Comma"/>
    <tableColumn id="5" xr3:uid="{00000000-0010-0000-0200-000005000000}" name=" % _x000a_Water Gap" dataDxfId="90"/>
    <tableColumn id="6" xr3:uid="{00000000-0010-0000-0200-000006000000}" name=" %_x000a_ Sanitation Gap" dataDxfId="89"/>
    <tableColumn id="7" xr3:uid="{43887CA2-2ABC-4266-ACE9-C2109EC04876}" name="%  _x000a_Hygiene Gap" dataDxfId="88" totalsRowDxfId="87"/>
  </tableColumns>
  <tableStyleInfo name="TableStyleLight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29:H41" totalsRowShown="0" headerRowDxfId="86" dataDxfId="84" headerRowBorderDxfId="85" tableBorderDxfId="83" totalsRowBorderDxfId="82">
  <tableColumns count="7">
    <tableColumn id="1" xr3:uid="{00000000-0010-0000-0500-000001000000}" name="Gap in WASH covered camps / township" dataDxfId="81" totalsRowDxfId="80"/>
    <tableColumn id="2" xr3:uid="{00000000-0010-0000-0500-000002000000}" name="Partners " dataDxfId="79" totalsRowDxfId="78"/>
    <tableColumn id="3" xr3:uid="{00000000-0010-0000-0500-000003000000}" name="# of sites" dataDxfId="77" totalsRowDxfId="76" dataCellStyle="Comma"/>
    <tableColumn id="4" xr3:uid="{00000000-0010-0000-0500-000004000000}" name="Total population" dataDxfId="75" totalsRowDxfId="74" dataCellStyle="Comma"/>
    <tableColumn id="5" xr3:uid="{00000000-0010-0000-0500-000005000000}" name=" % _x000a_Water Gap" dataDxfId="73" totalsRowDxfId="72"/>
    <tableColumn id="6" xr3:uid="{00000000-0010-0000-0500-000006000000}" name=" %_x000a_ Sanitation Gap" dataDxfId="71" totalsRowDxfId="70"/>
    <tableColumn id="7" xr3:uid="{AB1608BD-CBFF-4849-B68E-CA61CA18B396}" name="%  _x000a_Hygiene Gap" dataDxfId="69" totalsRowDxfId="68"/>
  </tableColumns>
  <tableStyleInfo name="TableStyleLight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552E7B-8ED8-4811-A2CA-52AAD8173847}" name="Table6" displayName="Table6" ref="B42:H45" totalsRowShown="0" headerRowDxfId="67" dataDxfId="65" headerRowBorderDxfId="66" tableBorderDxfId="64" totalsRowBorderDxfId="63">
  <tableColumns count="7">
    <tableColumn id="1" xr3:uid="{698DE567-F73E-4889-A830-67FFCE1B6803}" name="Gap in WASH covered villages / township" dataDxfId="62"/>
    <tableColumn id="2" xr3:uid="{9545AE45-0B30-40F1-9017-7E27D70768AE}" name="Partners " dataDxfId="61"/>
    <tableColumn id="3" xr3:uid="{A628D95F-ABF8-4B91-AC92-76A5D9D7533E}" name="# of villages" dataDxfId="60"/>
    <tableColumn id="4" xr3:uid="{C6D6A6A5-922D-43FD-8D84-E0EB3210DAAA}" name="Total population" dataDxfId="59"/>
    <tableColumn id="5" xr3:uid="{498662AD-6EB1-4CC0-8C46-2F84560E0FFD}" name=" % _x000a_Water GAP" dataDxfId="58"/>
    <tableColumn id="6" xr3:uid="{ABECD877-BBD9-4F1A-A1BA-C2D733E18258}" name=" %_x000a_Sanitation GAP" dataDxfId="57"/>
    <tableColumn id="7" xr3:uid="{31B1CF1B-5248-4EC8-9F42-13E2AD36658C}" name=" %_x000a_Hygiene Gap" dataDxfId="5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X432" totalsRowShown="0" headerRowDxfId="895">
  <autoFilter ref="A2:X432" xr:uid="{00000000-000C-0000-FFFF-FFFF01000000}"/>
  <sortState xmlns:xlrd2="http://schemas.microsoft.com/office/spreadsheetml/2017/richdata2" ref="A3:X432">
    <sortCondition ref="A3:A432"/>
    <sortCondition ref="B3:B432"/>
    <sortCondition ref="C3:C432"/>
  </sortState>
  <tableColumns count="24">
    <tableColumn id="13" xr3:uid="{00000000-0010-0000-0100-00000D000000}" name="State" dataDxfId="894"/>
    <tableColumn id="12" xr3:uid="{00000000-0010-0000-0100-00000C000000}" name="Township" dataDxfId="893"/>
    <tableColumn id="1" xr3:uid="{00000000-0010-0000-0100-000001000000}" name="Site Name" dataDxfId="892"/>
    <tableColumn id="26" xr3:uid="{00000000-0010-0000-0100-00001A000000}" name="open in cccm?" dataDxfId="891"/>
    <tableColumn id="2" xr3:uid="{00000000-0010-0000-0100-000002000000}" name="Pcode" dataDxfId="890"/>
    <tableColumn id="20" xr3:uid="{00000000-0010-0000-0100-000014000000}" name="Vtract" dataDxfId="889"/>
    <tableColumn id="21" xr3:uid="{00000000-0010-0000-0100-000015000000}" name="VillageWard" dataDxfId="888"/>
    <tableColumn id="3" xr3:uid="{00000000-0010-0000-0100-000003000000}" name="CCCM Management" dataDxfId="887"/>
    <tableColumn id="4" xr3:uid="{00000000-0010-0000-0100-000004000000}" name="CCCM Focal Agency" dataDxfId="886"/>
    <tableColumn id="5" xr3:uid="{00000000-0010-0000-0100-000005000000}" name="Location Type" dataDxfId="885"/>
    <tableColumn id="6" xr3:uid="{00000000-0010-0000-0100-000006000000}" name="Location Type 1" dataDxfId="884"/>
    <tableColumn id="7" xr3:uid="{00000000-0010-0000-0100-000007000000}" name="Type of Accommodation" dataDxfId="883"/>
    <tableColumn id="8" xr3:uid="{00000000-0010-0000-0100-000008000000}" name="Ethnic or GCA/NGCA" dataDxfId="882"/>
    <tableColumn id="10" xr3:uid="{00000000-0010-0000-0100-00000A000000}" name="Lat" dataDxfId="881"/>
    <tableColumn id="9" xr3:uid="{00000000-0010-0000-0100-000009000000}" name="Long" dataDxfId="880"/>
    <tableColumn id="11" xr3:uid="{00000000-0010-0000-0100-00000B000000}" name="HRP categories" dataDxfId="879"/>
    <tableColumn id="14" xr3:uid="{00000000-0010-0000-0100-00000E000000}" name="Current 4 W reported list" dataDxfId="878"/>
    <tableColumn id="15" xr3:uid="{00000000-0010-0000-0100-00000F000000}" name="HH_x000a_(Kachin/Shan-CCCM as of march 2023)" dataDxfId="877"/>
    <tableColumn id="16" xr3:uid="{00000000-0010-0000-0100-000010000000}" name="Pop_x000a_(Kachin/Shan-CCCM as of March 2023)" dataDxfId="876"/>
    <tableColumn id="17" xr3:uid="{00000000-0010-0000-0100-000011000000}" name="Updated Date" dataDxfId="875"/>
    <tableColumn id="18" xr3:uid="{00000000-0010-0000-0100-000012000000}" name="Remark" dataDxfId="874"/>
    <tableColumn id="19" xr3:uid="{00000000-0010-0000-0100-000013000000}" name="Site Name_(Old)" dataDxfId="873"/>
    <tableColumn id="24" xr3:uid="{00000000-0010-0000-0100-000018000000}" name="Comments form CCCM" dataDxfId="872"/>
    <tableColumn id="22" xr3:uid="{7F177281-BFF7-4C20-A257-E2A6FD571981}" name="old-Pcode" dataDxfId="87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5F6C50-1B3B-43F8-9EB7-07255A8DFD71}" name="Table7" displayName="Table7" ref="AA24:AI43" totalsRowCount="1" headerRowDxfId="817" dataDxfId="816" headerRowCellStyle="Percent" dataCellStyle="Percent">
  <autoFilter ref="AA24:AI42" xr:uid="{2ED43D13-34A9-43A8-8619-43B0B3B6FE5F}"/>
  <tableColumns count="9">
    <tableColumn id="1" xr3:uid="{1DF98B73-0100-42FA-A4EA-48D006F18ADC}" name="Row Labels" dataDxfId="815" totalsRowDxfId="814" dataCellStyle="Percent" totalsRowCellStyle="Percent"/>
    <tableColumn id="9" xr3:uid="{7D4C4BAD-3118-45B7-9C6A-291564A4DF2C}" name="% Male" totalsRowFunction="average" dataDxfId="813" totalsRowDxfId="812" dataCellStyle="Percent" totalsRowCellStyle="Percent">
      <calculatedColumnFormula>1-Table7[[#This Row],[% Female]]</calculatedColumnFormula>
    </tableColumn>
    <tableColumn id="2" xr3:uid="{4A59A6D6-3700-4F61-8976-542E92D88FC8}" name="% Female" totalsRowFunction="average" dataDxfId="811" totalsRowDxfId="810" dataCellStyle="Percent"/>
    <tableColumn id="3" xr3:uid="{7C03B214-F47E-4240-BC01-2C8206074FBE}" name="% CHILDREN  (Age 18&lt;)" totalsRowFunction="average" dataDxfId="809" totalsRowDxfId="808" dataCellStyle="Percent"/>
    <tableColumn id="4" xr3:uid="{6F2CD890-4F97-4E40-8906-C537A9CC5AA1}" name=" % ADULTS ( Age 18-60)" totalsRowFunction="average" dataDxfId="807" totalsRowDxfId="806" dataCellStyle="Percent"/>
    <tableColumn id="5" xr3:uid="{ABA85F2F-3F02-4212-A5B3-0040660BA75C}" name="% ELDERS  (Age 60+)" totalsRowFunction="average" dataDxfId="805" totalsRowDxfId="804" dataCellStyle="Percent"/>
    <tableColumn id="6" xr3:uid="{A3EDBD5C-63BC-41D2-BBC4-1611E28D3582}" name="% of people with disabilities (Age 5 yrs+)" totalsRowFunction="average" dataDxfId="803" totalsRowDxfId="802" dataCellStyle="Percent"/>
    <tableColumn id="7" xr3:uid="{03BDE777-865E-4371-8C3E-26E780CFAFB5}" name="Column1" dataDxfId="801" totalsRowDxfId="800" dataCellStyle="Percent" totalsRowCellStyle="Percent">
      <calculatedColumnFormula>Table7[[#This Row],[% Female]]*P25</calculatedColumnFormula>
    </tableColumn>
    <tableColumn id="8" xr3:uid="{1B86C093-8C0E-403E-80C6-248E9131E0F9}" name="Column2" dataDxfId="799" totalsRowDxfId="798" dataCellStyle="Percent" totalsRowCellStyle="Percent">
      <calculatedColumnFormula>P25*Table7[[#This Row],[% of people with disabilities (Age 5 yrs+)]]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36EA56-16F0-4227-8177-7198138D28B0}" name="Table9" displayName="Table9" ref="B1:D74" totalsRowShown="0">
  <autoFilter ref="B1:D74" xr:uid="{C7160497-FB2A-46BE-B598-99BC73E687A1}"/>
  <sortState xmlns:xlrd2="http://schemas.microsoft.com/office/spreadsheetml/2017/richdata2" ref="B57:D62">
    <sortCondition ref="C59:C74"/>
  </sortState>
  <tableColumns count="3">
    <tableColumn id="1" xr3:uid="{943F8942-DCB1-4E92-90EF-25CEB170E0E5}" name="State" dataDxfId="128"/>
    <tableColumn id="2" xr3:uid="{4855DDFF-B12E-434F-91CE-5F24B4B1325E}" name="Acronym" dataDxfId="127"/>
    <tableColumn id="3" xr3:uid="{4A00DAB0-F230-4449-BF42-BCCE59B8C1A0}" name="reporting"/>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E951DCA-731C-4237-90A3-4F471EE94395}" name="Table4" displayName="Table4" ref="I1:M78" totalsRowShown="0">
  <autoFilter ref="I1:M78" xr:uid="{2E951DCA-731C-4237-90A3-4F471EE94395}"/>
  <sortState xmlns:xlrd2="http://schemas.microsoft.com/office/spreadsheetml/2017/richdata2" ref="I2:M78">
    <sortCondition ref="I2:I78"/>
    <sortCondition ref="J2:J78"/>
  </sortState>
  <tableColumns count="5">
    <tableColumn id="1" xr3:uid="{6303321D-2A6B-4F0C-92E8-E7526E96C5A2}" name="State" dataDxfId="126"/>
    <tableColumn id="2" xr3:uid="{7B80C937-F5C7-411D-BE48-93ACF435DD85}" name="Acronym" dataDxfId="125"/>
    <tableColumn id="3" xr3:uid="{C2CB8D7D-A843-49AF-B204-075AF74FAA10}" name="Long name" dataDxfId="124"/>
    <tableColumn id="4" xr3:uid="{4FF1C7CF-ABF6-466B-9081-0C063C6200FA}" name="Type" dataDxfId="123"/>
    <tableColumn id="5" xr3:uid="{B1DD9F44-2206-4C67-9BE5-893CD72F46BF}" name="Column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7A8EC0E-78B9-4A24-8AAE-8C217AF5087C}" name="Table11" displayName="Table11" ref="B1:D100" totalsRowShown="0" headerRowDxfId="122" dataDxfId="120" headerRowBorderDxfId="121" tableBorderDxfId="119">
  <autoFilter ref="B1:D100" xr:uid="{79D853A1-C55E-4B1A-9554-D1849183AF86}"/>
  <sortState xmlns:xlrd2="http://schemas.microsoft.com/office/spreadsheetml/2017/richdata2" ref="B2:D100">
    <sortCondition ref="D2:D100"/>
    <sortCondition ref="B2:B100"/>
    <sortCondition ref="C2:C100"/>
  </sortState>
  <tableColumns count="3">
    <tableColumn id="1" xr3:uid="{1A8463B7-A8E4-4659-8238-EC6DB12B5BA0}" name="State" dataDxfId="118"/>
    <tableColumn id="2" xr3:uid="{C9741FC6-C582-4A23-9CB1-AD0234F0287C}" name="Acronym" dataDxfId="117"/>
    <tableColumn id="3" xr3:uid="{D43D3176-44EF-4FAF-99A3-2FB89198A86A}" name="reporting" dataDxfId="11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DFDEB21-06E3-475D-BBE7-3C9586890AB8}" name="Table12" displayName="Table12" ref="K2:L47" totalsRowShown="0" headerRowDxfId="115" dataDxfId="113" headerRowBorderDxfId="114">
  <autoFilter ref="K2:L47" xr:uid="{43508913-B5F6-4D3D-8F91-6EE2B881A4D1}"/>
  <sortState xmlns:xlrd2="http://schemas.microsoft.com/office/spreadsheetml/2017/richdata2" ref="K3:L47">
    <sortCondition ref="L2:L47"/>
  </sortState>
  <tableColumns count="2">
    <tableColumn id="1" xr3:uid="{9E25C265-87D2-4573-8EEE-DAC389185E6F}" name="Acronym" dataDxfId="112"/>
    <tableColumn id="2" xr3:uid="{1781BFD7-9D86-4950-8923-AA9879611C4C}" name="Type" dataDxfId="11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E1E8532-1551-46D8-9DA4-D2CE1AF4DFC7}" name="Table1215" displayName="Table1215" ref="K2:L49" totalsRowShown="0" headerRowDxfId="110" dataDxfId="108" headerRowBorderDxfId="109">
  <autoFilter ref="K2:L49" xr:uid="{43508913-B5F6-4D3D-8F91-6EE2B881A4D1}"/>
  <sortState xmlns:xlrd2="http://schemas.microsoft.com/office/spreadsheetml/2017/richdata2" ref="K3:L49">
    <sortCondition ref="K2:K49"/>
  </sortState>
  <tableColumns count="2">
    <tableColumn id="1" xr3:uid="{E856FD35-B31A-4502-80EC-63DA5E9EDBA5}" name="Acronym" dataDxfId="107"/>
    <tableColumn id="2" xr3:uid="{BFD3FB80-39ED-468F-B28B-079838663686}" name="Type" dataDxfId="10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2AB8351-06FD-4E83-B378-84B8BCBED386}" name="Table1114" displayName="Table1114" ref="B1:D108" totalsRowShown="0" headerRowDxfId="105" headerRowBorderDxfId="104" tableBorderDxfId="103">
  <autoFilter ref="B1:D108" xr:uid="{79D853A1-C55E-4B1A-9554-D1849183AF86}"/>
  <sortState xmlns:xlrd2="http://schemas.microsoft.com/office/spreadsheetml/2017/richdata2" ref="B2:D100">
    <sortCondition ref="D2:D100"/>
    <sortCondition ref="B2:B100"/>
    <sortCondition ref="C2:C100"/>
  </sortState>
  <tableColumns count="3">
    <tableColumn id="1" xr3:uid="{FDE3A589-E34F-4EE7-ABFE-810F9230210F}" name="State" dataDxfId="102"/>
    <tableColumn id="2" xr3:uid="{6ADF7C4E-FEC8-46DE-B2DA-52987FAED55C}" name="Acronym" dataDxfId="101"/>
    <tableColumn id="3" xr3:uid="{6BB2C37B-F2DC-40DC-87B6-2D02A0F9B1BB}" name="reporting" dataDxfId="10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9" Type="http://schemas.microsoft.com/office/2007/relationships/slicer" Target="../slicers/slicer1.xml"/><Relationship Id="rId21" Type="http://schemas.openxmlformats.org/officeDocument/2006/relationships/pivotTable" Target="../pivotTables/pivotTable25.xml"/><Relationship Id="rId34" Type="http://schemas.openxmlformats.org/officeDocument/2006/relationships/pivotTable" Target="../pivotTables/pivotTable38.xml"/><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38" Type="http://schemas.openxmlformats.org/officeDocument/2006/relationships/drawing" Target="../drawings/drawing5.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37" Type="http://schemas.openxmlformats.org/officeDocument/2006/relationships/printerSettings" Target="../printerSettings/printerSettings9.bin"/><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openxmlformats.org/officeDocument/2006/relationships/pivotTable" Target="../pivotTables/pivotTable40.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pivotTable" Target="../pivotTables/pivotTable39.xml"/><Relationship Id="rId8" Type="http://schemas.openxmlformats.org/officeDocument/2006/relationships/pivotTable" Target="../pivotTables/pivotTable12.xml"/><Relationship Id="rId3"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41.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ivotTable" Target="../pivotTables/pivotTable4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45.xml"/><Relationship Id="rId2" Type="http://schemas.openxmlformats.org/officeDocument/2006/relationships/pivotTable" Target="../pivotTables/pivotTable44.xml"/><Relationship Id="rId1" Type="http://schemas.openxmlformats.org/officeDocument/2006/relationships/pivotTable" Target="../pivotTables/pivotTable43.xml"/><Relationship Id="rId5" Type="http://schemas.openxmlformats.org/officeDocument/2006/relationships/table" Target="../tables/table7.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48.xml"/><Relationship Id="rId2" Type="http://schemas.openxmlformats.org/officeDocument/2006/relationships/pivotTable" Target="../pivotTables/pivotTable47.xml"/><Relationship Id="rId1" Type="http://schemas.openxmlformats.org/officeDocument/2006/relationships/pivotTable" Target="../pivotTables/pivotTable46.xml"/><Relationship Id="rId5" Type="http://schemas.openxmlformats.org/officeDocument/2006/relationships/table" Target="../tables/table9.xml"/><Relationship Id="rId4"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12.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0.xml"/><Relationship Id="rId1" Type="http://schemas.openxmlformats.org/officeDocument/2006/relationships/pivotTable" Target="../pivotTables/pivotTable49.xml"/></Relationships>
</file>

<file path=xl/worksheets/_rels/sheet19.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2.xml"/><Relationship Id="rId1" Type="http://schemas.openxmlformats.org/officeDocument/2006/relationships/pivotTable" Target="../pivotTables/pivotTable50.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3.xml"/><Relationship Id="rId1" Type="http://schemas.openxmlformats.org/officeDocument/2006/relationships/pivotTable" Target="../pivotTables/pivotTable5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topLeftCell="A22"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75" customHeight="1" thickTop="1" thickBot="1">
      <c r="B2" s="1070" t="s">
        <v>79</v>
      </c>
      <c r="C2" s="1071"/>
      <c r="D2" s="1071"/>
      <c r="E2" s="1071"/>
      <c r="F2" s="1071"/>
      <c r="G2" s="1071"/>
      <c r="H2" s="1071"/>
      <c r="I2" s="1071"/>
      <c r="J2" s="1071"/>
      <c r="K2" s="1071"/>
      <c r="L2" s="1071"/>
      <c r="M2" s="1071"/>
      <c r="N2" s="1071"/>
      <c r="O2" s="1071"/>
      <c r="P2" s="1071"/>
      <c r="Q2" s="1071"/>
      <c r="R2" s="1071"/>
      <c r="S2" s="1071"/>
      <c r="T2" s="1072"/>
    </row>
    <row r="3" spans="2:20" ht="15" thickTop="1">
      <c r="B3" s="23"/>
      <c r="C3" s="24"/>
      <c r="D3" s="24"/>
      <c r="E3" s="24"/>
      <c r="F3" s="24"/>
      <c r="G3" s="24"/>
      <c r="H3" s="24"/>
      <c r="I3" s="24"/>
      <c r="J3" s="24"/>
      <c r="K3" s="24"/>
      <c r="L3" s="24"/>
      <c r="M3" s="24"/>
      <c r="N3" s="24"/>
      <c r="O3" s="24"/>
      <c r="P3" s="24"/>
      <c r="Q3" s="24"/>
      <c r="R3" s="24"/>
      <c r="S3" s="24"/>
      <c r="T3" s="25"/>
    </row>
    <row r="4" spans="2:20">
      <c r="B4" s="23"/>
      <c r="C4" s="26" t="s">
        <v>80</v>
      </c>
      <c r="D4" s="24"/>
      <c r="E4" s="24"/>
      <c r="F4" s="24"/>
      <c r="G4" s="24"/>
      <c r="H4" s="24"/>
      <c r="I4" s="24"/>
      <c r="J4" s="24"/>
      <c r="K4" s="24"/>
      <c r="L4" s="24"/>
      <c r="M4" s="24"/>
      <c r="N4" s="24"/>
      <c r="O4" s="24"/>
      <c r="P4" s="24"/>
      <c r="Q4" s="24"/>
      <c r="R4" s="24"/>
      <c r="S4" s="24"/>
      <c r="T4" s="25"/>
    </row>
    <row r="5" spans="2:20">
      <c r="B5" s="23"/>
      <c r="C5" s="24"/>
      <c r="D5" s="24" t="s">
        <v>81</v>
      </c>
      <c r="E5" s="24"/>
      <c r="F5" s="24"/>
      <c r="G5" s="24"/>
      <c r="H5" s="24"/>
      <c r="I5" s="24"/>
      <c r="J5" s="24"/>
      <c r="K5" s="24"/>
      <c r="L5" s="24"/>
      <c r="M5" s="24"/>
      <c r="N5" s="24"/>
      <c r="O5" s="24"/>
      <c r="P5" s="24"/>
      <c r="Q5" s="24"/>
      <c r="R5" s="24"/>
      <c r="S5" s="24"/>
      <c r="T5" s="25"/>
    </row>
    <row r="6" spans="2:20">
      <c r="B6" s="23"/>
      <c r="C6" s="24"/>
      <c r="D6" s="24" t="s">
        <v>82</v>
      </c>
      <c r="E6" s="24"/>
      <c r="F6" s="24"/>
      <c r="G6" s="24"/>
      <c r="H6" s="24"/>
      <c r="I6" s="24"/>
      <c r="J6" s="24"/>
      <c r="K6" s="24"/>
      <c r="L6" s="24"/>
      <c r="M6" s="24"/>
      <c r="N6" s="24"/>
      <c r="O6" s="24"/>
      <c r="P6" s="24"/>
      <c r="Q6" s="24"/>
      <c r="R6" s="24"/>
      <c r="S6" s="24"/>
      <c r="T6" s="25"/>
    </row>
    <row r="7" spans="2:20">
      <c r="B7" s="23"/>
      <c r="C7" s="24"/>
      <c r="D7" s="24" t="s">
        <v>83</v>
      </c>
      <c r="E7" s="24"/>
      <c r="F7" s="24"/>
      <c r="G7" s="24"/>
      <c r="H7" s="24"/>
      <c r="I7" s="24"/>
      <c r="J7" s="24"/>
      <c r="K7" s="24"/>
      <c r="L7" s="24"/>
      <c r="M7" s="24"/>
      <c r="N7" s="24"/>
      <c r="O7" s="24"/>
      <c r="P7" s="24"/>
      <c r="Q7" s="24"/>
      <c r="R7" s="24"/>
      <c r="S7" s="24"/>
      <c r="T7" s="25"/>
    </row>
    <row r="8" spans="2:20">
      <c r="B8" s="23"/>
      <c r="C8" s="24"/>
      <c r="D8" s="24" t="s">
        <v>84</v>
      </c>
      <c r="E8" s="24"/>
      <c r="F8" s="24"/>
      <c r="G8" s="24"/>
      <c r="H8" s="24"/>
      <c r="I8" s="24"/>
      <c r="J8" s="24"/>
      <c r="K8" s="24"/>
      <c r="L8" s="24"/>
      <c r="M8" s="24"/>
      <c r="N8" s="24"/>
      <c r="O8" s="24"/>
      <c r="P8" s="24"/>
      <c r="Q8" s="24"/>
      <c r="R8" s="24"/>
      <c r="S8" s="24"/>
      <c r="T8" s="25"/>
    </row>
    <row r="9" spans="2:20">
      <c r="B9" s="23"/>
      <c r="C9" s="24"/>
      <c r="D9" s="24" t="s">
        <v>85</v>
      </c>
      <c r="E9" s="24"/>
      <c r="F9" s="24"/>
      <c r="G9" s="24"/>
      <c r="H9" s="24"/>
      <c r="I9" s="24"/>
      <c r="J9" s="24"/>
      <c r="K9" s="24"/>
      <c r="L9" s="24"/>
      <c r="M9" s="24"/>
      <c r="N9" s="24"/>
      <c r="O9" s="24"/>
      <c r="P9" s="24"/>
      <c r="Q9" s="24"/>
      <c r="R9" s="24"/>
      <c r="S9" s="24"/>
      <c r="T9" s="25"/>
    </row>
    <row r="10" spans="2:20">
      <c r="B10" s="23"/>
      <c r="C10" s="24"/>
      <c r="D10" s="24" t="s">
        <v>86</v>
      </c>
      <c r="E10" s="24"/>
      <c r="F10" s="24"/>
      <c r="G10" s="24"/>
      <c r="H10" s="24"/>
      <c r="I10" s="24"/>
      <c r="J10" s="24"/>
      <c r="K10" s="24"/>
      <c r="L10" s="24"/>
      <c r="M10" s="24"/>
      <c r="N10" s="24"/>
      <c r="O10" s="24"/>
      <c r="P10" s="24"/>
      <c r="Q10" s="24"/>
      <c r="R10" s="24"/>
      <c r="S10" s="24"/>
      <c r="T10" s="25"/>
    </row>
    <row r="11" spans="2:20">
      <c r="B11" s="23"/>
      <c r="C11" s="24"/>
      <c r="D11" s="24" t="s">
        <v>87</v>
      </c>
      <c r="E11" s="24"/>
      <c r="F11" s="24"/>
      <c r="G11" s="24"/>
      <c r="H11" s="24"/>
      <c r="I11" s="24"/>
      <c r="J11" s="24"/>
      <c r="K11" s="24"/>
      <c r="L11" s="24"/>
      <c r="M11" s="24"/>
      <c r="N11" s="24"/>
      <c r="O11" s="24"/>
      <c r="P11" s="24"/>
      <c r="Q11" s="24"/>
      <c r="R11" s="24"/>
      <c r="S11" s="24"/>
      <c r="T11" s="25"/>
    </row>
    <row r="12" spans="2:20">
      <c r="B12" s="23"/>
      <c r="C12" s="24"/>
      <c r="D12" s="24" t="s">
        <v>88</v>
      </c>
      <c r="E12" s="24"/>
      <c r="F12" s="24"/>
      <c r="G12" s="24"/>
      <c r="H12" s="24"/>
      <c r="I12" s="24"/>
      <c r="J12" s="24"/>
      <c r="K12" s="24"/>
      <c r="L12" s="24"/>
      <c r="M12" s="24"/>
      <c r="N12" s="24"/>
      <c r="O12" s="24"/>
      <c r="P12" s="24"/>
      <c r="Q12" s="24"/>
      <c r="R12" s="24"/>
      <c r="S12" s="24"/>
      <c r="T12" s="25"/>
    </row>
    <row r="13" spans="2:20">
      <c r="B13" s="23"/>
      <c r="C13" s="24"/>
      <c r="D13" s="24" t="s">
        <v>89</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90</v>
      </c>
      <c r="D15" s="24"/>
      <c r="E15" s="24"/>
      <c r="F15" s="24"/>
      <c r="G15" s="24"/>
      <c r="H15" s="24"/>
      <c r="I15" s="24"/>
      <c r="J15" s="24"/>
      <c r="K15" s="24"/>
      <c r="L15" s="24"/>
      <c r="M15" s="24"/>
      <c r="N15" s="24"/>
      <c r="O15" s="24"/>
      <c r="P15" s="24"/>
      <c r="Q15" s="24"/>
      <c r="R15" s="24"/>
      <c r="S15" s="24"/>
      <c r="T15" s="25"/>
    </row>
    <row r="16" spans="2:20">
      <c r="B16" s="23"/>
      <c r="C16" s="24"/>
      <c r="D16" s="24" t="s">
        <v>91</v>
      </c>
      <c r="E16" s="24"/>
      <c r="F16" s="24"/>
      <c r="G16" s="24"/>
      <c r="H16" s="24"/>
      <c r="I16" s="24"/>
      <c r="J16" s="24"/>
      <c r="K16" s="24"/>
      <c r="L16" s="24"/>
      <c r="M16" s="24"/>
      <c r="N16" s="24"/>
      <c r="O16" s="24"/>
      <c r="P16" s="24"/>
      <c r="Q16" s="24"/>
      <c r="R16" s="24"/>
      <c r="S16" s="24"/>
      <c r="T16" s="25"/>
    </row>
    <row r="17" spans="2:20">
      <c r="B17" s="23"/>
      <c r="C17" s="24"/>
      <c r="D17" s="24" t="s">
        <v>92</v>
      </c>
      <c r="E17" s="24"/>
      <c r="F17" s="24"/>
      <c r="G17" s="24"/>
      <c r="H17" s="24"/>
      <c r="I17" s="24"/>
      <c r="J17" s="24"/>
      <c r="K17" s="24"/>
      <c r="L17" s="24"/>
      <c r="M17" s="24"/>
      <c r="N17" s="24"/>
      <c r="O17" s="24"/>
      <c r="P17" s="24"/>
      <c r="Q17" s="24"/>
      <c r="R17" s="24"/>
      <c r="S17" s="24"/>
      <c r="T17" s="25"/>
    </row>
    <row r="18" spans="2:20">
      <c r="B18" s="23"/>
      <c r="C18" s="24"/>
      <c r="D18" s="24" t="s">
        <v>93</v>
      </c>
      <c r="E18" s="24"/>
      <c r="F18" s="24"/>
      <c r="G18" s="24"/>
      <c r="H18" s="24"/>
      <c r="I18" s="24"/>
      <c r="J18" s="24"/>
      <c r="K18" s="24"/>
      <c r="L18" s="24"/>
      <c r="M18" s="24"/>
      <c r="N18" s="24"/>
      <c r="O18" s="24"/>
      <c r="P18" s="24"/>
      <c r="Q18" s="24"/>
      <c r="R18" s="24"/>
      <c r="S18" s="24"/>
      <c r="T18" s="25"/>
    </row>
    <row r="19" spans="2:20">
      <c r="B19" s="23"/>
      <c r="C19" s="24"/>
      <c r="D19" s="24" t="s">
        <v>94</v>
      </c>
      <c r="E19" s="24"/>
      <c r="F19" s="24"/>
      <c r="G19" s="24"/>
      <c r="H19" s="24"/>
      <c r="I19" s="24"/>
      <c r="J19" s="24"/>
      <c r="K19" s="24"/>
      <c r="L19" s="24"/>
      <c r="M19" s="24"/>
      <c r="N19" s="24"/>
      <c r="O19" s="24"/>
      <c r="P19" s="24"/>
      <c r="Q19" s="24"/>
      <c r="R19" s="24"/>
      <c r="S19" s="24"/>
      <c r="T19" s="25"/>
    </row>
    <row r="20" spans="2:20">
      <c r="B20" s="23"/>
      <c r="C20" s="24"/>
      <c r="D20" s="24" t="s">
        <v>95</v>
      </c>
      <c r="E20" s="24"/>
      <c r="F20" s="24"/>
      <c r="G20" s="24"/>
      <c r="H20" s="24"/>
      <c r="I20" s="24"/>
      <c r="J20" s="24"/>
      <c r="K20" s="24"/>
      <c r="L20" s="24"/>
      <c r="M20" s="24"/>
      <c r="N20" s="24"/>
      <c r="O20" s="24"/>
      <c r="P20" s="24"/>
      <c r="Q20" s="24"/>
      <c r="R20" s="24"/>
      <c r="S20" s="24"/>
      <c r="T20" s="25"/>
    </row>
    <row r="21" spans="2:20">
      <c r="B21" s="23"/>
      <c r="C21" s="24"/>
      <c r="D21" s="24" t="s">
        <v>96</v>
      </c>
      <c r="E21" s="24"/>
      <c r="F21" s="24"/>
      <c r="G21" s="24"/>
      <c r="H21" s="24"/>
      <c r="I21" s="24"/>
      <c r="J21" s="24"/>
      <c r="K21" s="24"/>
      <c r="L21" s="24"/>
      <c r="M21" s="24"/>
      <c r="N21" s="24"/>
      <c r="O21" s="24"/>
      <c r="P21" s="24"/>
      <c r="Q21" s="24"/>
      <c r="R21" s="24"/>
      <c r="S21" s="24"/>
      <c r="T21" s="25"/>
    </row>
    <row r="22" spans="2:20">
      <c r="B22" s="23"/>
      <c r="C22" s="24"/>
      <c r="D22" s="24" t="s">
        <v>97</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98</v>
      </c>
      <c r="D24" s="24"/>
      <c r="E24" s="24"/>
      <c r="F24" s="24"/>
      <c r="G24" s="24"/>
      <c r="H24" s="24"/>
      <c r="I24" s="24"/>
      <c r="J24" s="24"/>
      <c r="K24" s="24"/>
      <c r="L24" s="24"/>
      <c r="M24" s="24"/>
      <c r="N24" s="24"/>
      <c r="O24" s="24"/>
      <c r="P24" s="24"/>
      <c r="Q24" s="24"/>
      <c r="R24" s="24"/>
      <c r="S24" s="24"/>
      <c r="T24" s="25"/>
    </row>
    <row r="25" spans="2:20">
      <c r="B25" s="23"/>
      <c r="C25" s="24"/>
      <c r="D25" s="24" t="s">
        <v>99</v>
      </c>
      <c r="E25" s="24"/>
      <c r="F25" s="24"/>
      <c r="G25" s="24"/>
      <c r="H25" s="24"/>
      <c r="I25" s="24"/>
      <c r="J25" s="24"/>
      <c r="K25" s="24"/>
      <c r="L25" s="24"/>
      <c r="M25" s="24"/>
      <c r="N25" s="24"/>
      <c r="O25" s="24"/>
      <c r="P25" s="24"/>
      <c r="Q25" s="24"/>
      <c r="R25" s="24"/>
      <c r="S25" s="24"/>
      <c r="T25" s="25"/>
    </row>
    <row r="26" spans="2:20" ht="27" customHeight="1">
      <c r="B26" s="23"/>
      <c r="C26" s="24"/>
      <c r="D26" s="1073" t="s">
        <v>2136</v>
      </c>
      <c r="E26" s="1074"/>
      <c r="F26" s="1074"/>
      <c r="G26" s="1074"/>
      <c r="H26" s="1074"/>
      <c r="I26" s="1074"/>
      <c r="J26" s="1074"/>
      <c r="K26" s="1074"/>
      <c r="L26" s="1074"/>
      <c r="M26" s="1074"/>
      <c r="N26" s="1074"/>
      <c r="O26" s="1074"/>
      <c r="P26" s="1074"/>
      <c r="Q26" s="1074"/>
      <c r="R26" s="1074"/>
      <c r="S26" s="1074"/>
      <c r="T26" s="1075"/>
    </row>
    <row r="27" spans="2:20">
      <c r="B27" s="23"/>
      <c r="C27" s="24"/>
      <c r="D27" s="86" t="s">
        <v>1526</v>
      </c>
      <c r="E27" s="24"/>
      <c r="F27" s="24"/>
      <c r="G27" s="24"/>
      <c r="H27" s="24"/>
      <c r="I27" s="24"/>
      <c r="J27" s="24"/>
      <c r="K27" s="24"/>
      <c r="L27" s="24"/>
      <c r="M27" s="24"/>
      <c r="N27" s="24"/>
      <c r="O27" s="24"/>
      <c r="P27" s="24"/>
      <c r="Q27" s="24"/>
      <c r="R27" s="24"/>
      <c r="S27" s="24"/>
      <c r="T27" s="25"/>
    </row>
    <row r="28" spans="2:20">
      <c r="B28" s="23"/>
      <c r="C28" s="24"/>
      <c r="D28" s="24" t="s">
        <v>100</v>
      </c>
      <c r="E28" s="24"/>
      <c r="F28" s="24"/>
      <c r="G28" s="24"/>
      <c r="H28" s="24"/>
      <c r="I28" s="24"/>
      <c r="J28" s="24"/>
      <c r="K28" s="24"/>
      <c r="L28" s="24"/>
      <c r="M28" s="24"/>
      <c r="N28" s="24"/>
      <c r="O28" s="24"/>
      <c r="P28" s="24"/>
      <c r="Q28" s="24"/>
      <c r="R28" s="24"/>
      <c r="S28" s="24"/>
      <c r="T28" s="25"/>
    </row>
    <row r="29" spans="2:20">
      <c r="B29" s="23"/>
      <c r="C29" s="24"/>
      <c r="D29" s="399" t="s">
        <v>2137</v>
      </c>
      <c r="E29" s="24"/>
      <c r="F29" s="24"/>
      <c r="G29" s="24"/>
      <c r="H29" s="24"/>
      <c r="I29" s="24"/>
      <c r="J29" s="24"/>
      <c r="K29" s="24"/>
      <c r="L29" s="24"/>
      <c r="M29" s="24"/>
      <c r="N29" s="24"/>
      <c r="O29" s="24"/>
      <c r="P29" s="24"/>
      <c r="Q29" s="24"/>
      <c r="R29" s="24"/>
      <c r="S29" s="24"/>
      <c r="T29" s="25"/>
    </row>
    <row r="30" spans="2:20">
      <c r="B30" s="23"/>
      <c r="C30" s="24"/>
      <c r="D30" s="24" t="s">
        <v>101</v>
      </c>
      <c r="E30" s="24"/>
      <c r="F30" s="24"/>
      <c r="G30" s="24"/>
      <c r="H30" s="24"/>
      <c r="I30" s="24"/>
      <c r="J30" s="24"/>
      <c r="K30" s="24"/>
      <c r="L30" s="24"/>
      <c r="M30" s="24"/>
      <c r="N30" s="24"/>
      <c r="O30" s="24"/>
      <c r="P30" s="24"/>
      <c r="Q30" s="24"/>
      <c r="R30" s="24"/>
      <c r="S30" s="24"/>
      <c r="T30" s="25"/>
    </row>
    <row r="31" spans="2:20">
      <c r="B31" s="23"/>
      <c r="C31" s="24"/>
      <c r="D31" s="86" t="s">
        <v>1528</v>
      </c>
      <c r="E31" s="24"/>
      <c r="F31" s="24"/>
      <c r="G31" s="24"/>
      <c r="H31" s="24"/>
      <c r="I31" s="24"/>
      <c r="J31" s="24"/>
      <c r="K31" s="24"/>
      <c r="L31" s="24"/>
      <c r="M31" s="24"/>
      <c r="N31" s="24"/>
      <c r="O31" s="24"/>
      <c r="P31" s="24"/>
      <c r="Q31" s="24"/>
      <c r="R31" s="24"/>
      <c r="S31" s="24"/>
      <c r="T31" s="25"/>
    </row>
    <row r="32" spans="2:20">
      <c r="B32" s="23"/>
      <c r="C32" s="24"/>
      <c r="D32" s="24" t="s">
        <v>102</v>
      </c>
      <c r="E32" s="24"/>
      <c r="F32" s="24"/>
      <c r="G32" s="24"/>
      <c r="H32" s="24"/>
      <c r="I32" s="24"/>
      <c r="J32" s="24"/>
      <c r="K32" s="24"/>
      <c r="L32" s="24"/>
      <c r="M32" s="24"/>
      <c r="N32" s="24"/>
      <c r="O32" s="24"/>
      <c r="P32" s="24"/>
      <c r="Q32" s="24"/>
      <c r="R32" s="24"/>
      <c r="S32" s="24"/>
      <c r="T32" s="25"/>
    </row>
    <row r="33" spans="2:20">
      <c r="B33" s="23"/>
      <c r="C33" s="24"/>
      <c r="D33" s="24" t="s">
        <v>103</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104</v>
      </c>
      <c r="D35" s="24"/>
      <c r="E35" s="24"/>
      <c r="F35" s="24"/>
      <c r="G35" s="24"/>
      <c r="H35" s="24"/>
      <c r="I35" s="24"/>
      <c r="J35" s="24"/>
      <c r="K35" s="24"/>
      <c r="L35" s="24"/>
      <c r="M35" s="24"/>
      <c r="N35" s="24"/>
      <c r="O35" s="24"/>
      <c r="P35" s="24"/>
      <c r="Q35" s="24"/>
      <c r="R35" s="24"/>
      <c r="S35" s="24"/>
      <c r="T35" s="25"/>
    </row>
    <row r="36" spans="2:20">
      <c r="B36" s="23"/>
      <c r="C36" s="24"/>
      <c r="D36" s="24" t="s">
        <v>105</v>
      </c>
      <c r="E36" s="24"/>
      <c r="F36" s="24"/>
      <c r="G36" s="24"/>
      <c r="H36" s="24"/>
      <c r="I36" s="24"/>
      <c r="J36" s="24"/>
      <c r="K36" s="24"/>
      <c r="L36" s="24"/>
      <c r="M36" s="24"/>
      <c r="N36" s="24"/>
      <c r="O36" s="24"/>
      <c r="P36" s="24"/>
      <c r="Q36" s="24"/>
      <c r="R36" s="24"/>
      <c r="S36" s="24"/>
      <c r="T36" s="25"/>
    </row>
    <row r="37" spans="2:20">
      <c r="B37" s="23"/>
      <c r="C37" s="24"/>
      <c r="D37" s="24" t="s">
        <v>106</v>
      </c>
      <c r="E37" s="24"/>
      <c r="F37" s="24"/>
      <c r="G37" s="24"/>
      <c r="H37" s="24"/>
      <c r="I37" s="24"/>
      <c r="J37" s="24"/>
      <c r="K37" s="24"/>
      <c r="L37" s="24"/>
      <c r="M37" s="24"/>
      <c r="N37" s="24"/>
      <c r="O37" s="24"/>
      <c r="P37" s="24"/>
      <c r="Q37" s="24"/>
      <c r="R37" s="24"/>
      <c r="S37" s="24"/>
      <c r="T37" s="25"/>
    </row>
    <row r="38" spans="2:20">
      <c r="B38" s="23"/>
      <c r="C38" s="24"/>
      <c r="D38" s="24" t="s">
        <v>107</v>
      </c>
      <c r="E38" s="24"/>
      <c r="F38" s="24"/>
      <c r="G38" s="24"/>
      <c r="H38" s="24"/>
      <c r="I38" s="24"/>
      <c r="J38" s="24"/>
      <c r="K38" s="24"/>
      <c r="L38" s="24"/>
      <c r="M38" s="24"/>
      <c r="N38" s="24"/>
      <c r="O38" s="24"/>
      <c r="P38" s="24"/>
      <c r="Q38" s="24"/>
      <c r="R38" s="24"/>
      <c r="S38" s="24"/>
      <c r="T38" s="25"/>
    </row>
    <row r="39" spans="2:20">
      <c r="B39" s="23"/>
      <c r="C39" s="24"/>
      <c r="D39" s="24" t="s">
        <v>108</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109</v>
      </c>
      <c r="D41" s="24"/>
      <c r="E41" s="24"/>
      <c r="F41" s="24"/>
      <c r="G41" s="24"/>
      <c r="H41" s="24"/>
      <c r="I41" s="24"/>
      <c r="J41" s="24"/>
      <c r="K41" s="24"/>
      <c r="L41" s="24"/>
      <c r="M41" s="24"/>
      <c r="N41" s="24"/>
      <c r="O41" s="24"/>
      <c r="P41" s="24"/>
      <c r="Q41" s="24"/>
      <c r="R41" s="24"/>
      <c r="S41" s="24"/>
      <c r="T41" s="25"/>
    </row>
    <row r="42" spans="2:20">
      <c r="B42" s="23"/>
      <c r="C42" s="24"/>
      <c r="D42" s="24" t="s">
        <v>110</v>
      </c>
      <c r="E42" s="24"/>
      <c r="F42" s="24"/>
      <c r="G42" s="24"/>
      <c r="H42" s="24"/>
      <c r="I42" s="24"/>
      <c r="J42" s="24"/>
      <c r="K42" s="24"/>
      <c r="L42" s="24"/>
      <c r="M42" s="24"/>
      <c r="N42" s="24"/>
      <c r="O42" s="24"/>
      <c r="P42" s="24"/>
      <c r="Q42" s="24"/>
      <c r="R42" s="24"/>
      <c r="S42" s="24"/>
      <c r="T42" s="25"/>
    </row>
    <row r="43" spans="2:20">
      <c r="B43" s="23"/>
      <c r="C43" s="24"/>
      <c r="D43" s="24" t="s">
        <v>111</v>
      </c>
      <c r="E43" s="24"/>
      <c r="F43" s="24"/>
      <c r="G43" s="24"/>
      <c r="H43" s="24"/>
      <c r="I43" s="24"/>
      <c r="J43" s="24"/>
      <c r="K43" s="24"/>
      <c r="L43" s="24"/>
      <c r="M43" s="24"/>
      <c r="N43" s="24"/>
      <c r="O43" s="24"/>
      <c r="P43" s="24"/>
      <c r="Q43" s="24"/>
      <c r="R43" s="24"/>
      <c r="S43" s="24"/>
      <c r="T43" s="25"/>
    </row>
    <row r="44" spans="2:20">
      <c r="B44" s="23"/>
      <c r="C44" s="24"/>
      <c r="D44" s="24" t="s">
        <v>112</v>
      </c>
      <c r="E44" s="24"/>
      <c r="F44" s="24"/>
      <c r="G44" s="24"/>
      <c r="H44" s="24"/>
      <c r="I44" s="24"/>
      <c r="J44" s="24"/>
      <c r="K44" s="24"/>
      <c r="L44" s="24"/>
      <c r="M44" s="24"/>
      <c r="N44" s="24"/>
      <c r="O44" s="24"/>
      <c r="P44" s="24"/>
      <c r="Q44" s="24"/>
      <c r="R44" s="24"/>
      <c r="S44" s="24"/>
      <c r="T44" s="25"/>
    </row>
    <row r="45" spans="2:20">
      <c r="B45" s="23"/>
      <c r="C45" s="24"/>
      <c r="D45" s="24" t="s">
        <v>113</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86"/>
  <sheetViews>
    <sheetView showGridLines="0" tabSelected="1" topLeftCell="J1" zoomScale="70" zoomScaleNormal="70" workbookViewId="0">
      <selection activeCell="S22" sqref="S22"/>
    </sheetView>
  </sheetViews>
  <sheetFormatPr defaultColWidth="10.4140625" defaultRowHeight="14.5"/>
  <cols>
    <col min="1" max="1" width="10.4140625" style="93"/>
    <col min="2" max="2" width="15.33203125" style="93" customWidth="1"/>
    <col min="3" max="3" width="19.1640625" style="93" customWidth="1"/>
    <col min="4" max="4" width="15.1640625" style="93" customWidth="1"/>
    <col min="5" max="7" width="10.4140625" style="93"/>
    <col min="8" max="8" width="36.1640625" style="93" bestFit="1" customWidth="1"/>
    <col min="9" max="9" width="25.9140625" style="93" bestFit="1" customWidth="1"/>
    <col min="10" max="10" width="18.33203125" style="93" customWidth="1"/>
    <col min="11" max="12" width="10.4140625" style="93"/>
    <col min="13" max="13" width="17.33203125" style="93" customWidth="1"/>
    <col min="14" max="17" width="10.4140625" style="93"/>
    <col min="18" max="18" width="18.6640625" style="93" customWidth="1"/>
    <col min="19" max="21" width="10.4140625" style="93"/>
    <col min="22" max="22" width="45.4140625" style="93" bestFit="1" customWidth="1"/>
    <col min="23" max="23" width="25.9140625" style="93" bestFit="1" customWidth="1"/>
    <col min="24" max="16384" width="10.4140625" style="93"/>
  </cols>
  <sheetData>
    <row r="2" spans="1:42" s="120" customFormat="1" ht="18.5">
      <c r="A2" s="92" t="s">
        <v>1574</v>
      </c>
      <c r="B2" s="92"/>
      <c r="C2" s="92"/>
      <c r="D2" s="92"/>
      <c r="E2" s="92"/>
      <c r="F2" s="92"/>
      <c r="G2" s="92"/>
      <c r="H2" s="92"/>
      <c r="I2" s="92"/>
      <c r="J2" s="92"/>
      <c r="K2" s="92"/>
      <c r="L2" s="92"/>
      <c r="M2" s="92"/>
      <c r="N2" s="92"/>
      <c r="O2" s="92"/>
      <c r="P2" s="92"/>
      <c r="Q2" s="92"/>
      <c r="R2" s="92"/>
      <c r="S2" s="92"/>
      <c r="T2" s="92"/>
      <c r="U2" s="92"/>
      <c r="V2" s="92"/>
      <c r="W2" s="92"/>
      <c r="X2" s="92"/>
      <c r="Y2" s="92"/>
      <c r="Z2" s="92"/>
    </row>
    <row r="3" spans="1:42">
      <c r="C3" s="94"/>
      <c r="K3" s="94"/>
      <c r="R3" s="94"/>
    </row>
    <row r="4" spans="1:42">
      <c r="B4" s="1050" t="s">
        <v>20</v>
      </c>
      <c r="C4" s="1051" t="s">
        <v>2977</v>
      </c>
      <c r="D4" s="96"/>
      <c r="E4" s="96"/>
      <c r="F4" s="96"/>
      <c r="G4" s="97"/>
      <c r="I4" s="1050" t="s">
        <v>20</v>
      </c>
      <c r="J4" s="1051" t="s">
        <v>2977</v>
      </c>
    </row>
    <row r="5" spans="1:42" ht="15.5">
      <c r="B5" s="1050" t="s">
        <v>34</v>
      </c>
      <c r="C5" s="1051" t="s">
        <v>34</v>
      </c>
      <c r="I5" s="1050" t="s">
        <v>34</v>
      </c>
      <c r="J5" s="1051" t="s">
        <v>34</v>
      </c>
      <c r="O5" s="488"/>
      <c r="R5"/>
      <c r="S5"/>
      <c r="T5" s="417"/>
      <c r="AL5"/>
      <c r="AM5"/>
    </row>
    <row r="6" spans="1:42" ht="15.5">
      <c r="B6" s="1061" t="s">
        <v>21</v>
      </c>
      <c r="C6" s="1051" t="s">
        <v>37</v>
      </c>
      <c r="I6" s="1061" t="s">
        <v>21</v>
      </c>
      <c r="J6" s="1051" t="s">
        <v>515</v>
      </c>
      <c r="O6" s="488"/>
      <c r="R6"/>
      <c r="S6"/>
      <c r="AL6" s="362"/>
      <c r="AM6" s="362"/>
      <c r="AN6" s="362"/>
    </row>
    <row r="7" spans="1:42" ht="15.5">
      <c r="B7" s="1050" t="s">
        <v>134</v>
      </c>
      <c r="C7" s="1051" t="s">
        <v>1476</v>
      </c>
      <c r="I7" s="1050" t="s">
        <v>134</v>
      </c>
      <c r="J7" s="1051" t="s">
        <v>1476</v>
      </c>
      <c r="O7" s="488"/>
      <c r="R7" s="1050" t="s">
        <v>20</v>
      </c>
      <c r="S7" s="1051" t="s">
        <v>2977</v>
      </c>
      <c r="AL7" s="362"/>
      <c r="AM7" s="362"/>
      <c r="AN7" s="362"/>
    </row>
    <row r="8" spans="1:42" ht="15.5">
      <c r="B8" s="1050" t="s">
        <v>35</v>
      </c>
      <c r="C8" s="1051" t="s">
        <v>3147</v>
      </c>
      <c r="I8" s="1050" t="s">
        <v>35</v>
      </c>
      <c r="J8" s="1051" t="s">
        <v>1476</v>
      </c>
      <c r="O8" s="488"/>
      <c r="R8" s="1050" t="s">
        <v>134</v>
      </c>
      <c r="S8" s="1051" t="s">
        <v>1476</v>
      </c>
      <c r="AE8" s="150"/>
      <c r="AL8" s="362"/>
      <c r="AM8" s="362"/>
      <c r="AN8" s="362"/>
    </row>
    <row r="9" spans="1:42" s="98" customFormat="1" ht="15.5">
      <c r="B9" s="100"/>
      <c r="C9" s="93"/>
      <c r="D9" s="150" t="s">
        <v>43</v>
      </c>
      <c r="E9" s="93"/>
      <c r="F9" s="93"/>
      <c r="I9" s="362"/>
      <c r="J9" s="93"/>
      <c r="K9" s="150" t="s">
        <v>43</v>
      </c>
      <c r="L9" s="93"/>
      <c r="M9" s="93"/>
      <c r="O9" s="93"/>
      <c r="P9" s="150"/>
      <c r="Q9" s="93"/>
      <c r="R9" s="1061" t="s">
        <v>21</v>
      </c>
      <c r="S9" s="1051" t="s">
        <v>37</v>
      </c>
      <c r="T9" s="93"/>
      <c r="AE9"/>
      <c r="AF9"/>
      <c r="AG9"/>
      <c r="AH9" s="397"/>
      <c r="AI9" s="374"/>
      <c r="AJ9" s="374"/>
      <c r="AK9" s="375"/>
      <c r="AL9" s="364"/>
      <c r="AM9" s="364"/>
      <c r="AN9" s="364"/>
      <c r="AO9" s="374"/>
      <c r="AP9" s="374"/>
    </row>
    <row r="10" spans="1:42" s="98" customFormat="1" ht="15.5">
      <c r="B10" s="1054" t="s">
        <v>22</v>
      </c>
      <c r="C10" s="1051" t="s">
        <v>2571</v>
      </c>
      <c r="D10" s="1055" t="s">
        <v>1485</v>
      </c>
      <c r="E10" s="1051" t="s">
        <v>2139</v>
      </c>
      <c r="F10" s="1051" t="s">
        <v>2140</v>
      </c>
      <c r="G10" s="1051" t="s">
        <v>2141</v>
      </c>
      <c r="I10" s="1054" t="s">
        <v>1283</v>
      </c>
      <c r="J10" s="1051" t="s">
        <v>2571</v>
      </c>
      <c r="K10" s="1055" t="s">
        <v>1485</v>
      </c>
      <c r="L10" s="1051" t="s">
        <v>2139</v>
      </c>
      <c r="M10" s="1051" t="s">
        <v>2140</v>
      </c>
      <c r="N10" s="1051" t="s">
        <v>2142</v>
      </c>
      <c r="O10"/>
      <c r="P10"/>
      <c r="Q10"/>
      <c r="R10" s="93"/>
      <c r="S10" s="93"/>
      <c r="T10" s="93"/>
      <c r="U10" s="375"/>
      <c r="V10" s="375"/>
      <c r="W10" s="375"/>
      <c r="X10" s="375"/>
      <c r="Y10" s="375"/>
      <c r="Z10" s="375"/>
      <c r="AA10" s="375"/>
      <c r="AB10" s="375"/>
      <c r="AC10" s="375"/>
      <c r="AD10" s="375"/>
      <c r="AE10" s="423"/>
      <c r="AF10" s="423"/>
      <c r="AG10" s="423"/>
      <c r="AH10" s="423"/>
      <c r="AI10" s="423"/>
      <c r="AJ10" s="423"/>
      <c r="AK10" s="375"/>
      <c r="AL10" s="423"/>
      <c r="AM10" s="423"/>
      <c r="AN10" s="423"/>
      <c r="AO10" s="423"/>
      <c r="AP10" s="423"/>
    </row>
    <row r="11" spans="1:42" ht="15.5">
      <c r="B11" s="1052" t="s">
        <v>195</v>
      </c>
      <c r="C11" s="991">
        <v>10</v>
      </c>
      <c r="D11" s="1053">
        <v>6622</v>
      </c>
      <c r="E11" s="1058">
        <v>4.8927816369676802E-2</v>
      </c>
      <c r="F11" s="1058">
        <v>0.14315916641498039</v>
      </c>
      <c r="G11" s="1058">
        <v>0.22757475083056478</v>
      </c>
      <c r="I11" s="1052" t="s">
        <v>534</v>
      </c>
      <c r="J11" s="991">
        <v>2</v>
      </c>
      <c r="K11" s="1053">
        <v>401</v>
      </c>
      <c r="L11" s="1058">
        <v>0</v>
      </c>
      <c r="M11" s="1058">
        <v>0</v>
      </c>
      <c r="N11" s="1058">
        <v>0</v>
      </c>
      <c r="O11"/>
      <c r="P11"/>
      <c r="Q11"/>
      <c r="R11" s="1050" t="s">
        <v>1283</v>
      </c>
      <c r="S11" s="1051" t="s">
        <v>1480</v>
      </c>
      <c r="T11"/>
      <c r="U11"/>
      <c r="V11"/>
      <c r="W11"/>
      <c r="AE11"/>
      <c r="AF11"/>
      <c r="AG11"/>
      <c r="AH11"/>
      <c r="AI11"/>
      <c r="AJ11"/>
      <c r="AL11" s="362"/>
      <c r="AM11" s="362"/>
      <c r="AN11" s="362"/>
      <c r="AO11"/>
      <c r="AP11"/>
    </row>
    <row r="12" spans="1:42" ht="15.5">
      <c r="B12" s="1052" t="s">
        <v>146</v>
      </c>
      <c r="C12" s="991">
        <v>3</v>
      </c>
      <c r="D12" s="1053">
        <v>2664</v>
      </c>
      <c r="E12" s="1058">
        <v>0.4035285285285285</v>
      </c>
      <c r="F12" s="1058">
        <v>0.42942942942942941</v>
      </c>
      <c r="G12" s="1058">
        <v>0.10472972972972971</v>
      </c>
      <c r="I12" s="1052" t="s">
        <v>556</v>
      </c>
      <c r="J12" s="991">
        <v>1</v>
      </c>
      <c r="K12" s="1053">
        <v>120</v>
      </c>
      <c r="L12" s="1058">
        <v>1</v>
      </c>
      <c r="M12" s="1058">
        <v>1</v>
      </c>
      <c r="N12" s="1058">
        <v>0.625</v>
      </c>
      <c r="O12"/>
      <c r="P12"/>
      <c r="Q12"/>
      <c r="R12" s="1052" t="s">
        <v>34</v>
      </c>
      <c r="S12" s="1053"/>
      <c r="T12"/>
      <c r="U12"/>
      <c r="V12"/>
      <c r="W12"/>
      <c r="AE12"/>
      <c r="AF12"/>
      <c r="AG12"/>
      <c r="AH12"/>
      <c r="AI12"/>
      <c r="AJ12"/>
      <c r="AL12" s="362"/>
      <c r="AM12" s="362"/>
      <c r="AN12" s="362"/>
      <c r="AO12"/>
      <c r="AP12"/>
    </row>
    <row r="13" spans="1:42" ht="15.5">
      <c r="B13" s="1052" t="s">
        <v>148</v>
      </c>
      <c r="C13" s="991">
        <v>19</v>
      </c>
      <c r="D13" s="1053">
        <v>3892</v>
      </c>
      <c r="E13" s="1058">
        <v>2.1582733812949617E-2</v>
      </c>
      <c r="F13" s="1058">
        <v>0.18833504624871533</v>
      </c>
      <c r="G13" s="1058">
        <v>0.1238437821171634</v>
      </c>
      <c r="I13" s="1052" t="s">
        <v>519</v>
      </c>
      <c r="J13" s="991">
        <v>15</v>
      </c>
      <c r="K13" s="1053">
        <v>4714</v>
      </c>
      <c r="L13" s="1058">
        <v>6.2084570782067416E-2</v>
      </c>
      <c r="M13" s="1058">
        <v>5.1548578701739456E-2</v>
      </c>
      <c r="N13" s="1058">
        <v>0.21913449299957577</v>
      </c>
      <c r="O13"/>
      <c r="P13"/>
      <c r="Q13"/>
      <c r="R13" s="992" t="s">
        <v>3150</v>
      </c>
      <c r="S13" s="1053">
        <v>123</v>
      </c>
      <c r="T13"/>
      <c r="U13"/>
      <c r="V13"/>
      <c r="W13"/>
      <c r="AB13"/>
      <c r="AE13"/>
      <c r="AF13"/>
      <c r="AG13"/>
      <c r="AH13"/>
      <c r="AI13"/>
      <c r="AJ13"/>
      <c r="AL13" s="362"/>
      <c r="AM13" s="362"/>
      <c r="AN13" s="362"/>
      <c r="AO13"/>
      <c r="AP13"/>
    </row>
    <row r="14" spans="1:42" ht="15.5">
      <c r="B14" s="1052" t="s">
        <v>38</v>
      </c>
      <c r="C14" s="991">
        <v>8</v>
      </c>
      <c r="D14" s="1053">
        <v>7828</v>
      </c>
      <c r="E14" s="1058">
        <v>0.20494804973599046</v>
      </c>
      <c r="F14" s="1058">
        <v>0.10717935615738372</v>
      </c>
      <c r="G14" s="1058">
        <v>0.42692897291773124</v>
      </c>
      <c r="I14" s="1052" t="s">
        <v>960</v>
      </c>
      <c r="J14" s="991">
        <v>5</v>
      </c>
      <c r="K14" s="1053">
        <v>304</v>
      </c>
      <c r="L14" s="1058">
        <v>0.32565789473684215</v>
      </c>
      <c r="M14" s="1058">
        <v>0</v>
      </c>
      <c r="N14" s="1058">
        <v>1</v>
      </c>
      <c r="O14"/>
      <c r="P14"/>
      <c r="Q14"/>
      <c r="R14" s="992" t="s">
        <v>3152</v>
      </c>
      <c r="S14" s="1053">
        <v>6</v>
      </c>
      <c r="T14"/>
      <c r="U14"/>
      <c r="V14"/>
      <c r="W14"/>
      <c r="AB14"/>
      <c r="AE14"/>
      <c r="AF14"/>
      <c r="AG14"/>
      <c r="AH14"/>
      <c r="AI14"/>
      <c r="AJ14"/>
      <c r="AL14" s="362"/>
      <c r="AM14" s="362"/>
      <c r="AN14" s="362"/>
      <c r="AO14"/>
      <c r="AP14"/>
    </row>
    <row r="15" spans="1:42" ht="15.5">
      <c r="B15" s="1052" t="s">
        <v>152</v>
      </c>
      <c r="C15" s="991">
        <v>8</v>
      </c>
      <c r="D15" s="1053">
        <v>1686</v>
      </c>
      <c r="E15" s="1058">
        <v>0</v>
      </c>
      <c r="F15" s="1058">
        <v>0.20937129300118629</v>
      </c>
      <c r="G15" s="1058">
        <v>0.22182680901542107</v>
      </c>
      <c r="I15" s="1052" t="s">
        <v>961</v>
      </c>
      <c r="J15" s="991">
        <v>2</v>
      </c>
      <c r="K15" s="1053">
        <v>572</v>
      </c>
      <c r="L15" s="1058">
        <v>0.7033799533799534</v>
      </c>
      <c r="M15" s="1058">
        <v>0.81993006993006989</v>
      </c>
      <c r="N15" s="1058">
        <v>1</v>
      </c>
      <c r="O15"/>
      <c r="P15"/>
      <c r="Q15"/>
      <c r="R15" s="1052" t="s">
        <v>3149</v>
      </c>
      <c r="S15" s="1053"/>
      <c r="T15"/>
      <c r="U15"/>
      <c r="V15"/>
      <c r="AA15"/>
      <c r="AB15"/>
      <c r="AE15"/>
      <c r="AF15"/>
      <c r="AG15"/>
      <c r="AH15"/>
      <c r="AI15"/>
      <c r="AJ15"/>
      <c r="AL15" s="362"/>
      <c r="AM15" s="362"/>
      <c r="AN15" s="362"/>
      <c r="AO15"/>
      <c r="AP15"/>
    </row>
    <row r="16" spans="1:42" ht="15.5">
      <c r="B16" s="1052" t="s">
        <v>157</v>
      </c>
      <c r="C16" s="991">
        <v>1</v>
      </c>
      <c r="D16" s="1053">
        <v>127</v>
      </c>
      <c r="E16" s="1058">
        <v>0</v>
      </c>
      <c r="F16" s="1058">
        <v>0.21259842519685035</v>
      </c>
      <c r="G16" s="1058">
        <v>1</v>
      </c>
      <c r="I16" s="1052" t="s">
        <v>963</v>
      </c>
      <c r="J16" s="991">
        <v>1</v>
      </c>
      <c r="K16" s="1053">
        <v>1674</v>
      </c>
      <c r="L16" s="1058">
        <v>4.4205495818399054E-2</v>
      </c>
      <c r="M16" s="1058">
        <v>0.64157706093189959</v>
      </c>
      <c r="N16" s="1058">
        <v>1</v>
      </c>
      <c r="O16"/>
      <c r="P16"/>
      <c r="Q16"/>
      <c r="R16" s="992" t="s">
        <v>3151</v>
      </c>
      <c r="S16" s="1053">
        <v>29</v>
      </c>
      <c r="T16"/>
      <c r="U16" s="362"/>
      <c r="AA16"/>
      <c r="AB16"/>
      <c r="AE16"/>
      <c r="AF16"/>
      <c r="AG16"/>
      <c r="AH16"/>
      <c r="AI16"/>
      <c r="AJ16"/>
      <c r="AL16" s="362"/>
      <c r="AM16" s="362"/>
      <c r="AN16" s="362"/>
      <c r="AO16"/>
      <c r="AP16"/>
    </row>
    <row r="17" spans="1:42" ht="15.5">
      <c r="B17" s="1052" t="s">
        <v>205</v>
      </c>
      <c r="C17" s="991">
        <v>17</v>
      </c>
      <c r="D17" s="1053">
        <v>21506</v>
      </c>
      <c r="E17" s="1058">
        <v>0.46134412102049038</v>
      </c>
      <c r="F17" s="1058">
        <v>0.19473635264577327</v>
      </c>
      <c r="G17" s="1058">
        <v>0.25811401469357387</v>
      </c>
      <c r="I17" s="1052" t="s">
        <v>522</v>
      </c>
      <c r="J17" s="991">
        <v>2</v>
      </c>
      <c r="K17" s="1053">
        <v>282</v>
      </c>
      <c r="L17" s="1058">
        <v>0</v>
      </c>
      <c r="M17" s="1058">
        <v>0</v>
      </c>
      <c r="N17" s="1058">
        <v>0</v>
      </c>
      <c r="O17"/>
      <c r="P17"/>
      <c r="Q17"/>
      <c r="R17"/>
      <c r="S17"/>
      <c r="AA17"/>
      <c r="AB17"/>
      <c r="AE17"/>
      <c r="AF17"/>
      <c r="AG17"/>
      <c r="AH17"/>
      <c r="AI17"/>
      <c r="AJ17"/>
      <c r="AL17" s="362"/>
      <c r="AM17" s="362"/>
      <c r="AN17" s="362"/>
      <c r="AO17"/>
      <c r="AP17"/>
    </row>
    <row r="18" spans="1:42" ht="15.5">
      <c r="B18" s="1052" t="s">
        <v>159</v>
      </c>
      <c r="C18" s="991">
        <v>25</v>
      </c>
      <c r="D18" s="1053">
        <v>11019</v>
      </c>
      <c r="E18" s="1058">
        <v>0</v>
      </c>
      <c r="F18" s="1058">
        <v>0.283238043379617</v>
      </c>
      <c r="G18" s="1058">
        <v>0.47481622651783284</v>
      </c>
      <c r="I18" s="1052" t="s">
        <v>525</v>
      </c>
      <c r="J18" s="991">
        <v>4</v>
      </c>
      <c r="K18" s="1053">
        <v>1666</v>
      </c>
      <c r="L18" s="1058">
        <v>0.2575030012004802</v>
      </c>
      <c r="M18" s="1058">
        <v>1</v>
      </c>
      <c r="N18" s="1058">
        <v>1</v>
      </c>
      <c r="O18"/>
      <c r="P18"/>
      <c r="Q18"/>
      <c r="R18"/>
      <c r="S18"/>
      <c r="AA18"/>
      <c r="AB18"/>
      <c r="AE18"/>
      <c r="AF18"/>
      <c r="AG18"/>
      <c r="AL18" s="362"/>
      <c r="AM18" s="362"/>
      <c r="AN18" s="362"/>
      <c r="AO18"/>
      <c r="AP18"/>
    </row>
    <row r="19" spans="1:42" ht="15.5">
      <c r="B19" s="1052" t="s">
        <v>214</v>
      </c>
      <c r="C19" s="991">
        <v>3</v>
      </c>
      <c r="D19" s="1053">
        <v>1879</v>
      </c>
      <c r="E19" s="1058">
        <v>0</v>
      </c>
      <c r="F19" s="1058">
        <v>0.69877594465141035</v>
      </c>
      <c r="G19" s="1058">
        <v>0.84034060670569455</v>
      </c>
      <c r="I19" s="1052" t="s">
        <v>516</v>
      </c>
      <c r="J19" s="991">
        <v>4</v>
      </c>
      <c r="K19" s="1053">
        <v>963</v>
      </c>
      <c r="L19" s="1058">
        <v>0</v>
      </c>
      <c r="M19" s="1058">
        <v>0.12772585669781933</v>
      </c>
      <c r="N19" s="1058">
        <v>0.33541017653167182</v>
      </c>
      <c r="O19"/>
      <c r="P19"/>
      <c r="Q19"/>
      <c r="R19"/>
      <c r="S19"/>
      <c r="AA19"/>
      <c r="AB19"/>
      <c r="AE19"/>
      <c r="AF19"/>
      <c r="AG19"/>
      <c r="AL19"/>
      <c r="AM19"/>
    </row>
    <row r="20" spans="1:42" ht="15.5">
      <c r="B20" s="1052" t="s">
        <v>184</v>
      </c>
      <c r="C20" s="991">
        <v>2</v>
      </c>
      <c r="D20" s="1053">
        <v>1035</v>
      </c>
      <c r="E20" s="1058">
        <v>0</v>
      </c>
      <c r="F20" s="1058">
        <v>0</v>
      </c>
      <c r="G20" s="1058">
        <v>0.51690821256038655</v>
      </c>
      <c r="I20" s="1052" t="s">
        <v>536</v>
      </c>
      <c r="J20" s="991">
        <v>4</v>
      </c>
      <c r="K20" s="1053">
        <v>615</v>
      </c>
      <c r="L20" s="1058">
        <v>0</v>
      </c>
      <c r="M20" s="1058">
        <v>0</v>
      </c>
      <c r="N20" s="1058">
        <v>0.12520325203252036</v>
      </c>
      <c r="P20" s="417"/>
      <c r="Q20" s="417"/>
      <c r="R20"/>
      <c r="S20"/>
      <c r="T20"/>
      <c r="AA20"/>
      <c r="AB20"/>
      <c r="AE20"/>
      <c r="AF20"/>
      <c r="AG20"/>
      <c r="AL20"/>
      <c r="AM20"/>
    </row>
    <row r="21" spans="1:42" ht="15.5">
      <c r="B21" s="1052" t="s">
        <v>863</v>
      </c>
      <c r="C21" s="991">
        <v>3</v>
      </c>
      <c r="D21" s="1053">
        <v>1215</v>
      </c>
      <c r="E21" s="1058">
        <v>0</v>
      </c>
      <c r="F21" s="1058">
        <v>0.61069958847736627</v>
      </c>
      <c r="G21" s="1058">
        <v>0.44526748971193419</v>
      </c>
      <c r="I21" s="1052" t="s">
        <v>1285</v>
      </c>
      <c r="J21" s="991">
        <v>40</v>
      </c>
      <c r="K21" s="1053">
        <v>11311</v>
      </c>
      <c r="L21" s="1058">
        <v>0.12527627972769872</v>
      </c>
      <c r="M21" s="1058">
        <v>0.32667315003094333</v>
      </c>
      <c r="N21" s="1058">
        <v>0.50605605163115552</v>
      </c>
      <c r="P21" s="417"/>
      <c r="Q21" s="417"/>
      <c r="R21"/>
      <c r="S21"/>
      <c r="T21"/>
      <c r="U21"/>
      <c r="AA21"/>
      <c r="AB21"/>
      <c r="AE21"/>
      <c r="AF21"/>
      <c r="AG21"/>
      <c r="AL21"/>
      <c r="AM21"/>
    </row>
    <row r="22" spans="1:42" ht="15.5">
      <c r="B22" s="1052" t="s">
        <v>142</v>
      </c>
      <c r="C22" s="991">
        <v>24</v>
      </c>
      <c r="D22" s="1053">
        <v>27962</v>
      </c>
      <c r="E22" s="1058">
        <v>0.50678301504422674</v>
      </c>
      <c r="F22" s="1058">
        <v>0.31317502324583368</v>
      </c>
      <c r="G22" s="1058">
        <v>0.47575280738144621</v>
      </c>
      <c r="P22" s="417"/>
      <c r="Q22" s="417"/>
      <c r="R22" s="362"/>
      <c r="AA22"/>
      <c r="AB22"/>
      <c r="AE22"/>
      <c r="AF22"/>
      <c r="AG22"/>
      <c r="AL22"/>
      <c r="AM22"/>
    </row>
    <row r="23" spans="1:42" ht="15.5">
      <c r="B23" s="1052" t="s">
        <v>1285</v>
      </c>
      <c r="C23" s="991">
        <v>123</v>
      </c>
      <c r="D23" s="1053">
        <v>87435</v>
      </c>
      <c r="E23" s="1058">
        <v>0.31085568326947632</v>
      </c>
      <c r="F23" s="1058">
        <v>0.25350260193286445</v>
      </c>
      <c r="G23" s="1058">
        <v>0.37573054268885453</v>
      </c>
      <c r="I23" s="414"/>
      <c r="J23" s="414"/>
      <c r="K23" s="414"/>
      <c r="L23" s="414"/>
      <c r="M23" s="414"/>
      <c r="N23" s="414"/>
      <c r="O23" s="414"/>
      <c r="P23" s="414"/>
      <c r="Q23" s="417"/>
      <c r="R23" s="362"/>
      <c r="AA23"/>
      <c r="AB23"/>
      <c r="AF23"/>
      <c r="AG23"/>
      <c r="AL23"/>
      <c r="AM23"/>
    </row>
    <row r="24" spans="1:42" ht="15.5">
      <c r="B24"/>
      <c r="C24"/>
      <c r="D24"/>
      <c r="E24"/>
      <c r="F24"/>
      <c r="G24"/>
      <c r="I24" s="414"/>
      <c r="J24" s="414"/>
      <c r="K24" s="414"/>
      <c r="L24" s="414"/>
      <c r="M24" s="414"/>
      <c r="N24" s="414"/>
      <c r="O24" s="414"/>
      <c r="P24" s="414"/>
      <c r="Q24" s="417"/>
      <c r="R24" s="362"/>
      <c r="AF24"/>
      <c r="AG24"/>
      <c r="AL24"/>
      <c r="AM24"/>
    </row>
    <row r="25" spans="1:42" ht="15.5">
      <c r="A25" s="417"/>
      <c r="B25"/>
      <c r="C25"/>
      <c r="D25"/>
      <c r="E25"/>
      <c r="F25"/>
      <c r="G25"/>
      <c r="H25" s="417"/>
      <c r="I25" s="414"/>
      <c r="J25" s="414"/>
      <c r="K25" s="414"/>
      <c r="L25" s="414"/>
      <c r="M25" s="414"/>
      <c r="N25" s="414"/>
      <c r="O25" s="414"/>
      <c r="P25" s="414"/>
      <c r="Q25" s="417"/>
      <c r="R25" s="362"/>
      <c r="S25" s="150"/>
      <c r="AA25" s="374"/>
      <c r="AB25" s="374"/>
      <c r="AE25" s="374"/>
      <c r="AF25" s="364"/>
      <c r="AG25" s="364"/>
      <c r="AH25" s="374"/>
      <c r="AI25" s="374"/>
      <c r="AJ25" s="374"/>
      <c r="AK25" s="374"/>
      <c r="AL25" s="364"/>
      <c r="AM25" s="364"/>
      <c r="AN25" s="374"/>
      <c r="AO25" s="374"/>
      <c r="AP25" s="374"/>
    </row>
    <row r="26" spans="1:42" ht="15.5">
      <c r="A26" s="417"/>
      <c r="B26" s="417"/>
      <c r="C26" s="417"/>
      <c r="D26" s="417"/>
      <c r="E26" s="417"/>
      <c r="F26" s="417"/>
      <c r="G26" s="417"/>
      <c r="H26" s="417"/>
      <c r="I26" s="414"/>
      <c r="J26" s="414"/>
      <c r="K26" s="414"/>
      <c r="L26" s="414"/>
      <c r="M26" s="414"/>
      <c r="N26" s="414"/>
      <c r="O26" s="414"/>
      <c r="P26" s="414"/>
      <c r="Q26" s="417"/>
      <c r="R26" s="364"/>
      <c r="S26" s="364"/>
      <c r="T26" s="364"/>
      <c r="U26" s="364"/>
      <c r="AA26" s="374"/>
      <c r="AB26" s="374"/>
      <c r="AC26" s="364"/>
      <c r="AD26" s="364"/>
      <c r="AE26" s="374"/>
      <c r="AF26" s="364"/>
      <c r="AG26" s="364"/>
      <c r="AH26" s="374"/>
      <c r="AI26" s="374"/>
      <c r="AJ26" s="374"/>
      <c r="AK26" s="374"/>
      <c r="AL26" s="364"/>
      <c r="AM26" s="364"/>
      <c r="AN26" s="374"/>
      <c r="AO26" s="374"/>
      <c r="AP26" s="374"/>
    </row>
    <row r="27" spans="1:42" s="103" customFormat="1" ht="18.5">
      <c r="A27" s="413"/>
      <c r="B27" s="503"/>
      <c r="C27" s="503"/>
      <c r="D27" s="504"/>
      <c r="E27" s="505"/>
      <c r="F27" s="505"/>
      <c r="G27" s="505"/>
      <c r="H27" s="415"/>
      <c r="I27" s="414"/>
      <c r="J27" s="414"/>
      <c r="K27" s="414"/>
      <c r="L27" s="414"/>
      <c r="M27" s="414"/>
      <c r="N27" s="414"/>
      <c r="O27" s="414"/>
      <c r="P27" s="414"/>
      <c r="Q27" s="414"/>
      <c r="R27" s="414"/>
      <c r="S27" s="414"/>
      <c r="T27" s="414"/>
      <c r="U27" s="414"/>
      <c r="V27" s="414"/>
      <c r="W27" s="414"/>
      <c r="X27" s="414"/>
      <c r="Y27" s="414"/>
      <c r="Z27" s="414"/>
      <c r="AC27" s="435"/>
      <c r="AF27" s="435"/>
      <c r="AL27" s="435"/>
      <c r="AM27" s="435"/>
    </row>
    <row r="28" spans="1:42" s="103" customFormat="1" ht="18.5">
      <c r="A28" s="413"/>
      <c r="B28" s="503"/>
      <c r="C28" s="503"/>
      <c r="D28" s="504"/>
      <c r="E28" s="505"/>
      <c r="F28" s="505"/>
      <c r="G28" s="505"/>
      <c r="H28" s="415"/>
      <c r="O28" s="414"/>
      <c r="P28" s="414"/>
      <c r="Q28" s="414"/>
      <c r="R28" s="414"/>
      <c r="S28" s="414"/>
      <c r="T28" s="414"/>
      <c r="U28" s="414"/>
      <c r="V28" s="414"/>
      <c r="W28" s="414"/>
      <c r="X28" s="414"/>
      <c r="Y28" s="414"/>
      <c r="Z28" s="414"/>
      <c r="AC28" s="435"/>
      <c r="AF28" s="435"/>
      <c r="AL28" s="435"/>
      <c r="AM28" s="435"/>
    </row>
    <row r="29" spans="1:42" ht="18.5">
      <c r="A29" s="145" t="s">
        <v>1582</v>
      </c>
      <c r="B29" s="410"/>
      <c r="C29" s="410"/>
      <c r="D29" s="410"/>
      <c r="E29" s="410"/>
      <c r="F29" s="410"/>
      <c r="G29" s="410"/>
      <c r="H29" s="410"/>
      <c r="I29" s="411"/>
      <c r="J29" s="412"/>
      <c r="K29" s="412"/>
      <c r="L29" s="412"/>
      <c r="M29" s="101"/>
      <c r="N29" s="101"/>
      <c r="O29" s="101"/>
      <c r="P29" s="101"/>
      <c r="Q29" s="101"/>
      <c r="R29" s="101"/>
      <c r="S29" s="101"/>
      <c r="T29" s="101"/>
      <c r="U29" s="101"/>
      <c r="V29" s="101"/>
      <c r="W29" s="101"/>
      <c r="X29" s="101"/>
      <c r="Y29" s="101"/>
      <c r="Z29" s="101"/>
      <c r="AC29" s="362"/>
      <c r="AF29" s="362"/>
      <c r="AL29" s="362"/>
      <c r="AM29" s="362"/>
    </row>
    <row r="30" spans="1:42" ht="15.5">
      <c r="B30"/>
      <c r="C30"/>
      <c r="D30"/>
      <c r="E30"/>
      <c r="F30"/>
      <c r="G30"/>
      <c r="AC30"/>
      <c r="AF30"/>
      <c r="AL30"/>
      <c r="AM30"/>
    </row>
    <row r="31" spans="1:42" ht="15.5">
      <c r="B31"/>
      <c r="C31"/>
      <c r="D31"/>
      <c r="E31"/>
      <c r="F31"/>
      <c r="R31" s="678"/>
      <c r="S31" s="678"/>
      <c r="AC31"/>
      <c r="AL31"/>
      <c r="AM31"/>
    </row>
    <row r="32" spans="1:42" ht="15.5">
      <c r="B32" s="1050" t="s">
        <v>20</v>
      </c>
      <c r="C32" s="1051" t="s">
        <v>2977</v>
      </c>
      <c r="D32"/>
      <c r="E32"/>
      <c r="F32"/>
      <c r="R32" s="417"/>
      <c r="S32" s="417"/>
      <c r="AC32"/>
      <c r="AL32"/>
    </row>
    <row r="33" spans="2:38" ht="15.5">
      <c r="B33" s="1061" t="s">
        <v>21</v>
      </c>
      <c r="C33" s="1061" t="s">
        <v>37</v>
      </c>
      <c r="I33" s="1050" t="s">
        <v>20</v>
      </c>
      <c r="J33" s="1051" t="s">
        <v>2977</v>
      </c>
      <c r="R33" s="678"/>
      <c r="S33" s="678"/>
      <c r="AC33"/>
      <c r="AL33"/>
    </row>
    <row r="34" spans="2:38" ht="15.5">
      <c r="B34" s="1050" t="s">
        <v>34</v>
      </c>
      <c r="C34" s="1051" t="s">
        <v>34</v>
      </c>
      <c r="I34" s="1061" t="s">
        <v>21</v>
      </c>
      <c r="J34" s="1051" t="s">
        <v>515</v>
      </c>
      <c r="R34" s="678"/>
      <c r="S34" s="678"/>
      <c r="AC34"/>
      <c r="AL34"/>
    </row>
    <row r="35" spans="2:38" ht="15.5">
      <c r="B35" s="1050" t="s">
        <v>134</v>
      </c>
      <c r="C35" s="1051" t="s">
        <v>1476</v>
      </c>
      <c r="I35" s="1050" t="s">
        <v>34</v>
      </c>
      <c r="J35" s="1051" t="s">
        <v>34</v>
      </c>
      <c r="AC35"/>
      <c r="AL35"/>
    </row>
    <row r="36" spans="2:38" ht="15.5">
      <c r="B36" s="1050" t="s">
        <v>35</v>
      </c>
      <c r="C36" s="1051" t="s">
        <v>3147</v>
      </c>
      <c r="I36" s="1050" t="s">
        <v>134</v>
      </c>
      <c r="J36" s="1051" t="s">
        <v>1476</v>
      </c>
      <c r="R36"/>
      <c r="S36"/>
      <c r="T36"/>
      <c r="U36"/>
      <c r="V36" s="374"/>
      <c r="W36" s="374"/>
      <c r="X36" s="374"/>
      <c r="Y36" s="374"/>
      <c r="Z36" s="374"/>
      <c r="AA36" s="374"/>
      <c r="AB36" s="374"/>
      <c r="AC36" s="374"/>
      <c r="AD36" s="374"/>
      <c r="AE36" s="374"/>
      <c r="AF36" s="374"/>
      <c r="AG36" s="374"/>
      <c r="AH36" s="374"/>
      <c r="AI36" s="374"/>
      <c r="AJ36" s="374"/>
      <c r="AK36" s="374"/>
      <c r="AL36" s="423"/>
    </row>
    <row r="37" spans="2:38" ht="15.5">
      <c r="R37"/>
      <c r="S37"/>
      <c r="T37"/>
      <c r="U37"/>
      <c r="AL37"/>
    </row>
    <row r="38" spans="2:38" ht="15.5">
      <c r="B38" s="1054" t="s">
        <v>1283</v>
      </c>
      <c r="C38" s="1051" t="s">
        <v>1290</v>
      </c>
      <c r="D38" s="1051" t="s">
        <v>1291</v>
      </c>
      <c r="E38"/>
      <c r="I38" s="1054" t="s">
        <v>1283</v>
      </c>
      <c r="J38" s="1051" t="s">
        <v>1290</v>
      </c>
      <c r="K38" s="1051" t="s">
        <v>1291</v>
      </c>
      <c r="L38"/>
      <c r="R38"/>
      <c r="S38"/>
      <c r="T38"/>
      <c r="U38"/>
      <c r="AL38"/>
    </row>
    <row r="39" spans="2:38" ht="15.5">
      <c r="B39" s="1052" t="s">
        <v>44</v>
      </c>
      <c r="C39" s="1053">
        <v>46744.666666666672</v>
      </c>
      <c r="D39" s="1053">
        <v>4735.3333333333339</v>
      </c>
      <c r="E39"/>
      <c r="I39" s="1052" t="s">
        <v>44</v>
      </c>
      <c r="J39" s="1053">
        <v>9894</v>
      </c>
      <c r="K39" s="1053">
        <v>1417</v>
      </c>
      <c r="L39"/>
    </row>
    <row r="40" spans="2:38" ht="15.5">
      <c r="B40" s="1052" t="s">
        <v>590</v>
      </c>
      <c r="C40" s="1053">
        <v>13510.666666666666</v>
      </c>
      <c r="D40" s="1053">
        <v>22444.333333333332</v>
      </c>
      <c r="E40"/>
      <c r="I40"/>
      <c r="J40"/>
      <c r="K40"/>
      <c r="P40"/>
      <c r="Q40"/>
      <c r="R40"/>
    </row>
    <row r="41" spans="2:38" ht="15.5">
      <c r="B41"/>
      <c r="C41"/>
      <c r="D41"/>
      <c r="E41" s="100"/>
      <c r="F41" s="100"/>
      <c r="G41" s="100"/>
      <c r="H41" s="100"/>
      <c r="I41"/>
      <c r="J41"/>
      <c r="K41"/>
    </row>
    <row r="42" spans="2:38" ht="15.5">
      <c r="F42" s="100"/>
      <c r="G42" s="100"/>
      <c r="H42" s="100"/>
      <c r="I42"/>
      <c r="J42"/>
      <c r="K42"/>
    </row>
    <row r="46" spans="2:38">
      <c r="B46" s="100"/>
      <c r="C46" s="100"/>
      <c r="D46" s="100"/>
      <c r="F46" s="468"/>
      <c r="G46" s="100"/>
      <c r="H46" s="100"/>
      <c r="J46" s="100"/>
      <c r="K46" s="100"/>
      <c r="L46" s="100"/>
    </row>
    <row r="47" spans="2:38">
      <c r="B47" s="100"/>
      <c r="C47" s="100"/>
      <c r="D47" s="100"/>
      <c r="F47" s="100"/>
      <c r="G47" s="100"/>
      <c r="H47" s="100"/>
      <c r="J47" s="100"/>
      <c r="K47" s="100"/>
      <c r="L47" s="100"/>
    </row>
    <row r="48" spans="2:38">
      <c r="B48" s="1050" t="s">
        <v>34</v>
      </c>
      <c r="C48" s="1051" t="s">
        <v>34</v>
      </c>
      <c r="D48" s="100"/>
      <c r="E48" s="160" t="s">
        <v>1714</v>
      </c>
      <c r="F48" s="100"/>
      <c r="G48" s="100"/>
      <c r="P48" s="1050" t="s">
        <v>34</v>
      </c>
      <c r="Q48" s="1051" t="s">
        <v>34</v>
      </c>
      <c r="R48" s="100"/>
      <c r="S48" s="160" t="s">
        <v>1714</v>
      </c>
      <c r="T48" s="100"/>
    </row>
    <row r="49" spans="1:39">
      <c r="B49" s="1050" t="s">
        <v>134</v>
      </c>
      <c r="C49" s="1051" t="s">
        <v>1476</v>
      </c>
      <c r="D49" s="100"/>
      <c r="F49" s="100"/>
      <c r="G49" s="100"/>
      <c r="P49" s="1050" t="s">
        <v>134</v>
      </c>
      <c r="Q49" s="1051" t="s">
        <v>1476</v>
      </c>
      <c r="R49" s="100"/>
      <c r="T49" s="100"/>
    </row>
    <row r="50" spans="1:39">
      <c r="B50" s="1050" t="s">
        <v>35</v>
      </c>
      <c r="C50" s="1051" t="s">
        <v>3147</v>
      </c>
      <c r="D50" s="100"/>
      <c r="F50" s="100"/>
      <c r="G50" s="100"/>
      <c r="P50" s="1050" t="s">
        <v>35</v>
      </c>
      <c r="Q50" s="1051" t="s">
        <v>3147</v>
      </c>
      <c r="R50" s="100"/>
      <c r="T50" s="100"/>
    </row>
    <row r="51" spans="1:39" ht="15" thickBot="1">
      <c r="B51" s="100"/>
      <c r="C51" s="100"/>
      <c r="D51" s="100"/>
      <c r="F51" s="100"/>
      <c r="G51" s="100"/>
      <c r="P51" s="100"/>
      <c r="Q51" s="100"/>
      <c r="R51" s="100"/>
      <c r="S51" s="1157" t="s">
        <v>138</v>
      </c>
      <c r="T51" s="1158"/>
      <c r="W51" s="1159" t="s">
        <v>2165</v>
      </c>
      <c r="X51" s="1160"/>
    </row>
    <row r="52" spans="1:39" ht="16" thickBot="1">
      <c r="B52" s="1054" t="s">
        <v>21</v>
      </c>
      <c r="C52" s="1051" t="s">
        <v>2348</v>
      </c>
      <c r="D52" s="1051" t="s">
        <v>2349</v>
      </c>
      <c r="E52"/>
      <c r="F52"/>
      <c r="G52" s="100"/>
      <c r="H52" s="448" t="s">
        <v>21</v>
      </c>
      <c r="I52" s="405" t="s">
        <v>1480</v>
      </c>
      <c r="J52" s="406" t="s">
        <v>1512</v>
      </c>
      <c r="K52" s="406" t="s">
        <v>1511</v>
      </c>
      <c r="P52" s="1054" t="s">
        <v>21</v>
      </c>
      <c r="Q52" s="1051" t="s">
        <v>2358</v>
      </c>
      <c r="R52" s="1051" t="s">
        <v>2351</v>
      </c>
      <c r="S52"/>
      <c r="T52"/>
      <c r="U52" s="374"/>
      <c r="V52" s="448" t="s">
        <v>21</v>
      </c>
      <c r="W52" s="405" t="s">
        <v>1480</v>
      </c>
      <c r="X52" s="406" t="s">
        <v>1512</v>
      </c>
      <c r="Y52" s="406" t="s">
        <v>2150</v>
      </c>
      <c r="AB52" s="374"/>
      <c r="AC52" s="374"/>
      <c r="AD52" s="374"/>
      <c r="AE52" s="374"/>
      <c r="AF52" s="374"/>
      <c r="AG52" s="374"/>
      <c r="AH52" s="374"/>
      <c r="AI52" s="374"/>
      <c r="AJ52" s="374"/>
      <c r="AK52" s="374"/>
      <c r="AL52" s="374"/>
      <c r="AM52" s="374"/>
    </row>
    <row r="53" spans="1:39" ht="15.5">
      <c r="B53" s="1052" t="s">
        <v>37</v>
      </c>
      <c r="C53" s="991"/>
      <c r="D53" s="991"/>
      <c r="E53"/>
      <c r="F53"/>
      <c r="G53" s="100"/>
      <c r="H53" s="114" t="s">
        <v>37</v>
      </c>
      <c r="I53" s="408">
        <f>GETPIVOTDATA("# of sites",$B$10)</f>
        <v>123</v>
      </c>
      <c r="J53" s="408">
        <f>GETPIVOTDATA("[Measures].[Distinct Count of Site Name]",$H$63,"[WWWW].[State]","[WWWW].[State].&amp;[Kachin]")</f>
        <v>10</v>
      </c>
      <c r="K53" s="408">
        <f>I53-J53</f>
        <v>113</v>
      </c>
      <c r="P53" s="1052" t="s">
        <v>37</v>
      </c>
      <c r="Q53" s="991"/>
      <c r="R53" s="991"/>
      <c r="S53"/>
      <c r="T53"/>
      <c r="V53" s="114" t="s">
        <v>37</v>
      </c>
      <c r="W53" s="408">
        <f>I53</f>
        <v>123</v>
      </c>
      <c r="X53" s="408">
        <f>GETPIVOTDATA("[Measures].[Distinct Count of Site Name]",$V$61,"[WWWW].[State]","[WWWW].[State].&amp;[Kachin]")</f>
        <v>10</v>
      </c>
      <c r="Y53" s="408">
        <f>W53-X53</f>
        <v>113</v>
      </c>
    </row>
    <row r="54" spans="1:39" ht="15.5">
      <c r="B54" s="992" t="s">
        <v>2977</v>
      </c>
      <c r="C54" s="991">
        <v>36</v>
      </c>
      <c r="D54" s="991">
        <v>37</v>
      </c>
      <c r="E54"/>
      <c r="F54"/>
      <c r="G54" s="100"/>
      <c r="H54" s="115" t="s">
        <v>515</v>
      </c>
      <c r="I54" s="409">
        <f>GETPIVOTDATA("# of sites",$I$10)</f>
        <v>40</v>
      </c>
      <c r="J54" s="409">
        <v>0</v>
      </c>
      <c r="K54" s="409">
        <f>I54-J54</f>
        <v>40</v>
      </c>
      <c r="P54" s="992" t="s">
        <v>2977</v>
      </c>
      <c r="Q54" s="991">
        <v>132</v>
      </c>
      <c r="R54" s="991">
        <v>128</v>
      </c>
      <c r="S54"/>
      <c r="T54"/>
      <c r="V54" s="115" t="s">
        <v>515</v>
      </c>
      <c r="W54" s="409">
        <v>34</v>
      </c>
      <c r="X54" s="409">
        <v>0</v>
      </c>
      <c r="Y54" s="408">
        <f>W54-X54</f>
        <v>34</v>
      </c>
    </row>
    <row r="55" spans="1:39" ht="16" thickBot="1">
      <c r="B55" s="1052" t="s">
        <v>1489</v>
      </c>
      <c r="C55" s="991">
        <v>36</v>
      </c>
      <c r="D55" s="991">
        <v>37</v>
      </c>
      <c r="E55"/>
      <c r="F55"/>
      <c r="G55" s="100"/>
      <c r="H55" s="114"/>
      <c r="I55" s="408"/>
      <c r="J55" s="408"/>
      <c r="K55" s="408"/>
      <c r="P55" s="1052" t="s">
        <v>1489</v>
      </c>
      <c r="Q55" s="991">
        <v>132</v>
      </c>
      <c r="R55" s="991">
        <v>128</v>
      </c>
      <c r="S55"/>
      <c r="T55"/>
      <c r="V55" s="114"/>
      <c r="W55" s="408"/>
      <c r="X55" s="408"/>
      <c r="Y55" s="408"/>
    </row>
    <row r="56" spans="1:39" ht="16" thickBot="1">
      <c r="B56" s="1052" t="s">
        <v>515</v>
      </c>
      <c r="C56" s="991"/>
      <c r="D56" s="991"/>
      <c r="E56"/>
      <c r="F56"/>
      <c r="H56" s="404" t="s">
        <v>1285</v>
      </c>
      <c r="I56" s="447">
        <f>SUM(I53:I55)</f>
        <v>163</v>
      </c>
      <c r="J56" s="447">
        <f>SUM(J53:J55)</f>
        <v>10</v>
      </c>
      <c r="K56" s="447">
        <f>I56-J56</f>
        <v>153</v>
      </c>
      <c r="P56" s="1052" t="s">
        <v>515</v>
      </c>
      <c r="Q56" s="991"/>
      <c r="R56" s="991"/>
      <c r="S56"/>
      <c r="T56"/>
    </row>
    <row r="57" spans="1:39" ht="16" thickBot="1">
      <c r="A57" s="100"/>
      <c r="B57" s="992" t="s">
        <v>2977</v>
      </c>
      <c r="C57" s="991"/>
      <c r="D57" s="991"/>
      <c r="P57" s="992" t="s">
        <v>2977</v>
      </c>
      <c r="Q57" s="991"/>
      <c r="R57" s="991"/>
      <c r="V57" s="423" t="s">
        <v>34</v>
      </c>
      <c r="W57" s="417" t="s" vm="1">
        <v>34</v>
      </c>
    </row>
    <row r="58" spans="1:39" ht="16" thickBot="1">
      <c r="A58" s="100"/>
      <c r="B58" s="1052" t="s">
        <v>2086</v>
      </c>
      <c r="C58" s="991"/>
      <c r="D58" s="991"/>
      <c r="P58" s="1052" t="s">
        <v>2086</v>
      </c>
      <c r="Q58" s="991"/>
      <c r="R58" s="991"/>
      <c r="V58" s="423" t="s">
        <v>2279</v>
      </c>
      <c r="W58" s="417" t="s" vm="4">
        <v>1284</v>
      </c>
      <c r="Y58" s="803" t="s">
        <v>37</v>
      </c>
      <c r="Z58" s="406" t="s">
        <v>2151</v>
      </c>
      <c r="AA58" s="407" t="s">
        <v>2152</v>
      </c>
    </row>
    <row r="59" spans="1:39" ht="16" thickBot="1">
      <c r="A59" s="100"/>
      <c r="B59" s="1052" t="s">
        <v>1285</v>
      </c>
      <c r="C59" s="991">
        <v>36</v>
      </c>
      <c r="D59" s="991">
        <v>37</v>
      </c>
      <c r="H59"/>
      <c r="I59"/>
      <c r="P59" s="1052" t="s">
        <v>1285</v>
      </c>
      <c r="Q59" s="991">
        <v>132</v>
      </c>
      <c r="R59" s="991">
        <v>128</v>
      </c>
      <c r="V59" s="423" t="s">
        <v>35</v>
      </c>
      <c r="W59" s="417" t="s" vm="3">
        <v>3147</v>
      </c>
      <c r="Y59" s="993" t="s">
        <v>2977</v>
      </c>
      <c r="Z59" s="408">
        <f>GETPIVOTDATA("Sum of #_Household water samples tested for fecal coliform",$P$52,"Reporting Period","2023_Q1","State","Kachin")</f>
        <v>132</v>
      </c>
      <c r="AA59" s="408">
        <f>GETPIVOTDATA("Sum of #_Household passed",$P$52,"Reporting Period","2023_Q1","State","Kachin")</f>
        <v>128</v>
      </c>
    </row>
    <row r="60" spans="1:39" ht="16" thickBot="1">
      <c r="A60" s="100"/>
      <c r="B60"/>
      <c r="C60"/>
      <c r="D60"/>
      <c r="H60" s="423" t="s">
        <v>34</v>
      </c>
      <c r="I60" s="417" t="s" vm="1">
        <v>34</v>
      </c>
      <c r="K60" s="406" t="s">
        <v>37</v>
      </c>
      <c r="L60" s="406" t="s">
        <v>2149</v>
      </c>
      <c r="M60" s="407" t="s">
        <v>2350</v>
      </c>
      <c r="P60"/>
      <c r="Q60"/>
      <c r="R60"/>
      <c r="Y60" s="993" t="s">
        <v>2978</v>
      </c>
      <c r="Z60" s="409"/>
      <c r="AA60" s="446"/>
    </row>
    <row r="61" spans="1:39" ht="15.5">
      <c r="A61" s="100"/>
      <c r="B61"/>
      <c r="C61"/>
      <c r="D61"/>
      <c r="H61" s="423" t="s">
        <v>2420</v>
      </c>
      <c r="I61" s="417" t="s" vm="2">
        <v>1284</v>
      </c>
      <c r="K61" s="993" t="s">
        <v>2977</v>
      </c>
      <c r="L61" s="408">
        <f>GETPIVOTDATA("Sum of #_Water sources tested for fecal coliform ",$B$52,"Reporting Period","2023_Q1","State","Kachin")</f>
        <v>36</v>
      </c>
      <c r="M61" s="408">
        <f>GETPIVOTDATA("Sum of #_Water sources passed",$B$52,"Reporting Period","2023_Q1","State","Kachin")</f>
        <v>37</v>
      </c>
      <c r="P61"/>
      <c r="Q61"/>
      <c r="R61"/>
      <c r="V61" s="423" t="s">
        <v>1283</v>
      </c>
      <c r="W61" t="s">
        <v>2421</v>
      </c>
      <c r="Y61" s="993" t="s">
        <v>2979</v>
      </c>
      <c r="Z61" s="409"/>
      <c r="AA61" s="446"/>
    </row>
    <row r="62" spans="1:39" ht="15.5">
      <c r="A62" s="100"/>
      <c r="B62"/>
      <c r="C62"/>
      <c r="D62"/>
      <c r="K62" s="993" t="s">
        <v>2978</v>
      </c>
      <c r="L62" s="409" t="e">
        <f>GETPIVOTDATA("Sum of #_Water sources tested for fecal coliform ",$B$52,"Reporting Period","2022_Q2","State","Kachin")</f>
        <v>#REF!</v>
      </c>
      <c r="M62" s="446" t="e">
        <f>GETPIVOTDATA("Sum of #_Water sources passed",$B$52,"Reporting Period","2022_Q2","State","Kachin")</f>
        <v>#REF!</v>
      </c>
      <c r="P62"/>
      <c r="Q62"/>
      <c r="R62"/>
      <c r="V62" s="487" t="s">
        <v>37</v>
      </c>
      <c r="W62" s="416">
        <v>10</v>
      </c>
      <c r="Y62" s="993" t="s">
        <v>2980</v>
      </c>
      <c r="Z62" s="409"/>
      <c r="AA62" s="446"/>
    </row>
    <row r="63" spans="1:39" ht="15.5">
      <c r="A63" s="100"/>
      <c r="B63"/>
      <c r="C63"/>
      <c r="D63"/>
      <c r="H63" s="423" t="s">
        <v>1283</v>
      </c>
      <c r="I63" t="s">
        <v>2421</v>
      </c>
      <c r="J63"/>
      <c r="K63" s="993" t="s">
        <v>2979</v>
      </c>
      <c r="L63" s="93" t="e">
        <f>GETPIVOTDATA("Sum of #_Water sources tested for fecal coliform ",$B$52,"Reporting Period","2022_Q3","State","Kachin")</f>
        <v>#REF!</v>
      </c>
      <c r="M63" s="93" t="e">
        <f>GETPIVOTDATA("Sum of #_Water sources passed",$B$52,"Reporting Period","2022_Q3","State","Kachin")</f>
        <v>#REF!</v>
      </c>
      <c r="P63"/>
      <c r="Q63"/>
      <c r="R63"/>
      <c r="V63" s="487" t="s">
        <v>1285</v>
      </c>
      <c r="W63" s="416">
        <v>10</v>
      </c>
    </row>
    <row r="64" spans="1:39" ht="16" thickBot="1">
      <c r="A64" s="100"/>
      <c r="B64"/>
      <c r="C64"/>
      <c r="D64"/>
      <c r="H64" s="487" t="s">
        <v>37</v>
      </c>
      <c r="I64" s="416">
        <v>10</v>
      </c>
      <c r="J64"/>
      <c r="K64" s="993" t="s">
        <v>2980</v>
      </c>
      <c r="L64" s="93" t="e">
        <f>GETPIVOTDATA("Sum of #_Water sources tested for fecal coliform ",$B$52,"Reporting Period","2022_Q4","State","Kachin")</f>
        <v>#REF!</v>
      </c>
      <c r="M64" s="93" t="e">
        <f>GETPIVOTDATA("Sum of #_Water sources passed",$B$52,"Reporting Period","2022_Q4","State","Kachin")</f>
        <v>#REF!</v>
      </c>
      <c r="P64"/>
      <c r="Q64"/>
      <c r="R64"/>
      <c r="V64"/>
      <c r="W64"/>
    </row>
    <row r="65" spans="1:27" ht="16" thickBot="1">
      <c r="A65" s="100"/>
      <c r="B65"/>
      <c r="C65"/>
      <c r="D65"/>
      <c r="H65" s="487" t="s">
        <v>1285</v>
      </c>
      <c r="I65" s="416">
        <v>10</v>
      </c>
      <c r="J65"/>
      <c r="K65" s="447"/>
      <c r="L65" s="447" t="e">
        <f>SUM(L61:L64)</f>
        <v>#REF!</v>
      </c>
      <c r="M65" s="447" t="e">
        <f>SUM(M61:M64)</f>
        <v>#REF!</v>
      </c>
      <c r="P65"/>
      <c r="Q65"/>
      <c r="R65"/>
      <c r="Y65" s="803" t="s">
        <v>515</v>
      </c>
      <c r="Z65" s="406" t="s">
        <v>2151</v>
      </c>
      <c r="AA65" s="407" t="s">
        <v>2152</v>
      </c>
    </row>
    <row r="66" spans="1:27" ht="15.5">
      <c r="A66" s="100"/>
      <c r="B66" s="100"/>
      <c r="C66" s="100"/>
      <c r="D66" s="100"/>
      <c r="H66"/>
      <c r="I66"/>
      <c r="J66"/>
      <c r="P66"/>
      <c r="Q66"/>
      <c r="R66"/>
      <c r="Y66" s="993" t="s">
        <v>2977</v>
      </c>
      <c r="Z66" s="804">
        <f>GETPIVOTDATA("Sum of #_Household water samples tested for fecal coliform",$P$52,"Reporting Period","2023_Q1","State","Shan (North)")</f>
        <v>0</v>
      </c>
      <c r="AA66" s="805">
        <f>GETPIVOTDATA("Sum of #_Household passed",$P$52,"Reporting Period","2023_Q1","State","Shan (North)")</f>
        <v>0</v>
      </c>
    </row>
    <row r="67" spans="1:27">
      <c r="A67" s="100"/>
      <c r="B67" s="100"/>
      <c r="C67" s="100"/>
      <c r="D67" s="100"/>
      <c r="H67" s="662"/>
      <c r="I67" s="662"/>
      <c r="J67" s="100"/>
      <c r="Y67" s="993" t="s">
        <v>2978</v>
      </c>
      <c r="Z67" s="806"/>
      <c r="AA67" s="806"/>
    </row>
    <row r="68" spans="1:27" ht="15" thickBot="1">
      <c r="A68" s="100"/>
      <c r="B68" s="100"/>
      <c r="C68" s="100"/>
      <c r="D68" s="100"/>
      <c r="E68" s="100"/>
      <c r="F68" s="100"/>
      <c r="G68" s="100"/>
      <c r="H68" s="662"/>
      <c r="I68" s="662"/>
      <c r="J68" s="100"/>
      <c r="Y68" s="993" t="s">
        <v>2979</v>
      </c>
    </row>
    <row r="69" spans="1:27" ht="15" thickBot="1">
      <c r="A69" s="100"/>
      <c r="B69" s="100"/>
      <c r="C69" s="100"/>
      <c r="D69" s="100"/>
      <c r="E69" s="100"/>
      <c r="F69" s="100"/>
      <c r="G69" s="100"/>
      <c r="H69" s="662"/>
      <c r="I69" s="662"/>
      <c r="J69" s="100"/>
      <c r="K69" s="115" t="s">
        <v>515</v>
      </c>
      <c r="L69" s="406" t="s">
        <v>2149</v>
      </c>
      <c r="M69" s="407" t="s">
        <v>2350</v>
      </c>
      <c r="Y69" s="993" t="s">
        <v>2980</v>
      </c>
    </row>
    <row r="70" spans="1:27">
      <c r="A70" s="100"/>
      <c r="B70" s="100"/>
      <c r="C70" s="100"/>
      <c r="D70" s="100"/>
      <c r="E70" s="100"/>
      <c r="F70" s="100"/>
      <c r="G70" s="100"/>
      <c r="H70" s="100"/>
      <c r="I70" s="100"/>
      <c r="J70" s="100"/>
      <c r="K70" s="993" t="s">
        <v>2977</v>
      </c>
      <c r="L70" s="408">
        <f>GETPIVOTDATA("Sum of #_Water sources tested for fecal coliform ",$B$52,"Reporting Period","2023_Q1","State","Shan (North)")</f>
        <v>0</v>
      </c>
      <c r="M70" s="408">
        <f>GETPIVOTDATA("Sum of #_Water sources passed",$B$52,"Reporting Period","2023_Q1","State","Shan (North)")</f>
        <v>0</v>
      </c>
    </row>
    <row r="71" spans="1:27" ht="15.5">
      <c r="A71" s="100"/>
      <c r="B71" s="100"/>
      <c r="C71" s="100"/>
      <c r="D71" s="100"/>
      <c r="E71" s="96"/>
      <c r="F71" s="96"/>
      <c r="G71" s="97"/>
      <c r="H71"/>
      <c r="I71"/>
      <c r="J71"/>
      <c r="K71" s="993" t="s">
        <v>2978</v>
      </c>
      <c r="L71" s="409" t="e">
        <f>GETPIVOTDATA("Sum of #_Water sources tested for fecal coliform ",$B$52,"Reporting Period","2022_Q2","State","Shan (North)")</f>
        <v>#REF!</v>
      </c>
      <c r="M71" s="446" t="e">
        <f>GETPIVOTDATA("Sum of #_Water sources passed",$B$52,"Reporting Period","2022_Q2","State","Shan (North)")</f>
        <v>#REF!</v>
      </c>
      <c r="N71" s="374"/>
      <c r="O71" s="374"/>
    </row>
    <row r="72" spans="1:27" s="103" customFormat="1" ht="15.5">
      <c r="B72" s="104"/>
      <c r="C72" s="105"/>
      <c r="D72" s="105"/>
      <c r="E72" s="106"/>
      <c r="F72" s="106"/>
      <c r="G72" s="107"/>
      <c r="H72"/>
      <c r="I72"/>
      <c r="J72"/>
      <c r="K72" s="993" t="s">
        <v>2979</v>
      </c>
      <c r="L72" s="93" t="e">
        <f>GETPIVOTDATA("Sum of #_Water sources tested for fecal coliform ",$B$52,"Reporting Period","2022_Q3","State","Shan (North)")</f>
        <v>#REF!</v>
      </c>
      <c r="M72" s="93" t="e">
        <f>GETPIVOTDATA("Sum of #_Water sources passed",$B$52,"Reporting Period","2022_Q3","State","Shan (North)")</f>
        <v>#REF!</v>
      </c>
    </row>
    <row r="73" spans="1:27" s="103" customFormat="1" ht="16" thickBot="1">
      <c r="B73" s="104"/>
      <c r="C73" s="105"/>
      <c r="D73" s="105"/>
      <c r="E73" s="106"/>
      <c r="F73" s="106"/>
      <c r="G73" s="107"/>
      <c r="H73"/>
      <c r="I73"/>
      <c r="J73"/>
      <c r="K73" s="993" t="s">
        <v>2980</v>
      </c>
      <c r="L73" s="93"/>
      <c r="M73" s="93"/>
    </row>
    <row r="74" spans="1:27" s="103" customFormat="1" ht="16" thickBot="1">
      <c r="B74" s="1050" t="s">
        <v>20</v>
      </c>
      <c r="C74" s="1051" t="s">
        <v>2977</v>
      </c>
      <c r="D74" s="105"/>
      <c r="E74" s="106"/>
      <c r="F74" s="106"/>
      <c r="G74" s="107"/>
      <c r="H74"/>
      <c r="I74"/>
      <c r="J74"/>
      <c r="K74" s="447"/>
      <c r="L74" s="447" t="e">
        <f>SUM(L70:L73)</f>
        <v>#REF!</v>
      </c>
      <c r="M74" s="447" t="e">
        <f>SUM(M70:M73)</f>
        <v>#REF!</v>
      </c>
    </row>
    <row r="75" spans="1:27" s="103" customFormat="1" ht="15.5">
      <c r="B75" s="1050" t="s">
        <v>34</v>
      </c>
      <c r="C75" s="1051" t="s">
        <v>34</v>
      </c>
      <c r="D75" s="105"/>
      <c r="E75" s="106"/>
      <c r="F75" s="106"/>
      <c r="G75" s="107"/>
      <c r="H75"/>
      <c r="I75"/>
      <c r="J75"/>
      <c r="M75" s="379"/>
      <c r="N75" s="379"/>
      <c r="O75" s="105"/>
    </row>
    <row r="76" spans="1:27" s="103" customFormat="1" ht="15.5">
      <c r="B76" s="1054" t="s">
        <v>21</v>
      </c>
      <c r="C76" s="1051" t="s">
        <v>37</v>
      </c>
      <c r="D76" s="100"/>
      <c r="E76" s="106"/>
      <c r="F76" s="106"/>
      <c r="G76" s="107"/>
      <c r="H76"/>
      <c r="I76"/>
      <c r="J76"/>
      <c r="M76" s="379"/>
      <c r="N76" s="379"/>
      <c r="O76" s="380"/>
    </row>
    <row r="77" spans="1:27" s="103" customFormat="1" ht="15.5">
      <c r="B77" s="1050" t="s">
        <v>134</v>
      </c>
      <c r="C77" s="1051" t="s">
        <v>1476</v>
      </c>
      <c r="D77" s="100"/>
      <c r="E77" s="106"/>
      <c r="F77" s="106"/>
      <c r="G77" s="107"/>
      <c r="H77"/>
      <c r="I77"/>
      <c r="J77"/>
      <c r="M77" s="381"/>
      <c r="N77" s="379"/>
      <c r="O77" s="380"/>
    </row>
    <row r="78" spans="1:27" s="103" customFormat="1" ht="15.5">
      <c r="B78" s="1050" t="s">
        <v>35</v>
      </c>
      <c r="C78" s="1051" t="s">
        <v>3147</v>
      </c>
      <c r="D78" s="100"/>
      <c r="E78" s="106"/>
      <c r="F78" s="106"/>
      <c r="G78" s="107"/>
      <c r="H78"/>
      <c r="I78"/>
      <c r="J78"/>
      <c r="M78" s="379"/>
      <c r="N78" s="379"/>
      <c r="O78" s="380"/>
    </row>
    <row r="79" spans="1:27" s="103" customFormat="1" ht="15.5">
      <c r="B79" s="376"/>
      <c r="C79" s="100"/>
      <c r="D79" s="100"/>
      <c r="E79" s="106"/>
      <c r="F79" s="106"/>
      <c r="G79" s="107"/>
      <c r="H79"/>
      <c r="I79"/>
      <c r="J79"/>
      <c r="M79" s="382"/>
      <c r="N79" s="380"/>
      <c r="O79" s="380"/>
    </row>
    <row r="80" spans="1:27" s="103" customFormat="1" ht="15.5">
      <c r="B80" s="1056" t="s">
        <v>21</v>
      </c>
      <c r="C80" s="1051" t="s">
        <v>2143</v>
      </c>
      <c r="D80" s="1051" t="s">
        <v>2139</v>
      </c>
      <c r="E80"/>
      <c r="F80" s="106"/>
      <c r="G80" s="107"/>
      <c r="H80"/>
      <c r="I80"/>
      <c r="J80"/>
      <c r="M80" s="366"/>
      <c r="N80" s="366"/>
      <c r="O80" s="366"/>
    </row>
    <row r="81" spans="2:16" s="103" customFormat="1" ht="15.5">
      <c r="B81" s="1052" t="s">
        <v>195</v>
      </c>
      <c r="C81" s="1058">
        <v>0.9510721836303232</v>
      </c>
      <c r="D81" s="1058">
        <v>4.8927816369676802E-2</v>
      </c>
      <c r="E81" s="1000"/>
      <c r="F81" s="106"/>
      <c r="G81" s="107"/>
      <c r="M81" s="366"/>
      <c r="N81" s="366"/>
      <c r="O81" s="366"/>
    </row>
    <row r="82" spans="2:16" s="103" customFormat="1" ht="15.5">
      <c r="B82" s="1052" t="s">
        <v>146</v>
      </c>
      <c r="C82" s="1058">
        <v>0.5964714714714715</v>
      </c>
      <c r="D82" s="1058">
        <v>0.4035285285285285</v>
      </c>
      <c r="E82" s="1001"/>
      <c r="F82" s="106"/>
      <c r="G82" s="107"/>
      <c r="M82" s="366"/>
      <c r="N82" s="366"/>
      <c r="O82" s="366"/>
    </row>
    <row r="83" spans="2:16" s="103" customFormat="1" ht="15.5">
      <c r="B83" s="1052" t="s">
        <v>148</v>
      </c>
      <c r="C83" s="1058">
        <v>0.97841726618705038</v>
      </c>
      <c r="D83" s="1058">
        <v>2.1582733812949617E-2</v>
      </c>
      <c r="E83" s="1000"/>
      <c r="F83" s="106"/>
      <c r="G83" s="107"/>
      <c r="M83" s="366"/>
      <c r="N83" s="366"/>
      <c r="O83" s="366"/>
    </row>
    <row r="84" spans="2:16" s="103" customFormat="1" ht="15.5">
      <c r="B84" s="1052" t="s">
        <v>38</v>
      </c>
      <c r="C84" s="1058">
        <v>0.79505195026400954</v>
      </c>
      <c r="D84" s="1058">
        <v>0.20494804973599046</v>
      </c>
      <c r="E84" s="1001"/>
      <c r="F84" s="106"/>
      <c r="G84" s="107"/>
      <c r="M84"/>
      <c r="N84"/>
      <c r="O84"/>
    </row>
    <row r="85" spans="2:16" s="103" customFormat="1" ht="15.5">
      <c r="B85" s="1052" t="s">
        <v>152</v>
      </c>
      <c r="C85" s="1058">
        <v>1</v>
      </c>
      <c r="D85" s="1058">
        <v>0</v>
      </c>
      <c r="E85" s="1000"/>
      <c r="F85" s="106"/>
      <c r="G85" s="107"/>
      <c r="M85"/>
      <c r="N85"/>
      <c r="O85"/>
    </row>
    <row r="86" spans="2:16" s="103" customFormat="1" ht="15.5">
      <c r="B86" s="1052" t="s">
        <v>157</v>
      </c>
      <c r="C86" s="1058">
        <v>1</v>
      </c>
      <c r="D86" s="1058">
        <v>0</v>
      </c>
      <c r="E86" s="1001"/>
      <c r="F86" s="106"/>
      <c r="G86" s="107"/>
      <c r="M86"/>
      <c r="N86"/>
      <c r="O86"/>
    </row>
    <row r="87" spans="2:16" s="103" customFormat="1" ht="15.5">
      <c r="B87" s="1052" t="s">
        <v>205</v>
      </c>
      <c r="C87" s="1058">
        <v>0.53865587897950962</v>
      </c>
      <c r="D87" s="1058">
        <v>0.46134412102049038</v>
      </c>
      <c r="E87" s="1000"/>
      <c r="F87" s="106"/>
      <c r="G87" s="107"/>
      <c r="M87"/>
      <c r="N87"/>
      <c r="O87"/>
    </row>
    <row r="88" spans="2:16" s="103" customFormat="1" ht="15.5">
      <c r="B88" s="1052" t="s">
        <v>159</v>
      </c>
      <c r="C88" s="1058">
        <v>1</v>
      </c>
      <c r="D88" s="1058">
        <v>0</v>
      </c>
      <c r="E88" s="1001"/>
      <c r="F88" s="106"/>
      <c r="G88" s="107"/>
      <c r="M88"/>
      <c r="N88"/>
      <c r="O88"/>
    </row>
    <row r="89" spans="2:16" s="103" customFormat="1" ht="15.5">
      <c r="B89" s="1052" t="s">
        <v>214</v>
      </c>
      <c r="C89" s="1058">
        <v>1</v>
      </c>
      <c r="D89" s="1058">
        <v>0</v>
      </c>
      <c r="E89" s="1000"/>
      <c r="F89" s="106"/>
      <c r="G89" s="107"/>
      <c r="M89"/>
      <c r="N89"/>
      <c r="O89"/>
    </row>
    <row r="90" spans="2:16" s="103" customFormat="1">
      <c r="B90" s="1052" t="s">
        <v>184</v>
      </c>
      <c r="C90" s="1058">
        <v>1</v>
      </c>
      <c r="D90" s="1058">
        <v>0</v>
      </c>
      <c r="E90" s="1001"/>
      <c r="F90" s="106"/>
      <c r="G90" s="107"/>
    </row>
    <row r="91" spans="2:16" s="103" customFormat="1" ht="15.5">
      <c r="B91" s="1052" t="s">
        <v>863</v>
      </c>
      <c r="C91" s="1058">
        <v>1</v>
      </c>
      <c r="D91" s="1058">
        <v>0</v>
      </c>
      <c r="E91" s="1000"/>
      <c r="F91" s="106"/>
      <c r="G91" s="107"/>
      <c r="M91"/>
      <c r="N91"/>
      <c r="O91"/>
    </row>
    <row r="92" spans="2:16" s="103" customFormat="1" ht="15.5">
      <c r="B92" s="1052" t="s">
        <v>142</v>
      </c>
      <c r="C92" s="1058">
        <v>0.49321698495577332</v>
      </c>
      <c r="D92" s="1058">
        <v>0.50678301504422674</v>
      </c>
      <c r="E92" s="1001"/>
      <c r="F92" s="106"/>
      <c r="G92" s="107"/>
      <c r="M92"/>
      <c r="N92"/>
      <c r="O92"/>
    </row>
    <row r="93" spans="2:16" s="103" customFormat="1" ht="16" thickBot="1">
      <c r="B93"/>
      <c r="C93"/>
      <c r="D93"/>
      <c r="E93" s="1000"/>
      <c r="F93" s="106"/>
      <c r="G93" s="107"/>
      <c r="M93"/>
      <c r="N93"/>
      <c r="O93"/>
    </row>
    <row r="94" spans="2:16" s="103" customFormat="1" ht="16" thickBot="1">
      <c r="B94"/>
      <c r="C94"/>
      <c r="D94"/>
      <c r="E94" s="1002"/>
      <c r="F94" s="106"/>
      <c r="G94" s="107"/>
    </row>
    <row r="95" spans="2:16" s="103" customFormat="1" ht="15.5">
      <c r="B95" s="1050" t="s">
        <v>20</v>
      </c>
      <c r="C95" s="1051" t="s">
        <v>2977</v>
      </c>
      <c r="D95"/>
      <c r="E95" s="106"/>
      <c r="F95" s="106"/>
      <c r="G95" s="107"/>
      <c r="K95" s="449"/>
      <c r="L95" s="449"/>
      <c r="M95" s="105"/>
    </row>
    <row r="96" spans="2:16" s="103" customFormat="1" ht="15.5">
      <c r="B96" s="1050" t="s">
        <v>34</v>
      </c>
      <c r="C96" s="1051" t="s">
        <v>34</v>
      </c>
      <c r="D96" s="105"/>
      <c r="E96" s="106"/>
      <c r="F96" s="106"/>
      <c r="G96" s="107"/>
      <c r="I96" s="417"/>
      <c r="J96" s="417"/>
      <c r="K96" s="417"/>
      <c r="L96" s="417"/>
      <c r="M96" s="417"/>
      <c r="N96" s="417"/>
      <c r="O96" s="417"/>
      <c r="P96" s="417"/>
    </row>
    <row r="97" spans="2:25" s="103" customFormat="1" ht="15.5">
      <c r="B97" s="1059" t="s">
        <v>21</v>
      </c>
      <c r="C97" s="1059" t="s">
        <v>515</v>
      </c>
      <c r="D97" s="100"/>
      <c r="E97" s="106"/>
      <c r="F97" s="106"/>
      <c r="G97" s="107"/>
      <c r="I97" s="417"/>
      <c r="J97" s="417"/>
      <c r="K97" s="417"/>
      <c r="L97" s="417"/>
      <c r="M97" s="417"/>
      <c r="N97" s="417"/>
      <c r="O97" s="417"/>
      <c r="P97" s="417"/>
    </row>
    <row r="98" spans="2:25" s="103" customFormat="1" ht="15.5">
      <c r="B98" s="1050" t="s">
        <v>134</v>
      </c>
      <c r="C98" s="1051" t="s">
        <v>1476</v>
      </c>
      <c r="D98" s="100"/>
      <c r="E98" s="106"/>
      <c r="F98" s="106"/>
      <c r="G98" s="107"/>
      <c r="I98" s="417"/>
      <c r="J98" s="417"/>
      <c r="K98" s="417"/>
      <c r="L98" s="417"/>
      <c r="M98" s="417"/>
      <c r="N98" s="417"/>
      <c r="O98" s="417"/>
      <c r="P98" s="417"/>
    </row>
    <row r="99" spans="2:25" s="103" customFormat="1" ht="15.5">
      <c r="B99" s="1050" t="s">
        <v>35</v>
      </c>
      <c r="C99" s="1051" t="s">
        <v>3147</v>
      </c>
      <c r="D99" s="100"/>
      <c r="E99" s="106"/>
      <c r="F99" s="106"/>
      <c r="G99" s="107"/>
      <c r="I99" s="417"/>
      <c r="J99" s="417"/>
      <c r="K99" s="417"/>
      <c r="L99" s="417"/>
      <c r="M99" s="417"/>
      <c r="N99" s="417"/>
      <c r="O99" s="417"/>
      <c r="P99" s="417"/>
    </row>
    <row r="100" spans="2:25" s="103" customFormat="1" ht="15.5">
      <c r="B100" s="377"/>
      <c r="C100" s="100"/>
      <c r="D100" s="100"/>
      <c r="E100" s="106"/>
      <c r="F100" s="106"/>
      <c r="G100" s="107"/>
      <c r="I100" s="417"/>
      <c r="J100" s="417"/>
      <c r="K100" s="417"/>
      <c r="L100" s="417"/>
      <c r="M100" s="417"/>
      <c r="N100" s="417"/>
      <c r="O100" s="417"/>
      <c r="P100" s="417"/>
    </row>
    <row r="101" spans="2:25" s="103" customFormat="1" ht="15.5">
      <c r="B101" s="1056" t="s">
        <v>21</v>
      </c>
      <c r="C101" s="1051" t="s">
        <v>2143</v>
      </c>
      <c r="D101" s="1051" t="s">
        <v>2139</v>
      </c>
      <c r="E101" s="106"/>
      <c r="F101" s="106"/>
      <c r="G101" s="107"/>
      <c r="I101" s="417"/>
      <c r="J101" s="417"/>
      <c r="K101" s="417"/>
      <c r="L101" s="417"/>
      <c r="M101" s="417"/>
      <c r="N101" s="417"/>
      <c r="O101" s="417"/>
      <c r="P101" s="417"/>
    </row>
    <row r="102" spans="2:25" s="103" customFormat="1" ht="15.5">
      <c r="B102" s="1052" t="s">
        <v>534</v>
      </c>
      <c r="C102" s="1058">
        <v>1</v>
      </c>
      <c r="D102" s="1058">
        <v>0</v>
      </c>
      <c r="E102" s="106"/>
      <c r="F102" s="106"/>
      <c r="G102" s="107"/>
      <c r="I102" s="417"/>
      <c r="J102" s="417"/>
      <c r="K102" s="417"/>
      <c r="L102" s="417"/>
      <c r="M102" s="417"/>
      <c r="N102" s="417"/>
      <c r="O102" s="417"/>
      <c r="P102" s="417"/>
    </row>
    <row r="103" spans="2:25" s="103" customFormat="1" ht="15.5">
      <c r="B103" s="1052" t="s">
        <v>556</v>
      </c>
      <c r="C103" s="1058">
        <v>0</v>
      </c>
      <c r="D103" s="1058">
        <v>1</v>
      </c>
      <c r="E103" s="106"/>
      <c r="F103" s="106"/>
      <c r="G103" s="107"/>
      <c r="J103"/>
      <c r="K103"/>
      <c r="L103"/>
      <c r="M103"/>
      <c r="N103"/>
      <c r="O103"/>
      <c r="P103"/>
    </row>
    <row r="104" spans="2:25" s="103" customFormat="1" ht="15.5">
      <c r="B104" s="1052" t="s">
        <v>519</v>
      </c>
      <c r="C104" s="1058">
        <v>0.93791542921793258</v>
      </c>
      <c r="D104" s="1058">
        <v>6.2084570782067416E-2</v>
      </c>
      <c r="E104" s="106"/>
      <c r="F104" s="106"/>
      <c r="G104" s="107"/>
      <c r="J104"/>
      <c r="K104"/>
      <c r="L104"/>
      <c r="M104"/>
      <c r="N104"/>
      <c r="O104"/>
      <c r="P104"/>
    </row>
    <row r="105" spans="2:25" s="103" customFormat="1" ht="15.5">
      <c r="B105" s="1052" t="s">
        <v>960</v>
      </c>
      <c r="C105" s="1058">
        <v>0.67434210526315785</v>
      </c>
      <c r="D105" s="1058">
        <v>0.32565789473684215</v>
      </c>
      <c r="E105" s="106"/>
      <c r="F105" s="106"/>
      <c r="G105" s="107"/>
      <c r="J105"/>
      <c r="K105"/>
      <c r="L105"/>
      <c r="M105"/>
      <c r="N105"/>
      <c r="O105"/>
      <c r="P105"/>
    </row>
    <row r="106" spans="2:25" s="103" customFormat="1" ht="15.5">
      <c r="B106" s="1052" t="s">
        <v>961</v>
      </c>
      <c r="C106" s="1058">
        <v>0.29662004662004665</v>
      </c>
      <c r="D106" s="1058">
        <v>0.7033799533799534</v>
      </c>
      <c r="E106" s="106"/>
      <c r="F106" s="106"/>
      <c r="G106" s="107"/>
      <c r="J106"/>
      <c r="K106"/>
      <c r="L106"/>
      <c r="M106"/>
      <c r="N106"/>
      <c r="O106"/>
      <c r="P106"/>
    </row>
    <row r="107" spans="2:25" s="103" customFormat="1" ht="15.5">
      <c r="B107" s="1052" t="s">
        <v>963</v>
      </c>
      <c r="C107" s="1058">
        <v>0.95579450418160095</v>
      </c>
      <c r="D107" s="1058">
        <v>4.4205495818399054E-2</v>
      </c>
      <c r="E107" s="106"/>
      <c r="F107" s="106"/>
      <c r="G107" s="107"/>
      <c r="J107"/>
      <c r="K107"/>
      <c r="L107"/>
      <c r="M107"/>
      <c r="T107"/>
      <c r="U107"/>
      <c r="V107"/>
      <c r="W107"/>
      <c r="X107"/>
      <c r="Y107"/>
    </row>
    <row r="108" spans="2:25" s="103" customFormat="1" ht="15.5">
      <c r="B108" s="1052" t="s">
        <v>522</v>
      </c>
      <c r="C108" s="1058">
        <v>1</v>
      </c>
      <c r="D108" s="1058">
        <v>0</v>
      </c>
      <c r="E108" s="106"/>
      <c r="F108" s="106"/>
      <c r="G108" s="107"/>
      <c r="J108"/>
      <c r="K108"/>
      <c r="L108"/>
      <c r="M108"/>
      <c r="T108"/>
      <c r="U108"/>
      <c r="V108"/>
    </row>
    <row r="109" spans="2:25" s="103" customFormat="1" ht="15.5">
      <c r="B109" s="1052" t="s">
        <v>525</v>
      </c>
      <c r="C109" s="1058">
        <v>0.7424969987995198</v>
      </c>
      <c r="D109" s="1058">
        <v>0.2575030012004802</v>
      </c>
      <c r="E109" s="106"/>
      <c r="F109" s="106"/>
      <c r="G109" s="107"/>
      <c r="J109"/>
      <c r="K109"/>
      <c r="L109"/>
      <c r="M109"/>
      <c r="T109"/>
      <c r="U109"/>
      <c r="V109"/>
    </row>
    <row r="110" spans="2:25" s="103" customFormat="1" ht="15.5">
      <c r="B110" s="1052" t="s">
        <v>516</v>
      </c>
      <c r="C110" s="1058">
        <v>1</v>
      </c>
      <c r="D110" s="1058">
        <v>0</v>
      </c>
      <c r="E110" s="106"/>
      <c r="F110" s="106"/>
      <c r="G110" s="107"/>
      <c r="K110"/>
      <c r="L110"/>
      <c r="M110"/>
      <c r="T110"/>
      <c r="U110"/>
      <c r="V110"/>
    </row>
    <row r="111" spans="2:25" s="103" customFormat="1" ht="15.5">
      <c r="B111" s="1052" t="s">
        <v>536</v>
      </c>
      <c r="C111" s="1058">
        <v>1</v>
      </c>
      <c r="D111" s="1058">
        <v>0</v>
      </c>
      <c r="E111" s="106"/>
      <c r="F111" s="106"/>
      <c r="G111" s="107"/>
      <c r="K111"/>
      <c r="L111"/>
      <c r="M111"/>
      <c r="T111"/>
      <c r="U111"/>
    </row>
    <row r="112" spans="2:25" s="103" customFormat="1" ht="15.5">
      <c r="B112" s="104"/>
      <c r="C112" s="105"/>
      <c r="D112" s="105"/>
      <c r="E112" s="106"/>
      <c r="F112" s="106"/>
      <c r="G112" s="107"/>
      <c r="T112"/>
      <c r="U112"/>
    </row>
    <row r="113" spans="1:37" s="119" customFormat="1" ht="18.5">
      <c r="A113" s="91" t="s">
        <v>1583</v>
      </c>
      <c r="B113" s="91"/>
      <c r="C113" s="116"/>
      <c r="D113" s="117"/>
      <c r="E113" s="117"/>
      <c r="F113" s="117"/>
      <c r="G113" s="118"/>
      <c r="H113" s="91"/>
      <c r="I113" s="91"/>
      <c r="J113" s="91"/>
      <c r="K113" s="91"/>
      <c r="L113" s="91"/>
      <c r="M113" s="91"/>
      <c r="N113" s="91"/>
      <c r="O113" s="91"/>
      <c r="P113" s="91"/>
      <c r="Q113" s="91"/>
      <c r="R113" s="91"/>
      <c r="S113" s="91"/>
      <c r="T113" s="91"/>
      <c r="U113" s="91"/>
      <c r="V113" s="91"/>
      <c r="W113" s="91"/>
      <c r="X113" s="91"/>
      <c r="Y113" s="91"/>
      <c r="Z113" s="91"/>
    </row>
    <row r="114" spans="1:37">
      <c r="C114" s="1050" t="s">
        <v>35</v>
      </c>
      <c r="D114" s="1051" t="s">
        <v>3147</v>
      </c>
      <c r="E114" s="96"/>
      <c r="F114" s="96"/>
      <c r="G114" s="97"/>
    </row>
    <row r="115" spans="1:37" ht="15.5">
      <c r="C115" s="1050" t="s">
        <v>20</v>
      </c>
      <c r="D115" s="1051" t="s">
        <v>2977</v>
      </c>
      <c r="F115" s="96"/>
      <c r="G115" s="97"/>
      <c r="J115" s="1050" t="s">
        <v>20</v>
      </c>
      <c r="K115" s="1051" t="s">
        <v>2977</v>
      </c>
      <c r="L115"/>
      <c r="O115" s="1050" t="s">
        <v>20</v>
      </c>
      <c r="P115" s="1051" t="s">
        <v>2977</v>
      </c>
      <c r="X115" s="1050" t="s">
        <v>20</v>
      </c>
      <c r="Y115" s="1051" t="s">
        <v>2977</v>
      </c>
      <c r="AI115" s="1050" t="s">
        <v>20</v>
      </c>
      <c r="AJ115" s="1051" t="s">
        <v>2977</v>
      </c>
    </row>
    <row r="116" spans="1:37" ht="29">
      <c r="C116" s="1054" t="s">
        <v>21</v>
      </c>
      <c r="D116" s="1051" t="s">
        <v>37</v>
      </c>
      <c r="E116" s="96"/>
      <c r="J116" s="1064" t="s">
        <v>21</v>
      </c>
      <c r="K116" s="1064" t="s">
        <v>515</v>
      </c>
      <c r="L116" s="454"/>
      <c r="O116" s="1054" t="s">
        <v>21</v>
      </c>
      <c r="P116" s="1051" t="s">
        <v>37</v>
      </c>
      <c r="Q116" s="96"/>
      <c r="X116" s="1054" t="s">
        <v>21</v>
      </c>
      <c r="Y116" s="1051" t="s">
        <v>515</v>
      </c>
      <c r="Z116" s="96"/>
      <c r="AI116" s="1054" t="s">
        <v>21</v>
      </c>
      <c r="AJ116" s="1051" t="s">
        <v>37</v>
      </c>
      <c r="AK116" s="96"/>
    </row>
    <row r="117" spans="1:37" ht="15.5">
      <c r="C117" s="1050" t="s">
        <v>34</v>
      </c>
      <c r="D117" s="1051" t="s">
        <v>34</v>
      </c>
      <c r="H117" s="93">
        <v>97507</v>
      </c>
      <c r="J117" s="1050" t="s">
        <v>34</v>
      </c>
      <c r="K117" s="1051" t="s">
        <v>34</v>
      </c>
      <c r="L117" s="417"/>
      <c r="O117" s="1050" t="s">
        <v>34</v>
      </c>
      <c r="P117" s="1051" t="s">
        <v>34</v>
      </c>
      <c r="X117" s="1050" t="s">
        <v>34</v>
      </c>
      <c r="Y117" s="1051" t="s">
        <v>34</v>
      </c>
      <c r="AI117" s="1050" t="s">
        <v>34</v>
      </c>
      <c r="AJ117" s="1051" t="s">
        <v>34</v>
      </c>
    </row>
    <row r="118" spans="1:37" ht="15.5">
      <c r="C118" s="1050" t="s">
        <v>134</v>
      </c>
      <c r="D118" s="1051" t="s">
        <v>1476</v>
      </c>
      <c r="H118" s="93">
        <f>H117/20</f>
        <v>4875.3500000000004</v>
      </c>
      <c r="J118" s="1050" t="s">
        <v>134</v>
      </c>
      <c r="K118" s="1051" t="s">
        <v>1476</v>
      </c>
      <c r="L118" s="417"/>
      <c r="O118" s="1050" t="s">
        <v>134</v>
      </c>
      <c r="P118" s="1051" t="s">
        <v>1476</v>
      </c>
      <c r="X118" s="1050" t="s">
        <v>134</v>
      </c>
      <c r="Y118" s="1051" t="s">
        <v>1476</v>
      </c>
      <c r="AI118" s="1050" t="s">
        <v>134</v>
      </c>
      <c r="AJ118" s="1051" t="s">
        <v>1476</v>
      </c>
    </row>
    <row r="119" spans="1:37" s="98" customFormat="1">
      <c r="C119" s="93"/>
      <c r="D119" s="93"/>
      <c r="E119" s="93"/>
      <c r="F119" s="100"/>
      <c r="G119" s="100"/>
      <c r="H119" s="93"/>
      <c r="I119" s="93"/>
      <c r="J119" s="93"/>
      <c r="K119" s="93"/>
      <c r="L119" s="93"/>
      <c r="M119" s="93"/>
      <c r="O119" s="93"/>
      <c r="P119" s="93"/>
      <c r="Q119" s="93"/>
      <c r="R119" s="93"/>
      <c r="S119" s="93"/>
      <c r="U119" s="93"/>
      <c r="V119" s="93"/>
      <c r="W119" s="93"/>
      <c r="X119" s="93"/>
      <c r="Y119" s="93"/>
      <c r="Z119" s="93"/>
      <c r="AC119" s="93"/>
      <c r="AD119" s="93"/>
      <c r="AI119" s="93"/>
      <c r="AJ119" s="93"/>
      <c r="AK119" s="93"/>
    </row>
    <row r="120" spans="1:37" ht="15.5">
      <c r="C120" s="1051"/>
      <c r="D120" s="1050" t="s">
        <v>1477</v>
      </c>
      <c r="E120" s="1051"/>
      <c r="F120"/>
      <c r="G120"/>
      <c r="J120" s="1051"/>
      <c r="K120" s="1050" t="s">
        <v>1477</v>
      </c>
      <c r="L120"/>
      <c r="M120"/>
      <c r="O120" s="1050" t="s">
        <v>1283</v>
      </c>
      <c r="P120" s="1051" t="s">
        <v>2360</v>
      </c>
      <c r="Q120" s="1051" t="s">
        <v>2361</v>
      </c>
      <c r="U120"/>
      <c r="X120" s="1050" t="s">
        <v>1283</v>
      </c>
      <c r="Y120" s="1051" t="s">
        <v>2360</v>
      </c>
      <c r="Z120" s="1051" t="s">
        <v>2361</v>
      </c>
      <c r="AA120" s="374"/>
      <c r="AB120" s="374"/>
      <c r="AC120" s="374"/>
      <c r="AD120" s="374"/>
      <c r="AI120" s="1050" t="s">
        <v>1283</v>
      </c>
      <c r="AJ120" s="1051" t="s">
        <v>2646</v>
      </c>
      <c r="AK120" s="1051" t="s">
        <v>2645</v>
      </c>
    </row>
    <row r="121" spans="1:37" ht="15.5">
      <c r="C121" s="1050" t="s">
        <v>1478</v>
      </c>
      <c r="D121" s="1051" t="s">
        <v>44</v>
      </c>
      <c r="E121" s="1051" t="s">
        <v>590</v>
      </c>
      <c r="F121"/>
      <c r="G121"/>
      <c r="J121" s="1050" t="s">
        <v>1478</v>
      </c>
      <c r="K121" s="1051" t="s">
        <v>1508</v>
      </c>
      <c r="L121"/>
      <c r="M121"/>
      <c r="O121" s="1052" t="s">
        <v>44</v>
      </c>
      <c r="P121" s="1053">
        <v>39574</v>
      </c>
      <c r="Q121" s="1053">
        <v>12287</v>
      </c>
      <c r="R121" s="374"/>
      <c r="S121" s="374"/>
      <c r="T121" s="374"/>
      <c r="U121" s="423"/>
      <c r="V121" s="374"/>
      <c r="W121" s="374"/>
      <c r="X121" s="1052" t="s">
        <v>44</v>
      </c>
      <c r="Y121" s="1053">
        <v>7616</v>
      </c>
      <c r="Z121" s="1053">
        <v>3695</v>
      </c>
      <c r="AA121" s="374"/>
      <c r="AB121" s="374"/>
      <c r="AC121" s="374"/>
      <c r="AD121" s="374"/>
      <c r="AI121" s="1052" t="s">
        <v>195</v>
      </c>
      <c r="AJ121" s="991">
        <v>318</v>
      </c>
      <c r="AK121" s="991">
        <v>332</v>
      </c>
    </row>
    <row r="122" spans="1:37" ht="15.5">
      <c r="B122" s="490" t="s">
        <v>128</v>
      </c>
      <c r="C122" s="1052" t="s">
        <v>1506</v>
      </c>
      <c r="D122" s="991">
        <v>2577</v>
      </c>
      <c r="E122" s="991">
        <v>2079</v>
      </c>
      <c r="F122"/>
      <c r="G122"/>
      <c r="J122" s="1052" t="s">
        <v>1506</v>
      </c>
      <c r="K122" s="991">
        <v>804</v>
      </c>
      <c r="L122"/>
      <c r="M122"/>
      <c r="O122" s="1052" t="s">
        <v>590</v>
      </c>
      <c r="P122" s="1053">
        <v>35544</v>
      </c>
      <c r="Q122" s="1053">
        <v>10657</v>
      </c>
      <c r="U122"/>
      <c r="X122"/>
      <c r="Y122"/>
      <c r="Z122"/>
      <c r="AI122" s="1052" t="s">
        <v>146</v>
      </c>
      <c r="AJ122" s="991">
        <v>76</v>
      </c>
      <c r="AK122" s="991">
        <v>133</v>
      </c>
    </row>
    <row r="123" spans="1:37" ht="15.5">
      <c r="C123" s="1052" t="s">
        <v>2100</v>
      </c>
      <c r="D123" s="991">
        <v>62</v>
      </c>
      <c r="E123" s="991">
        <v>5</v>
      </c>
      <c r="F123"/>
      <c r="G123"/>
      <c r="J123" s="1052" t="s">
        <v>2100</v>
      </c>
      <c r="K123" s="991"/>
      <c r="L123"/>
      <c r="M123"/>
      <c r="O123"/>
      <c r="P123"/>
      <c r="Q123"/>
      <c r="U123"/>
      <c r="AI123" s="1052" t="s">
        <v>148</v>
      </c>
      <c r="AJ123" s="991">
        <v>171</v>
      </c>
      <c r="AK123" s="991">
        <v>195</v>
      </c>
    </row>
    <row r="124" spans="1:37" ht="15.5">
      <c r="C124" s="1052" t="s">
        <v>2101</v>
      </c>
      <c r="D124" s="991">
        <v>537</v>
      </c>
      <c r="E124" s="991">
        <v>153</v>
      </c>
      <c r="F124"/>
      <c r="G124"/>
      <c r="J124" s="1052" t="s">
        <v>2101</v>
      </c>
      <c r="K124" s="991"/>
      <c r="L124"/>
      <c r="M124"/>
      <c r="O124"/>
      <c r="P124"/>
      <c r="Q124"/>
      <c r="U124"/>
      <c r="AI124" s="1052" t="s">
        <v>587</v>
      </c>
      <c r="AJ124" s="991">
        <v>60</v>
      </c>
      <c r="AK124" s="991">
        <v>30</v>
      </c>
    </row>
    <row r="125" spans="1:37" ht="15.5">
      <c r="C125" s="1052" t="s">
        <v>2102</v>
      </c>
      <c r="D125" s="991">
        <v>678</v>
      </c>
      <c r="E125" s="991">
        <v>645</v>
      </c>
      <c r="F125"/>
      <c r="G125"/>
      <c r="J125" s="1052" t="s">
        <v>2102</v>
      </c>
      <c r="K125" s="991">
        <v>96</v>
      </c>
      <c r="L125"/>
      <c r="M125"/>
      <c r="O125"/>
      <c r="P125"/>
      <c r="Q125"/>
      <c r="U125"/>
      <c r="AI125" s="1052" t="s">
        <v>38</v>
      </c>
      <c r="AJ125" s="991">
        <v>1059</v>
      </c>
      <c r="AK125" s="991">
        <v>612</v>
      </c>
    </row>
    <row r="126" spans="1:37" ht="15.5">
      <c r="B126" s="100" t="s">
        <v>1853</v>
      </c>
      <c r="C126" s="1052" t="s">
        <v>2103</v>
      </c>
      <c r="D126" s="991">
        <v>2470</v>
      </c>
      <c r="E126" s="991">
        <v>2694</v>
      </c>
      <c r="F126"/>
      <c r="G126"/>
      <c r="J126" s="1052" t="s">
        <v>2103</v>
      </c>
      <c r="K126" s="991">
        <v>1013</v>
      </c>
      <c r="L126"/>
      <c r="M126"/>
      <c r="O126"/>
      <c r="P126" s="635"/>
      <c r="Q126"/>
      <c r="U126"/>
      <c r="AI126" s="1052" t="s">
        <v>152</v>
      </c>
      <c r="AJ126" s="991">
        <v>79</v>
      </c>
      <c r="AK126" s="991">
        <v>86</v>
      </c>
    </row>
    <row r="127" spans="1:37" ht="15.5">
      <c r="B127" s="100"/>
      <c r="C127" s="1052" t="s">
        <v>2104</v>
      </c>
      <c r="D127" s="991">
        <v>2523</v>
      </c>
      <c r="E127" s="991">
        <v>2699</v>
      </c>
      <c r="F127"/>
      <c r="G127"/>
      <c r="J127" s="1052" t="s">
        <v>2104</v>
      </c>
      <c r="K127" s="991">
        <v>1013</v>
      </c>
      <c r="L127" s="417"/>
      <c r="M127" s="417"/>
      <c r="N127" s="417"/>
      <c r="O127"/>
      <c r="P127"/>
      <c r="Q127"/>
      <c r="R127"/>
      <c r="U127"/>
      <c r="AI127" s="1052" t="s">
        <v>157</v>
      </c>
      <c r="AJ127" s="991">
        <v>5</v>
      </c>
      <c r="AK127" s="991">
        <v>6</v>
      </c>
    </row>
    <row r="128" spans="1:37" ht="15.5">
      <c r="B128" s="100"/>
      <c r="C128" s="1052" t="s">
        <v>2221</v>
      </c>
      <c r="D128" s="991">
        <v>53</v>
      </c>
      <c r="E128" s="991">
        <v>5</v>
      </c>
      <c r="F128"/>
      <c r="G128"/>
      <c r="J128" s="1052" t="s">
        <v>2221</v>
      </c>
      <c r="K128" s="991"/>
      <c r="L128" s="417"/>
      <c r="M128" s="417"/>
      <c r="N128" s="417"/>
      <c r="O128"/>
      <c r="P128"/>
      <c r="Q128"/>
      <c r="R128"/>
      <c r="S128"/>
      <c r="T128"/>
      <c r="U128"/>
      <c r="AI128" s="1052" t="s">
        <v>205</v>
      </c>
      <c r="AJ128" s="991">
        <v>1571</v>
      </c>
      <c r="AK128" s="991">
        <v>1338</v>
      </c>
    </row>
    <row r="129" spans="1:37" ht="16" thickBot="1">
      <c r="B129" s="100"/>
      <c r="C129" s="95"/>
      <c r="D129" s="97"/>
      <c r="E129" s="97"/>
      <c r="F129" s="100"/>
      <c r="G129" s="100"/>
      <c r="M129" s="417"/>
      <c r="N129" s="100" t="s">
        <v>1524</v>
      </c>
      <c r="O129" s="99">
        <f>K131</f>
        <v>1013</v>
      </c>
      <c r="AI129" s="1052" t="s">
        <v>159</v>
      </c>
      <c r="AJ129" s="991">
        <v>442</v>
      </c>
      <c r="AK129" s="991">
        <v>550</v>
      </c>
    </row>
    <row r="130" spans="1:37" ht="15.5">
      <c r="B130" s="121" t="s">
        <v>37</v>
      </c>
      <c r="C130" s="122" t="s">
        <v>1508</v>
      </c>
      <c r="D130" s="123" t="s">
        <v>1509</v>
      </c>
      <c r="F130" s="100" t="s">
        <v>1524</v>
      </c>
      <c r="G130" s="109">
        <f>GETPIVOTDATA("Sum of # Existing functional latrines",$C$120,"Ethnic or GCA/NGCA","GCA")+GETPIVOTDATA("Sum of # Existing functional latrines",$C$120,"Ethnic or GCA/NGCA","NGCA")</f>
        <v>5164</v>
      </c>
      <c r="J130" s="130" t="s">
        <v>515</v>
      </c>
      <c r="K130" s="122" t="s">
        <v>1508</v>
      </c>
      <c r="L130" s="417"/>
      <c r="M130" s="417"/>
      <c r="N130" s="100" t="s">
        <v>2223</v>
      </c>
      <c r="O130" s="99">
        <f>GETPIVOTDATA("  Total # of latrine",$J$120,"Ethnic or GCA/NGCA","# in GCA (20:1)")-O129</f>
        <v>0</v>
      </c>
      <c r="AI130" s="1052" t="s">
        <v>214</v>
      </c>
      <c r="AJ130" s="991">
        <v>27</v>
      </c>
      <c r="AK130" s="991">
        <v>94</v>
      </c>
    </row>
    <row r="131" spans="1:37" ht="15.5">
      <c r="A131" s="489" t="s">
        <v>2107</v>
      </c>
      <c r="B131" s="124" t="s">
        <v>1290</v>
      </c>
      <c r="C131" s="125">
        <f>GETPIVOTDATA("Sum of # Existing functional latrines",$C$120,"Ethnic or GCA/NGCA","GCA")</f>
        <v>2470</v>
      </c>
      <c r="D131" s="126">
        <f>GETPIVOTDATA("Sum of # Existing functional latrines",$C$120,"Ethnic or GCA/NGCA","NGCA")</f>
        <v>2694</v>
      </c>
      <c r="F131" s="100" t="s">
        <v>2222</v>
      </c>
      <c r="G131" s="109">
        <f>GETPIVOTDATA("Sum of #_Non-functional latrines",$C$120,"Ethnic or GCA/NGCA","GCA")+GETPIVOTDATA("Sum of #_Non-functional latrines",$C$120,"Ethnic or GCA/NGCA","NGCA")</f>
        <v>58</v>
      </c>
      <c r="J131" s="124" t="s">
        <v>1290</v>
      </c>
      <c r="K131" s="125">
        <f>GETPIVOTDATA("Sum of # Existing functional latrines",$J$120,"Ethnic or GCA/NGCA","# in GCA (20:1)")</f>
        <v>1013</v>
      </c>
      <c r="L131" s="417"/>
      <c r="M131" s="417"/>
      <c r="N131" s="100"/>
      <c r="O131" s="99"/>
      <c r="AI131" s="1052" t="s">
        <v>184</v>
      </c>
      <c r="AJ131" s="991">
        <v>176</v>
      </c>
      <c r="AK131" s="991">
        <v>52</v>
      </c>
    </row>
    <row r="132" spans="1:37" ht="15.5">
      <c r="A132" s="489" t="s">
        <v>2106</v>
      </c>
      <c r="B132" s="124" t="s">
        <v>1519</v>
      </c>
      <c r="C132" s="125">
        <f>GETPIVOTDATA("# latrines (target)",$C$120,"Ethnic or GCA/NGCA","GCA")-GETPIVOTDATA("Sum of # Existing functional latrines",$C$120,"Ethnic or GCA/NGCA","GCA")</f>
        <v>107</v>
      </c>
      <c r="D132" s="126">
        <f>IF(GETPIVOTDATA("# latrines (target)",$C$120,"Ethnic or GCA/NGCA","NGCA")-GETPIVOTDATA("Sum of # Existing functional latrines",$C$120,"Ethnic or GCA/NGCA","NGCA")&lt;0,0,GETPIVOTDATA("# latrines (target)",$C$120,"Ethnic or GCA/NGCA","NGCA")-GETPIVOTDATA("Sum of # Existing functional latrines",$C$120,"Ethnic or GCA/NGCA","NGCA"))</f>
        <v>0</v>
      </c>
      <c r="F132" s="100" t="s">
        <v>2105</v>
      </c>
      <c r="G132" s="109">
        <f>SUM(C135:D135)</f>
        <v>67</v>
      </c>
      <c r="J132" s="124" t="s">
        <v>1519</v>
      </c>
      <c r="K132" s="125">
        <f>GETPIVOTDATA("  Total # of latrine",$J$120,"Ethnic or GCA/NGCA","# in GCA (20:1)")-GETPIVOTDATA("Sum of # Existing functional latrines",$J$120,"Ethnic or GCA/NGCA","# in GCA (20:1)")</f>
        <v>0</v>
      </c>
      <c r="L132" s="417"/>
      <c r="M132" s="417"/>
      <c r="N132" s="417"/>
      <c r="O132" s="417"/>
      <c r="AI132" s="1052" t="s">
        <v>863</v>
      </c>
      <c r="AJ132" s="991">
        <v>63</v>
      </c>
      <c r="AK132" s="991">
        <v>61</v>
      </c>
    </row>
    <row r="133" spans="1:37" ht="29">
      <c r="B133" s="124" t="s">
        <v>1520</v>
      </c>
      <c r="C133" s="125">
        <f>GETPIVOTDATA("# handed over",$C$120,"Ethnic or GCA/NGCA","GCA")</f>
        <v>678</v>
      </c>
      <c r="D133" s="126">
        <f>GETPIVOTDATA("# handed over",$C$120,"Ethnic or GCA/NGCA","NGCA")</f>
        <v>645</v>
      </c>
      <c r="F133" s="100" t="s">
        <v>1525</v>
      </c>
      <c r="G133" s="100">
        <f>SUM(C136:D136)</f>
        <v>690</v>
      </c>
      <c r="J133" s="124" t="s">
        <v>1520</v>
      </c>
      <c r="K133" s="125">
        <f>GETPIVOTDATA("# handed over",$J$120,"Ethnic or GCA/NGCA","# in GCA (20:1)")</f>
        <v>96</v>
      </c>
      <c r="L133" s="417"/>
      <c r="M133" s="417"/>
      <c r="N133" s="417"/>
      <c r="O133" s="417"/>
      <c r="AI133" s="1052" t="s">
        <v>142</v>
      </c>
      <c r="AJ133" s="991">
        <v>2141</v>
      </c>
      <c r="AK133" s="991">
        <v>1699</v>
      </c>
    </row>
    <row r="134" spans="1:37" ht="29">
      <c r="B134" s="124" t="s">
        <v>1521</v>
      </c>
      <c r="C134" s="125">
        <f>GETPIVOTDATA("# latrines (target)",$C$120,"Ethnic or GCA/NGCA","GCA")-GETPIVOTDATA("# handed over",$C$120,"Ethnic or GCA/NGCA","GCA")</f>
        <v>1899</v>
      </c>
      <c r="D134" s="126">
        <f>GETPIVOTDATA("# handed over",$C$120,"Ethnic or GCA/NGCA","NGCA")</f>
        <v>645</v>
      </c>
      <c r="E134" s="999"/>
      <c r="G134" s="100"/>
      <c r="H134" s="100"/>
      <c r="J134" s="124" t="s">
        <v>1521</v>
      </c>
      <c r="K134" s="125">
        <f>GETPIVOTDATA("  Total # of latrine",$J$120,"Ethnic or GCA/NGCA","# in GCA (20:1)")-GETPIVOTDATA("# handed over",$J$120,"Ethnic or GCA/NGCA","# in GCA (20:1)")</f>
        <v>917</v>
      </c>
      <c r="L134" s="417"/>
      <c r="M134" s="417"/>
      <c r="N134" s="417"/>
      <c r="O134" s="417"/>
      <c r="AI134"/>
      <c r="AJ134"/>
      <c r="AK134"/>
    </row>
    <row r="135" spans="1:37" ht="43.5">
      <c r="B135" s="124" t="s">
        <v>2100</v>
      </c>
      <c r="C135" s="125">
        <f>GETPIVOTDATA("# Operation &amp; maintenance of latrines",$C$120,"Ethnic or GCA/NGCA","GCA")</f>
        <v>62</v>
      </c>
      <c r="D135" s="126">
        <f>GETPIVOTDATA("# Operation &amp; maintenance of latrines",$C$120,"Ethnic or GCA/NGCA","NGCA")</f>
        <v>5</v>
      </c>
      <c r="G135" s="100"/>
      <c r="J135" s="124" t="s">
        <v>2108</v>
      </c>
      <c r="K135" s="125">
        <f>GETPIVOTDATA("# Operation &amp; maintenance of latrines",$J$120,"Ethnic or GCA/NGCA","# in GCA (20:1)")</f>
        <v>0</v>
      </c>
      <c r="L135" s="417"/>
      <c r="M135" s="417"/>
      <c r="N135" s="417"/>
      <c r="O135" s="417"/>
      <c r="AI135" s="1050" t="s">
        <v>20</v>
      </c>
      <c r="AJ135" s="1051" t="s">
        <v>2977</v>
      </c>
    </row>
    <row r="136" spans="1:37" ht="29">
      <c r="B136" s="124" t="s">
        <v>1507</v>
      </c>
      <c r="C136" s="125">
        <f>GETPIVOTDATA("# latrines desludged",$C$120,"Ethnic or GCA/NGCA","GCA")</f>
        <v>537</v>
      </c>
      <c r="D136" s="126">
        <f>GETPIVOTDATA("# latrines desludged",$C$120,"Ethnic or GCA/NGCA","NGCA")</f>
        <v>153</v>
      </c>
      <c r="G136" s="100"/>
      <c r="J136" s="124" t="s">
        <v>1507</v>
      </c>
      <c r="K136" s="125">
        <f>GETPIVOTDATA("# Latrines desludged",$J$120,"Ethnic or GCA/NGCA","# in GCA (20:1)")</f>
        <v>0</v>
      </c>
      <c r="L136" s="417"/>
      <c r="M136" s="417"/>
      <c r="N136" s="417"/>
      <c r="O136" s="417"/>
      <c r="AI136" s="1054" t="s">
        <v>21</v>
      </c>
      <c r="AJ136" s="1051" t="s">
        <v>515</v>
      </c>
      <c r="AK136" s="96"/>
    </row>
    <row r="137" spans="1:37" ht="16" thickBot="1">
      <c r="B137" s="127" t="s">
        <v>1506</v>
      </c>
      <c r="C137" s="128">
        <f>GETPIVOTDATA("# latrines (target)",$C$120,"Ethnic or GCA/NGCA","GCA")</f>
        <v>2577</v>
      </c>
      <c r="D137" s="129">
        <f>GETPIVOTDATA("# latrines (target)",$C$120,"Ethnic or GCA/NGCA","NGCA")</f>
        <v>2079</v>
      </c>
      <c r="G137" s="100"/>
      <c r="J137" s="127" t="s">
        <v>1506</v>
      </c>
      <c r="K137" s="128">
        <f>GETPIVOTDATA("# latrines (target)",$J$120,"Ethnic or GCA/NGCA","# in GCA (20:1)")</f>
        <v>804</v>
      </c>
      <c r="L137" s="417"/>
      <c r="M137" s="417"/>
      <c r="N137" s="417"/>
      <c r="O137" s="417"/>
      <c r="AI137" s="1050" t="s">
        <v>34</v>
      </c>
      <c r="AJ137" s="1051" t="s">
        <v>34</v>
      </c>
    </row>
    <row r="138" spans="1:37" ht="15.5">
      <c r="B138" s="100"/>
      <c r="C138" s="131"/>
      <c r="D138" s="132"/>
      <c r="E138" s="132"/>
      <c r="G138" s="100"/>
      <c r="K138" s="417"/>
      <c r="L138" s="417"/>
      <c r="M138" s="417"/>
      <c r="N138" s="417"/>
      <c r="O138" s="417"/>
      <c r="Q138" s="100"/>
      <c r="R138" s="100"/>
      <c r="S138" s="131"/>
      <c r="T138" s="132"/>
      <c r="U138" s="132"/>
      <c r="AI138" s="1050" t="s">
        <v>134</v>
      </c>
      <c r="AJ138" s="1051" t="s">
        <v>1476</v>
      </c>
    </row>
    <row r="139" spans="1:37" ht="15.5">
      <c r="B139" s="100"/>
      <c r="C139" s="131"/>
      <c r="D139" s="132"/>
      <c r="E139" s="132"/>
      <c r="G139" s="100"/>
      <c r="K139" s="417"/>
      <c r="L139" s="417"/>
      <c r="M139" s="417"/>
      <c r="N139" s="417"/>
      <c r="O139" s="417"/>
      <c r="Q139" s="100"/>
      <c r="R139" s="100"/>
      <c r="S139" s="131"/>
      <c r="T139" s="132"/>
      <c r="U139" s="132"/>
    </row>
    <row r="140" spans="1:37" ht="15.5">
      <c r="B140" s="100"/>
      <c r="C140" s="131"/>
      <c r="D140" s="132"/>
      <c r="E140" s="132"/>
      <c r="G140" s="100"/>
      <c r="K140" s="417"/>
      <c r="L140" s="417"/>
      <c r="M140" s="417"/>
      <c r="N140" s="417"/>
      <c r="O140" s="417"/>
      <c r="Q140" s="100"/>
      <c r="R140" s="100"/>
      <c r="S140" s="131"/>
      <c r="T140" s="132"/>
      <c r="U140" s="132"/>
      <c r="AI140" s="1050" t="s">
        <v>1283</v>
      </c>
      <c r="AJ140" s="1051" t="s">
        <v>2646</v>
      </c>
      <c r="AK140" s="1051" t="s">
        <v>2645</v>
      </c>
    </row>
    <row r="141" spans="1:37">
      <c r="B141" s="100"/>
      <c r="C141" s="95"/>
      <c r="D141" s="97"/>
      <c r="E141" s="97"/>
      <c r="F141" s="100"/>
      <c r="G141" s="100"/>
      <c r="J141" s="100"/>
      <c r="K141" s="100"/>
      <c r="L141" s="100"/>
      <c r="Q141" s="100"/>
      <c r="R141" s="100"/>
      <c r="S141" s="100"/>
      <c r="AI141" s="1052" t="s">
        <v>534</v>
      </c>
      <c r="AJ141" s="991">
        <v>54</v>
      </c>
      <c r="AK141" s="991">
        <v>20</v>
      </c>
    </row>
    <row r="142" spans="1:37">
      <c r="B142" s="100"/>
      <c r="C142" s="95"/>
      <c r="D142" s="97"/>
      <c r="E142" s="97"/>
      <c r="F142" s="100"/>
      <c r="G142" s="100"/>
      <c r="J142" s="100"/>
      <c r="K142" s="100"/>
      <c r="L142" s="100"/>
      <c r="Q142" s="100"/>
      <c r="R142" s="100"/>
      <c r="S142" s="100"/>
      <c r="AI142" s="1052" t="s">
        <v>556</v>
      </c>
      <c r="AJ142" s="991">
        <v>0</v>
      </c>
      <c r="AK142" s="991">
        <v>6</v>
      </c>
    </row>
    <row r="143" spans="1:37">
      <c r="B143" s="100"/>
      <c r="C143" s="95"/>
      <c r="D143" s="97"/>
      <c r="E143" s="97"/>
      <c r="F143" s="100"/>
      <c r="G143" s="100"/>
      <c r="J143" s="100"/>
      <c r="K143" s="100"/>
      <c r="L143" s="100"/>
      <c r="Q143" s="100"/>
      <c r="R143" s="100"/>
      <c r="S143" s="100"/>
      <c r="AI143" s="1052" t="s">
        <v>519</v>
      </c>
      <c r="AJ143" s="991">
        <v>711</v>
      </c>
      <c r="AK143" s="991">
        <v>473</v>
      </c>
    </row>
    <row r="144" spans="1:37">
      <c r="B144" s="100"/>
      <c r="C144" s="95"/>
      <c r="D144" s="97"/>
      <c r="E144" s="97"/>
      <c r="F144" s="100"/>
      <c r="G144" s="100"/>
      <c r="J144" s="100"/>
      <c r="K144" s="100"/>
      <c r="L144" s="100"/>
      <c r="Q144" s="100"/>
      <c r="R144" s="100"/>
      <c r="S144" s="100"/>
      <c r="AI144" s="1052" t="s">
        <v>960</v>
      </c>
      <c r="AJ144" s="991">
        <v>45</v>
      </c>
      <c r="AK144" s="991">
        <v>15</v>
      </c>
    </row>
    <row r="145" spans="2:37">
      <c r="B145" s="100"/>
      <c r="C145" s="95"/>
      <c r="D145" s="97"/>
      <c r="E145" s="97"/>
      <c r="F145" s="100"/>
      <c r="G145" s="100"/>
      <c r="J145" s="100"/>
      <c r="K145" s="100"/>
      <c r="L145" s="100"/>
      <c r="Q145" s="100"/>
      <c r="R145" s="100"/>
      <c r="S145" s="100"/>
      <c r="AI145" s="1052" t="s">
        <v>961</v>
      </c>
      <c r="AJ145" s="991">
        <v>23</v>
      </c>
      <c r="AK145" s="991">
        <v>28</v>
      </c>
    </row>
    <row r="146" spans="2:37">
      <c r="B146" s="100"/>
      <c r="C146" s="95"/>
      <c r="D146" s="97"/>
      <c r="E146" s="97"/>
      <c r="F146" s="100"/>
      <c r="G146" s="100"/>
      <c r="J146" s="100"/>
      <c r="K146" s="100"/>
      <c r="L146" s="100"/>
      <c r="Q146" s="100"/>
      <c r="R146" s="100"/>
      <c r="S146" s="100"/>
      <c r="AI146" s="1052" t="s">
        <v>962</v>
      </c>
      <c r="AJ146" s="991">
        <v>30</v>
      </c>
      <c r="AK146" s="991">
        <v>84</v>
      </c>
    </row>
    <row r="147" spans="2:37">
      <c r="B147" s="100"/>
      <c r="C147" s="95"/>
      <c r="D147" s="97"/>
      <c r="E147" s="97"/>
      <c r="F147" s="100"/>
      <c r="G147" s="100"/>
      <c r="J147" s="100"/>
      <c r="K147" s="100"/>
      <c r="L147" s="100"/>
      <c r="Q147" s="100"/>
      <c r="R147" s="100"/>
      <c r="S147" s="100"/>
      <c r="AI147" s="1052" t="s">
        <v>522</v>
      </c>
      <c r="AJ147" s="991">
        <v>56</v>
      </c>
      <c r="AK147" s="991">
        <v>14</v>
      </c>
    </row>
    <row r="148" spans="2:37">
      <c r="B148" s="1050" t="s">
        <v>20</v>
      </c>
      <c r="C148" s="1051" t="s">
        <v>2977</v>
      </c>
      <c r="D148" s="97"/>
      <c r="E148" s="97"/>
      <c r="F148" s="100"/>
      <c r="G148" s="100"/>
      <c r="J148" s="100"/>
      <c r="K148" s="100"/>
      <c r="L148" s="100"/>
      <c r="Q148" s="100"/>
      <c r="R148" s="100"/>
      <c r="S148" s="100"/>
      <c r="AI148" s="1052" t="s">
        <v>525</v>
      </c>
      <c r="AJ148" s="991">
        <v>0</v>
      </c>
      <c r="AK148" s="991">
        <v>84</v>
      </c>
    </row>
    <row r="149" spans="2:37">
      <c r="B149" s="1050" t="s">
        <v>34</v>
      </c>
      <c r="C149" s="1051" t="s">
        <v>34</v>
      </c>
      <c r="D149" s="97"/>
      <c r="E149" s="97"/>
      <c r="F149" s="100"/>
      <c r="G149" s="100"/>
      <c r="J149" s="100"/>
      <c r="K149" s="100"/>
      <c r="L149" s="100"/>
      <c r="Q149" s="100"/>
      <c r="R149" s="100"/>
      <c r="S149" s="100"/>
      <c r="AI149" s="1052" t="s">
        <v>516</v>
      </c>
      <c r="AJ149" s="991">
        <v>54</v>
      </c>
      <c r="AK149" s="991">
        <v>49</v>
      </c>
    </row>
    <row r="150" spans="2:37">
      <c r="B150" s="1050" t="s">
        <v>134</v>
      </c>
      <c r="C150" s="1051" t="s">
        <v>1476</v>
      </c>
      <c r="D150" s="97"/>
      <c r="E150" s="97"/>
      <c r="F150" s="100"/>
      <c r="G150" s="100"/>
      <c r="J150" s="100"/>
      <c r="K150" s="100"/>
      <c r="L150" s="100"/>
      <c r="Q150" s="100"/>
      <c r="R150" s="100"/>
      <c r="S150" s="100"/>
      <c r="AI150" s="1052" t="s">
        <v>536</v>
      </c>
      <c r="AJ150" s="991">
        <v>40</v>
      </c>
      <c r="AK150" s="991">
        <v>31</v>
      </c>
    </row>
    <row r="151" spans="2:37" ht="15.5">
      <c r="B151" s="1050" t="s">
        <v>35</v>
      </c>
      <c r="C151" s="1051" t="s">
        <v>3147</v>
      </c>
      <c r="AI151"/>
      <c r="AJ151"/>
      <c r="AK151"/>
    </row>
    <row r="152" spans="2:37" ht="15.5">
      <c r="AI152"/>
      <c r="AJ152"/>
      <c r="AK152"/>
    </row>
    <row r="153" spans="2:37" ht="15.5">
      <c r="B153" s="1050" t="s">
        <v>2109</v>
      </c>
      <c r="C153" s="1050" t="s">
        <v>1477</v>
      </c>
      <c r="D153" s="1051"/>
      <c r="E153" s="1051"/>
      <c r="F153" s="1051"/>
      <c r="G153"/>
      <c r="AI153"/>
      <c r="AJ153"/>
      <c r="AK153"/>
    </row>
    <row r="154" spans="2:37" ht="15.5">
      <c r="B154" s="1050" t="s">
        <v>21</v>
      </c>
      <c r="C154" s="1051" t="s">
        <v>137</v>
      </c>
      <c r="D154" s="1051" t="s">
        <v>140</v>
      </c>
      <c r="E154" s="1051" t="s">
        <v>136</v>
      </c>
      <c r="F154" s="1051" t="s">
        <v>904</v>
      </c>
      <c r="G154"/>
      <c r="AI154"/>
      <c r="AJ154"/>
    </row>
    <row r="155" spans="2:37" ht="15.5">
      <c r="B155" s="1052" t="s">
        <v>37</v>
      </c>
      <c r="C155" s="991">
        <v>96</v>
      </c>
      <c r="D155" s="991">
        <v>10</v>
      </c>
      <c r="E155" s="991">
        <v>8</v>
      </c>
      <c r="F155" s="991">
        <v>9</v>
      </c>
      <c r="G155"/>
      <c r="AI155"/>
      <c r="AJ155"/>
    </row>
    <row r="156" spans="2:37" ht="15.5">
      <c r="B156" s="1052" t="s">
        <v>515</v>
      </c>
      <c r="C156" s="991">
        <v>13</v>
      </c>
      <c r="D156" s="991">
        <v>14</v>
      </c>
      <c r="E156" s="991">
        <v>10</v>
      </c>
      <c r="F156" s="991">
        <v>3</v>
      </c>
      <c r="G156"/>
      <c r="AI156"/>
      <c r="AJ156"/>
    </row>
    <row r="157" spans="2:37" ht="15.5">
      <c r="B157"/>
      <c r="C157"/>
      <c r="D157"/>
      <c r="E157"/>
      <c r="F157"/>
      <c r="G157"/>
      <c r="AI157"/>
      <c r="AJ157"/>
    </row>
    <row r="158" spans="2:37" ht="15.5">
      <c r="B158" s="100"/>
      <c r="C158" s="100"/>
      <c r="D158" s="100"/>
      <c r="E158" s="100"/>
      <c r="F158" s="100"/>
      <c r="G158" s="100"/>
      <c r="Q158" s="100"/>
      <c r="R158" s="100"/>
      <c r="S158" s="100"/>
      <c r="AI158"/>
      <c r="AJ158"/>
    </row>
    <row r="159" spans="2:37" ht="15.5">
      <c r="B159" s="133"/>
      <c r="C159" s="133" t="s">
        <v>137</v>
      </c>
      <c r="D159" s="133" t="s">
        <v>140</v>
      </c>
      <c r="E159" s="133" t="s">
        <v>904</v>
      </c>
      <c r="F159" s="133" t="s">
        <v>186</v>
      </c>
      <c r="AI159"/>
      <c r="AJ159"/>
    </row>
    <row r="160" spans="2:37">
      <c r="B160" s="134" t="s">
        <v>37</v>
      </c>
      <c r="C160" s="135">
        <f>GETPIVOTDATA("Is there constructed surface water drainage system?
",$B$153,"State","Kachin","Is there constructed surface water drainage system?
","Functional")</f>
        <v>96</v>
      </c>
      <c r="D160" s="135">
        <f>GETPIVOTDATA("Is there constructed surface water drainage system?
",$B$153,"State","Kachin","Is there constructed surface water drainage system?
","NA")</f>
        <v>10</v>
      </c>
      <c r="E160" s="135">
        <f>GETPIVOTDATA("Is there constructed surface water drainage system?
",$B$153,"State","Kachin","Is there constructed surface water drainage system?
","Not_Functional")</f>
        <v>9</v>
      </c>
      <c r="F160" s="135">
        <f>GETPIVOTDATA("Is there constructed surface water drainage system?
",$B$153,"State","Kachin","Is there constructed surface water drainage system?
","No")</f>
        <v>8</v>
      </c>
    </row>
    <row r="161" spans="2:11">
      <c r="B161" s="134"/>
      <c r="C161" s="135"/>
      <c r="D161" s="135"/>
      <c r="E161" s="135"/>
      <c r="F161" s="135"/>
    </row>
    <row r="162" spans="2:11">
      <c r="B162" s="134" t="s">
        <v>515</v>
      </c>
      <c r="C162" s="135">
        <f>GETPIVOTDATA("Is there constructed surface water drainage system?
",$B$153,"State","Shan (North)","Is there constructed surface water drainage system?
","Functional")</f>
        <v>13</v>
      </c>
      <c r="D162" s="135">
        <f>GETPIVOTDATA("Is there constructed surface water drainage system?
",$B$153,"State","Shan (North)","Is there constructed surface water drainage system?
","NA")</f>
        <v>14</v>
      </c>
      <c r="E162" s="135">
        <f>GETPIVOTDATA("Is there constructed surface water drainage system?
",$B$153,"State","Shan (North)","Is there constructed surface water drainage system?
","Not_Functional")</f>
        <v>3</v>
      </c>
      <c r="F162" s="135">
        <f>GETPIVOTDATA("Is there constructed surface water drainage system?
",$B$153,"State","Shan (North)","Is there constructed surface water drainage system?
","No")</f>
        <v>10</v>
      </c>
    </row>
    <row r="163" spans="2:11">
      <c r="B163" s="131"/>
      <c r="C163" s="132"/>
      <c r="D163" s="132"/>
      <c r="E163" s="132"/>
      <c r="F163" s="132"/>
    </row>
    <row r="164" spans="2:11">
      <c r="B164" s="1050" t="s">
        <v>20</v>
      </c>
      <c r="C164" s="1051" t="s">
        <v>2977</v>
      </c>
      <c r="D164" s="132"/>
      <c r="E164" s="132"/>
      <c r="F164" s="132"/>
    </row>
    <row r="165" spans="2:11">
      <c r="B165" s="1050" t="s">
        <v>34</v>
      </c>
      <c r="C165" s="1051" t="s">
        <v>34</v>
      </c>
    </row>
    <row r="166" spans="2:11">
      <c r="B166" s="1050" t="s">
        <v>134</v>
      </c>
      <c r="C166" s="1051" t="s">
        <v>1476</v>
      </c>
    </row>
    <row r="167" spans="2:11">
      <c r="B167" s="1050" t="s">
        <v>35</v>
      </c>
      <c r="C167" s="1051" t="s">
        <v>3147</v>
      </c>
    </row>
    <row r="169" spans="2:11" ht="15.5">
      <c r="B169" s="1050" t="s">
        <v>2110</v>
      </c>
      <c r="C169" s="1050" t="s">
        <v>1477</v>
      </c>
      <c r="D169" s="1051"/>
      <c r="E169" s="1051"/>
      <c r="F169"/>
      <c r="G169"/>
      <c r="H169" s="100"/>
      <c r="I169" s="100"/>
      <c r="J169" s="100"/>
      <c r="K169" s="100"/>
    </row>
    <row r="170" spans="2:11" ht="15.5">
      <c r="B170" s="1050" t="s">
        <v>21</v>
      </c>
      <c r="C170" s="1051" t="s">
        <v>140</v>
      </c>
      <c r="D170" s="1051" t="s">
        <v>136</v>
      </c>
      <c r="E170" s="1051" t="s">
        <v>41</v>
      </c>
      <c r="F170"/>
      <c r="G170"/>
      <c r="H170" s="100"/>
      <c r="I170" s="100"/>
      <c r="J170" s="100"/>
      <c r="K170" s="100"/>
    </row>
    <row r="171" spans="2:11" ht="15.5">
      <c r="B171" s="1052" t="s">
        <v>37</v>
      </c>
      <c r="C171" s="991">
        <v>8</v>
      </c>
      <c r="D171" s="991">
        <v>1</v>
      </c>
      <c r="E171" s="991">
        <v>114</v>
      </c>
      <c r="F171"/>
      <c r="G171"/>
      <c r="H171" s="100"/>
      <c r="I171" s="100"/>
      <c r="J171" s="100"/>
      <c r="K171" s="100"/>
    </row>
    <row r="172" spans="2:11" ht="15.5">
      <c r="B172" s="1052" t="s">
        <v>515</v>
      </c>
      <c r="C172" s="991">
        <v>14</v>
      </c>
      <c r="D172" s="991">
        <v>9</v>
      </c>
      <c r="E172" s="991">
        <v>17</v>
      </c>
      <c r="F172"/>
      <c r="G172"/>
      <c r="H172" s="100"/>
      <c r="I172" s="100"/>
      <c r="J172" s="100"/>
      <c r="K172" s="100"/>
    </row>
    <row r="173" spans="2:11" ht="15.5">
      <c r="B173"/>
      <c r="C173"/>
      <c r="D173"/>
      <c r="E173"/>
      <c r="F173"/>
      <c r="G173"/>
      <c r="H173" s="100"/>
      <c r="I173" s="100"/>
      <c r="J173" s="100"/>
      <c r="K173" s="100"/>
    </row>
    <row r="174" spans="2:11">
      <c r="B174" s="100"/>
      <c r="C174" s="100"/>
      <c r="D174" s="100"/>
      <c r="E174" s="100"/>
      <c r="F174" s="100"/>
      <c r="G174" s="100"/>
      <c r="H174" s="100"/>
      <c r="I174" s="100"/>
    </row>
    <row r="175" spans="2:11">
      <c r="B175" s="142" t="s">
        <v>1283</v>
      </c>
      <c r="C175" s="384" t="s">
        <v>140</v>
      </c>
      <c r="D175" s="384" t="s">
        <v>136</v>
      </c>
      <c r="E175" s="384" t="s">
        <v>41</v>
      </c>
    </row>
    <row r="176" spans="2:11">
      <c r="B176" s="138" t="s">
        <v>37</v>
      </c>
      <c r="C176" s="140">
        <f>GETPIVOTDATA("Is there provision of solid waste management equipment?",$B$169,"State","Kachin","Is there provision of solid waste management equipment?","NA")</f>
        <v>8</v>
      </c>
      <c r="D176" s="139">
        <f>GETPIVOTDATA("Is there provision of solid waste management equipment?",$B$169,"State","Kachin","Is there provision of solid waste management equipment?","No")</f>
        <v>1</v>
      </c>
      <c r="E176" s="140">
        <f>GETPIVOTDATA("Is there provision of solid waste management equipment?",$B$169,"State","Kachin","Is there provision of solid waste management equipment?","Yes")</f>
        <v>114</v>
      </c>
    </row>
    <row r="177" spans="2:35">
      <c r="B177" s="136"/>
      <c r="C177" s="141"/>
      <c r="D177" s="137"/>
      <c r="E177" s="141"/>
    </row>
    <row r="178" spans="2:35">
      <c r="B178" s="138" t="s">
        <v>515</v>
      </c>
      <c r="C178" s="140">
        <f>GETPIVOTDATA("Is there provision of solid waste management equipment?",$B$169,"State","Shan (North)","Is there provision of solid waste management equipment?","NA")</f>
        <v>14</v>
      </c>
      <c r="D178" s="139">
        <f>GETPIVOTDATA("Is there provision of solid waste management equipment?",$B$169,"State","Shan (North)","Is there provision of solid waste management equipment?","No")</f>
        <v>9</v>
      </c>
      <c r="E178" s="140">
        <f>GETPIVOTDATA("Is there provision of solid waste management equipment?",$B$169,"State","Shan (North)","Is there provision of solid waste management equipment?","Yes")</f>
        <v>17</v>
      </c>
    </row>
    <row r="181" spans="2:35">
      <c r="B181" s="1050" t="s">
        <v>35</v>
      </c>
      <c r="C181" s="1051" t="s">
        <v>3147</v>
      </c>
    </row>
    <row r="182" spans="2:35" ht="15.5">
      <c r="B182" s="1050" t="s">
        <v>20</v>
      </c>
      <c r="C182" s="1051" t="s">
        <v>2977</v>
      </c>
      <c r="D182" s="105"/>
      <c r="V182" s="417"/>
      <c r="W182" s="417"/>
      <c r="X182" s="417"/>
      <c r="Y182" s="417"/>
      <c r="Z182" s="417"/>
      <c r="AA182" s="417"/>
      <c r="AB182" s="417"/>
      <c r="AC182" s="417"/>
      <c r="AD182" s="417"/>
      <c r="AE182" s="417"/>
      <c r="AF182" s="417"/>
      <c r="AG182" s="417"/>
      <c r="AH182" s="417"/>
    </row>
    <row r="183" spans="2:35" ht="15.5">
      <c r="B183" s="1050" t="s">
        <v>34</v>
      </c>
      <c r="C183" s="1051" t="s">
        <v>34</v>
      </c>
      <c r="D183" s="100"/>
      <c r="J183" s="1050" t="s">
        <v>20</v>
      </c>
      <c r="K183" s="1051" t="s">
        <v>2977</v>
      </c>
      <c r="L183" s="105"/>
      <c r="V183" s="417"/>
      <c r="W183" s="417"/>
      <c r="X183" s="417"/>
      <c r="Y183" s="417"/>
      <c r="Z183" s="417"/>
      <c r="AA183" s="417"/>
      <c r="AB183" s="417"/>
      <c r="AC183" s="417"/>
      <c r="AD183" s="417"/>
      <c r="AE183" s="417"/>
      <c r="AF183" s="417"/>
      <c r="AG183" s="417"/>
      <c r="AH183" s="417"/>
      <c r="AI183" s="105"/>
    </row>
    <row r="184" spans="2:35" ht="15.5">
      <c r="B184" s="1063" t="s">
        <v>21</v>
      </c>
      <c r="C184" s="1062" t="s">
        <v>37</v>
      </c>
      <c r="D184" s="100"/>
      <c r="J184" s="1050" t="s">
        <v>34</v>
      </c>
      <c r="K184" s="1051" t="s">
        <v>34</v>
      </c>
      <c r="L184" s="100"/>
      <c r="V184" s="417"/>
      <c r="W184" s="417"/>
      <c r="X184" s="417"/>
      <c r="Y184" s="417"/>
      <c r="Z184" s="417"/>
      <c r="AA184" s="417"/>
      <c r="AB184" s="417"/>
      <c r="AC184" s="417"/>
      <c r="AD184" s="417"/>
      <c r="AE184" s="417"/>
      <c r="AF184" s="417"/>
      <c r="AG184" s="417"/>
      <c r="AH184" s="417"/>
      <c r="AI184" s="100"/>
    </row>
    <row r="185" spans="2:35" ht="15.5">
      <c r="B185" s="1050" t="s">
        <v>134</v>
      </c>
      <c r="C185" s="1051" t="s">
        <v>1476</v>
      </c>
      <c r="D185" s="100"/>
      <c r="J185" s="1063" t="s">
        <v>21</v>
      </c>
      <c r="K185" s="1062" t="s">
        <v>515</v>
      </c>
      <c r="L185" s="100"/>
      <c r="V185" s="417"/>
      <c r="W185" s="417"/>
      <c r="X185" s="417"/>
      <c r="Y185" s="417"/>
      <c r="Z185" s="417"/>
      <c r="AA185" s="417"/>
      <c r="AB185" s="417"/>
      <c r="AC185" s="417"/>
      <c r="AD185" s="417"/>
      <c r="AE185" s="417"/>
      <c r="AF185" s="417"/>
      <c r="AG185" s="417"/>
      <c r="AH185" s="417"/>
      <c r="AI185" s="100"/>
    </row>
    <row r="186" spans="2:35" ht="15.5">
      <c r="B186" s="378"/>
      <c r="C186" s="100"/>
      <c r="D186" s="100"/>
      <c r="J186" s="1050" t="s">
        <v>134</v>
      </c>
      <c r="K186" s="1051" t="s">
        <v>1476</v>
      </c>
      <c r="L186" s="100"/>
      <c r="V186" s="417"/>
      <c r="W186" s="417"/>
      <c r="X186" s="417"/>
      <c r="Y186" s="417"/>
      <c r="Z186" s="417"/>
      <c r="AA186" s="417"/>
      <c r="AB186" s="417"/>
      <c r="AC186" s="417"/>
      <c r="AD186" s="417"/>
      <c r="AE186" s="417"/>
      <c r="AF186" s="417"/>
      <c r="AG186" s="417"/>
      <c r="AH186" s="417"/>
      <c r="AI186" s="100"/>
    </row>
    <row r="187" spans="2:35" ht="15.5">
      <c r="B187" s="1056" t="s">
        <v>21</v>
      </c>
      <c r="C187" s="1051" t="s">
        <v>2146</v>
      </c>
      <c r="D187" s="1051" t="s">
        <v>2145</v>
      </c>
      <c r="J187" s="378"/>
      <c r="K187" s="100"/>
      <c r="L187" s="100"/>
      <c r="V187" s="417"/>
      <c r="W187" s="417"/>
      <c r="X187" s="417"/>
      <c r="Y187" s="417"/>
      <c r="Z187" s="417"/>
      <c r="AA187" s="417"/>
      <c r="AB187" s="417"/>
      <c r="AC187" s="417"/>
      <c r="AD187" s="417"/>
      <c r="AE187" s="417"/>
      <c r="AF187" s="417"/>
      <c r="AG187" s="417"/>
      <c r="AH187" s="417"/>
      <c r="AI187" s="100"/>
    </row>
    <row r="188" spans="2:35" ht="15.5">
      <c r="B188" s="1052" t="s">
        <v>195</v>
      </c>
      <c r="C188" s="1058">
        <v>0.85684083358501961</v>
      </c>
      <c r="D188" s="1058">
        <v>0.14315916641498039</v>
      </c>
      <c r="J188" s="1056" t="s">
        <v>21</v>
      </c>
      <c r="K188" s="1051" t="s">
        <v>2144</v>
      </c>
      <c r="L188" s="1051" t="s">
        <v>2145</v>
      </c>
      <c r="V188" s="417"/>
      <c r="W188" s="417"/>
      <c r="X188" s="417"/>
      <c r="Y188" s="417"/>
      <c r="Z188" s="417"/>
      <c r="AA188" s="417"/>
      <c r="AB188" s="417"/>
      <c r="AC188" s="417"/>
      <c r="AD188" s="417"/>
      <c r="AE188" s="417"/>
      <c r="AF188" s="417"/>
      <c r="AG188" s="417"/>
      <c r="AH188" s="417"/>
      <c r="AI188"/>
    </row>
    <row r="189" spans="2:35" ht="15.5">
      <c r="B189" s="1052" t="s">
        <v>146</v>
      </c>
      <c r="C189" s="1058">
        <v>0.57057057057057059</v>
      </c>
      <c r="D189" s="1058">
        <v>0.42942942942942941</v>
      </c>
      <c r="J189" s="1052" t="s">
        <v>534</v>
      </c>
      <c r="K189" s="1058">
        <v>1</v>
      </c>
      <c r="L189" s="1058">
        <v>0</v>
      </c>
      <c r="V189" s="417"/>
      <c r="W189" s="417"/>
      <c r="X189" s="417"/>
      <c r="Y189" s="417"/>
      <c r="Z189" s="417"/>
      <c r="AA189" s="417"/>
      <c r="AB189" s="417"/>
      <c r="AC189" s="417"/>
      <c r="AD189" s="417"/>
      <c r="AE189" s="417"/>
      <c r="AF189" s="417"/>
      <c r="AG189" s="417"/>
      <c r="AH189" s="417"/>
      <c r="AI189"/>
    </row>
    <row r="190" spans="2:35" ht="15.5">
      <c r="B190" s="1052" t="s">
        <v>148</v>
      </c>
      <c r="C190" s="1058">
        <v>0.81166495375128467</v>
      </c>
      <c r="D190" s="1058">
        <v>0.18833504624871533</v>
      </c>
      <c r="J190" s="1052" t="s">
        <v>556</v>
      </c>
      <c r="K190" s="1058">
        <v>0</v>
      </c>
      <c r="L190" s="1058">
        <v>1</v>
      </c>
      <c r="V190" s="417"/>
      <c r="W190" s="417"/>
      <c r="X190" s="417"/>
      <c r="Y190" s="417"/>
      <c r="Z190" s="417"/>
      <c r="AA190" s="417"/>
      <c r="AB190" s="417"/>
      <c r="AC190" s="417"/>
      <c r="AD190" s="417"/>
      <c r="AE190" s="417"/>
      <c r="AF190" s="417"/>
      <c r="AG190" s="417"/>
      <c r="AH190" s="417"/>
      <c r="AI190"/>
    </row>
    <row r="191" spans="2:35" ht="15.5">
      <c r="B191" s="1052" t="s">
        <v>38</v>
      </c>
      <c r="C191" s="1058">
        <v>0.89282064384261628</v>
      </c>
      <c r="D191" s="1058">
        <v>0.10717935615738372</v>
      </c>
      <c r="J191" s="1052" t="s">
        <v>519</v>
      </c>
      <c r="K191" s="1058">
        <v>0.94845142129826054</v>
      </c>
      <c r="L191" s="1058">
        <v>5.1548578701739456E-2</v>
      </c>
      <c r="V191" s="417"/>
      <c r="W191" s="417"/>
      <c r="X191" s="417"/>
      <c r="Y191" s="417"/>
      <c r="Z191" s="417"/>
      <c r="AA191" s="417"/>
      <c r="AB191" s="417"/>
      <c r="AC191" s="417"/>
      <c r="AD191" s="417"/>
      <c r="AE191" s="417"/>
      <c r="AF191" s="417"/>
      <c r="AG191" s="417"/>
      <c r="AH191" s="417"/>
      <c r="AI191"/>
    </row>
    <row r="192" spans="2:35" ht="15.5">
      <c r="B192" s="1052" t="s">
        <v>152</v>
      </c>
      <c r="C192" s="1058">
        <v>0.79062870699881371</v>
      </c>
      <c r="D192" s="1058">
        <v>0.20937129300118629</v>
      </c>
      <c r="J192" s="1052" t="s">
        <v>961</v>
      </c>
      <c r="K192" s="1058">
        <v>0.18006993006993008</v>
      </c>
      <c r="L192" s="1058">
        <v>0.81993006993006989</v>
      </c>
      <c r="V192" s="417"/>
      <c r="W192" s="417"/>
      <c r="X192"/>
      <c r="Y192" s="417"/>
      <c r="Z192" s="417"/>
      <c r="AA192" s="417"/>
      <c r="AB192" s="417"/>
      <c r="AC192" s="417"/>
      <c r="AD192" s="417"/>
      <c r="AE192" s="417"/>
      <c r="AF192" s="417"/>
      <c r="AG192" s="417"/>
      <c r="AH192" s="417"/>
      <c r="AI192"/>
    </row>
    <row r="193" spans="1:35" ht="15.5">
      <c r="B193" s="1052" t="s">
        <v>157</v>
      </c>
      <c r="C193" s="1058">
        <v>0.78740157480314965</v>
      </c>
      <c r="D193" s="1058">
        <v>0.21259842519685035</v>
      </c>
      <c r="J193" s="1052" t="s">
        <v>522</v>
      </c>
      <c r="K193" s="1058">
        <v>1</v>
      </c>
      <c r="L193" s="1058">
        <v>0</v>
      </c>
      <c r="V193" s="417"/>
      <c r="W193" s="417"/>
      <c r="X193" s="417"/>
      <c r="Y193" s="417"/>
      <c r="Z193" s="417"/>
      <c r="AA193" s="417"/>
      <c r="AB193" s="417"/>
      <c r="AC193" s="417"/>
      <c r="AD193" s="417"/>
      <c r="AE193" s="417"/>
      <c r="AF193" s="417"/>
      <c r="AG193" s="417"/>
      <c r="AH193" s="417"/>
      <c r="AI193"/>
    </row>
    <row r="194" spans="1:35" ht="15.5">
      <c r="B194" s="1052" t="s">
        <v>205</v>
      </c>
      <c r="C194" s="1058">
        <v>0.80526364735422673</v>
      </c>
      <c r="D194" s="1058">
        <v>0.19473635264577327</v>
      </c>
      <c r="J194" s="1052" t="s">
        <v>525</v>
      </c>
      <c r="K194" s="1058">
        <v>0</v>
      </c>
      <c r="L194" s="1058">
        <v>1</v>
      </c>
      <c r="V194"/>
      <c r="W194"/>
      <c r="X194"/>
    </row>
    <row r="195" spans="1:35">
      <c r="B195" s="1052" t="s">
        <v>159</v>
      </c>
      <c r="C195" s="1058">
        <v>0.716761956620383</v>
      </c>
      <c r="D195" s="1058">
        <v>0.283238043379617</v>
      </c>
      <c r="J195" s="1052" t="s">
        <v>516</v>
      </c>
      <c r="K195" s="1058">
        <v>0.87227414330218067</v>
      </c>
      <c r="L195" s="1058">
        <v>0.12772585669781933</v>
      </c>
    </row>
    <row r="196" spans="1:35">
      <c r="B196" s="1052" t="s">
        <v>214</v>
      </c>
      <c r="C196" s="1058">
        <v>0.30122405534858965</v>
      </c>
      <c r="D196" s="1058">
        <v>0.69877594465141035</v>
      </c>
      <c r="J196" s="1052" t="s">
        <v>536</v>
      </c>
      <c r="K196" s="1058">
        <v>1</v>
      </c>
      <c r="L196" s="1058">
        <v>0</v>
      </c>
    </row>
    <row r="197" spans="1:35" ht="15.5">
      <c r="B197" s="1052" t="s">
        <v>184</v>
      </c>
      <c r="C197" s="1058">
        <v>1</v>
      </c>
      <c r="D197" s="1058">
        <v>0</v>
      </c>
      <c r="J197" s="1052" t="s">
        <v>963</v>
      </c>
      <c r="K197" s="1058">
        <v>0.35842293906810035</v>
      </c>
      <c r="L197" s="1058">
        <v>0.64157706093189959</v>
      </c>
      <c r="M197"/>
      <c r="N197"/>
    </row>
    <row r="198" spans="1:35" ht="15.5">
      <c r="B198" s="1052" t="s">
        <v>863</v>
      </c>
      <c r="C198" s="1058">
        <v>0.38930041152263373</v>
      </c>
      <c r="D198" s="1058">
        <v>0.61069958847736627</v>
      </c>
      <c r="J198" s="1052" t="s">
        <v>960</v>
      </c>
      <c r="K198" s="1058">
        <v>1</v>
      </c>
      <c r="L198" s="1058">
        <v>0</v>
      </c>
      <c r="M198"/>
      <c r="N198"/>
    </row>
    <row r="199" spans="1:35" ht="15.5">
      <c r="B199" s="1052" t="s">
        <v>142</v>
      </c>
      <c r="C199" s="1058">
        <v>0.68682497675416632</v>
      </c>
      <c r="D199" s="1058">
        <v>0.31317502324583368</v>
      </c>
      <c r="L199"/>
      <c r="M199"/>
      <c r="N199"/>
    </row>
    <row r="200" spans="1:35" ht="15.5">
      <c r="B200"/>
      <c r="C200"/>
      <c r="D200"/>
      <c r="L200"/>
      <c r="M200"/>
      <c r="N200"/>
    </row>
    <row r="201" spans="1:35" ht="15.5">
      <c r="B201"/>
      <c r="C201"/>
      <c r="D201"/>
      <c r="L201"/>
      <c r="M201"/>
      <c r="N201"/>
    </row>
    <row r="202" spans="1:35" ht="15.5">
      <c r="B202" s="95"/>
      <c r="C202" s="96"/>
      <c r="D202" s="96"/>
      <c r="L202"/>
      <c r="M202"/>
      <c r="N202"/>
    </row>
    <row r="203" spans="1:35" ht="15.5">
      <c r="L203"/>
      <c r="M203"/>
      <c r="N203"/>
    </row>
    <row r="204" spans="1:35" ht="15.5">
      <c r="B204" s="100"/>
      <c r="C204" s="100"/>
      <c r="D204" s="100"/>
      <c r="S204"/>
      <c r="T204"/>
    </row>
    <row r="205" spans="1:35" ht="18.5">
      <c r="A205" s="146" t="s">
        <v>1584</v>
      </c>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35" ht="15.5">
      <c r="S206"/>
      <c r="T206"/>
    </row>
    <row r="207" spans="1:35">
      <c r="B207" s="1050" t="s">
        <v>35</v>
      </c>
      <c r="C207" s="1051" t="s">
        <v>3147</v>
      </c>
      <c r="G207" s="1050" t="s">
        <v>35</v>
      </c>
      <c r="H207" s="1051" t="s">
        <v>3147</v>
      </c>
    </row>
    <row r="208" spans="1:35">
      <c r="B208" s="1050" t="s">
        <v>20</v>
      </c>
      <c r="C208" s="1051" t="s">
        <v>2977</v>
      </c>
      <c r="D208" s="100"/>
      <c r="G208" s="1050" t="s">
        <v>20</v>
      </c>
      <c r="H208" s="1051" t="s">
        <v>2977</v>
      </c>
      <c r="I208" s="100"/>
    </row>
    <row r="209" spans="2:42">
      <c r="B209" s="1050" t="s">
        <v>34</v>
      </c>
      <c r="C209" s="1051" t="s">
        <v>34</v>
      </c>
      <c r="G209" s="1050" t="s">
        <v>34</v>
      </c>
      <c r="H209" s="1051" t="s">
        <v>34</v>
      </c>
      <c r="M209" s="97"/>
    </row>
    <row r="210" spans="2:42" ht="15.5">
      <c r="B210" s="1050" t="s">
        <v>134</v>
      </c>
      <c r="C210" s="1051" t="s">
        <v>1476</v>
      </c>
      <c r="D210" s="100"/>
      <c r="G210" s="1050" t="s">
        <v>134</v>
      </c>
      <c r="H210" s="1051" t="s">
        <v>1476</v>
      </c>
      <c r="I210" s="100"/>
      <c r="L210" s="417"/>
    </row>
    <row r="211" spans="2:42" ht="15.5">
      <c r="L211" s="417"/>
    </row>
    <row r="212" spans="2:42">
      <c r="B212" s="1050" t="s">
        <v>1283</v>
      </c>
      <c r="C212" s="1051" t="s">
        <v>1482</v>
      </c>
      <c r="D212" s="1051" t="s">
        <v>1501</v>
      </c>
      <c r="E212" s="1051" t="s">
        <v>1483</v>
      </c>
      <c r="G212" s="1050" t="s">
        <v>1283</v>
      </c>
      <c r="H212" s="1051" t="s">
        <v>2364</v>
      </c>
      <c r="I212" s="1051" t="s">
        <v>1482</v>
      </c>
      <c r="J212" s="1051" t="s">
        <v>1501</v>
      </c>
      <c r="K212" s="1051" t="s">
        <v>1483</v>
      </c>
      <c r="L212" s="1051" t="s">
        <v>2119</v>
      </c>
      <c r="M212" s="1051" t="s">
        <v>2352</v>
      </c>
    </row>
    <row r="213" spans="2:42">
      <c r="B213" s="1052" t="s">
        <v>37</v>
      </c>
      <c r="C213" s="1060">
        <v>17061.2</v>
      </c>
      <c r="D213" s="991">
        <v>50884</v>
      </c>
      <c r="E213" s="1060">
        <v>9669</v>
      </c>
      <c r="G213" s="1052" t="s">
        <v>515</v>
      </c>
      <c r="H213" s="991">
        <v>11311</v>
      </c>
      <c r="I213" s="1060">
        <v>2300</v>
      </c>
      <c r="J213" s="991">
        <v>5542</v>
      </c>
      <c r="K213" s="1060">
        <v>1242</v>
      </c>
      <c r="L213" s="991">
        <v>9</v>
      </c>
      <c r="M213" s="991">
        <v>14</v>
      </c>
    </row>
    <row r="214" spans="2:42">
      <c r="B214" s="1052" t="s">
        <v>1285</v>
      </c>
      <c r="C214" s="1060">
        <v>17061.2</v>
      </c>
      <c r="D214" s="991">
        <v>50884</v>
      </c>
      <c r="E214" s="1060">
        <v>9669</v>
      </c>
      <c r="G214" s="1052" t="s">
        <v>1285</v>
      </c>
      <c r="H214" s="991">
        <v>11311</v>
      </c>
      <c r="I214" s="1060">
        <v>2300</v>
      </c>
      <c r="J214" s="991">
        <v>5542</v>
      </c>
      <c r="K214" s="1060">
        <v>1242</v>
      </c>
      <c r="L214" s="991">
        <v>9</v>
      </c>
      <c r="M214" s="991">
        <v>14</v>
      </c>
    </row>
    <row r="215" spans="2:42" ht="15.5">
      <c r="B215"/>
      <c r="C215"/>
      <c r="D215"/>
      <c r="E215"/>
    </row>
    <row r="216" spans="2:42" ht="15.5">
      <c r="B216"/>
      <c r="C216"/>
      <c r="D216"/>
      <c r="E216"/>
      <c r="F216"/>
      <c r="G216"/>
      <c r="J216" s="111"/>
      <c r="K216" s="111"/>
    </row>
    <row r="217" spans="2:42" ht="15.5">
      <c r="C217" s="110" t="s">
        <v>37</v>
      </c>
      <c r="D217" s="96"/>
      <c r="E217"/>
      <c r="F217"/>
      <c r="H217" s="110" t="s">
        <v>1479</v>
      </c>
      <c r="K217" s="508" t="s">
        <v>2254</v>
      </c>
      <c r="L217" s="663" t="s">
        <v>2626</v>
      </c>
      <c r="Q217" s="102"/>
      <c r="R217" s="102"/>
    </row>
    <row r="218" spans="2:42">
      <c r="B218" s="108" t="s">
        <v>24</v>
      </c>
      <c r="C218" s="93">
        <f>GETPIVOTDATA("Sum of Total HH",$B$212,"State","Kachin")</f>
        <v>17061.2</v>
      </c>
      <c r="G218" s="108" t="s">
        <v>24</v>
      </c>
      <c r="H218" s="93">
        <f>GETPIVOTDATA("Sum of Total HH",$G$212,"State","Shan (North)")</f>
        <v>2300</v>
      </c>
      <c r="K218" s="614" t="s">
        <v>2366</v>
      </c>
      <c r="L218" s="102">
        <f>GETPIVOTDATA("Sum of Total PoP ",$G$212,"State","Shan (North)")*29%</f>
        <v>3280.1899999999996</v>
      </c>
    </row>
    <row r="220" spans="2:42">
      <c r="C220" s="110" t="s">
        <v>34</v>
      </c>
      <c r="D220" s="110" t="s">
        <v>1291</v>
      </c>
      <c r="H220" s="110" t="s">
        <v>34</v>
      </c>
      <c r="I220" s="110" t="s">
        <v>1291</v>
      </c>
      <c r="L220" s="110" t="s">
        <v>34</v>
      </c>
      <c r="M220" s="110" t="s">
        <v>1291</v>
      </c>
    </row>
    <row r="221" spans="2:42" s="759" customFormat="1" ht="53.5" customHeight="1">
      <c r="B221" s="757" t="s">
        <v>1484</v>
      </c>
      <c r="C221" s="758">
        <f>GETPIVOTDATA("Sum of # people reached by regular dedicated hygiene promotion_5",$B$212,"State","Kachin")/5</f>
        <v>10176.799999999999</v>
      </c>
      <c r="D221" s="758">
        <f>$C$218-C221</f>
        <v>6884.4000000000015</v>
      </c>
      <c r="G221" s="757" t="s">
        <v>1484</v>
      </c>
      <c r="H221" s="760">
        <f>GETPIVOTDATA("Sum of # people reached by regular dedicated hygiene promotion_5",$G$212,"State","Shan (North)")/5</f>
        <v>1108.4000000000001</v>
      </c>
      <c r="I221" s="760">
        <f>$H$218-H221</f>
        <v>1191.5999999999999</v>
      </c>
      <c r="K221" s="762" t="s">
        <v>2794</v>
      </c>
      <c r="L221" s="761">
        <f>GETPIVOTDATA("Sum of # of affected women and girls receiving a sufficient quantity of sanitary pads from direct distribution or from MHM room facilities",$G$212,"State","Shan (North)")</f>
        <v>14</v>
      </c>
      <c r="M221" s="761">
        <f>IF(L218-L221&lt;0,0,L218-L221)</f>
        <v>3266.1899999999996</v>
      </c>
    </row>
    <row r="222" spans="2:42" ht="15.5">
      <c r="B222" s="108" t="s">
        <v>1279</v>
      </c>
      <c r="C222" s="111">
        <f>GETPIVOTDATA("Sum of #HH with access to Hand Washing Station",$B$212,"State","Kachin")</f>
        <v>9669</v>
      </c>
      <c r="D222" s="111">
        <f>$C$218-C222</f>
        <v>7392.2000000000007</v>
      </c>
      <c r="G222" s="108" t="s">
        <v>1279</v>
      </c>
      <c r="H222" s="102">
        <f>GETPIVOTDATA("Sum of #HH with access to Hand Washing Station",$G$212,"State","Shan (North)")</f>
        <v>1242</v>
      </c>
      <c r="I222" s="102">
        <f>$H$218-H222</f>
        <v>1058</v>
      </c>
      <c r="K222" s="417"/>
      <c r="L222"/>
      <c r="M222" s="105"/>
    </row>
    <row r="223" spans="2:42" ht="15.5">
      <c r="G223" s="620" t="s">
        <v>2419</v>
      </c>
      <c r="H223" s="93">
        <f>GETPIVOTDATA("Sum of #_households that received standard amount of soap for this quarter",$G$212,"State","Shan (North)")</f>
        <v>9</v>
      </c>
      <c r="I223" s="93">
        <f>H218-H223</f>
        <v>2291</v>
      </c>
      <c r="J223" s="374"/>
      <c r="K223" s="423"/>
      <c r="L223" s="423"/>
      <c r="M223" s="391"/>
      <c r="N223" s="374"/>
      <c r="O223" s="374"/>
      <c r="P223" s="374"/>
      <c r="Q223" s="374"/>
      <c r="R223" s="374"/>
      <c r="S223" s="374"/>
      <c r="T223" s="374"/>
      <c r="U223" s="374"/>
      <c r="V223" s="374"/>
      <c r="W223" s="374"/>
      <c r="X223" s="374"/>
      <c r="Y223" s="374"/>
      <c r="Z223" s="374"/>
      <c r="AA223" s="374"/>
      <c r="AB223" s="374"/>
      <c r="AC223" s="374"/>
      <c r="AD223" s="374"/>
      <c r="AE223" s="374"/>
      <c r="AF223" s="374"/>
      <c r="AG223" s="374"/>
      <c r="AH223" s="374"/>
      <c r="AI223" s="374"/>
      <c r="AJ223" s="374"/>
      <c r="AK223" s="374"/>
      <c r="AL223" s="374"/>
      <c r="AM223" s="374"/>
      <c r="AN223" s="374"/>
      <c r="AO223" s="374"/>
      <c r="AP223" s="374"/>
    </row>
    <row r="224" spans="2:42" ht="15.5">
      <c r="G224" s="664" t="s">
        <v>2627</v>
      </c>
      <c r="H224" s="93">
        <f>GETPIVOTDATA("Sum of # of affected women and girls receiving a sufficient quantity of sanitary pads from direct distribution or from MHM room facilities",$G$212,"State","Shan (North)")</f>
        <v>14</v>
      </c>
      <c r="I224" s="102">
        <f>L218-H224</f>
        <v>3266.1899999999996</v>
      </c>
      <c r="K224" s="423"/>
      <c r="L224" s="423"/>
      <c r="M224" s="391"/>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J224" s="374"/>
      <c r="AK224" s="374"/>
      <c r="AL224" s="374"/>
      <c r="AM224" s="374"/>
      <c r="AN224" s="374"/>
      <c r="AO224" s="374"/>
      <c r="AP224" s="374"/>
    </row>
    <row r="225" spans="2:42" ht="15.5">
      <c r="K225" s="417"/>
      <c r="L225" s="362"/>
      <c r="M225" s="105"/>
    </row>
    <row r="226" spans="2:42" ht="15.5">
      <c r="K226" s="417"/>
      <c r="L226" s="417"/>
      <c r="M226" s="391"/>
      <c r="N226" s="374"/>
      <c r="R226" s="374"/>
      <c r="S226" s="374"/>
      <c r="T226" s="374"/>
      <c r="U226" s="374"/>
      <c r="V226" s="374"/>
      <c r="W226" s="374"/>
      <c r="X226" s="374"/>
      <c r="Y226" s="374"/>
      <c r="Z226" s="374"/>
      <c r="AA226" s="374"/>
      <c r="AB226" s="374"/>
      <c r="AC226" s="374"/>
      <c r="AD226" s="374"/>
      <c r="AE226" s="374"/>
      <c r="AF226" s="374"/>
      <c r="AG226" s="374"/>
      <c r="AH226" s="374"/>
      <c r="AI226" s="374"/>
      <c r="AJ226" s="374"/>
      <c r="AK226" s="374"/>
      <c r="AL226" s="374"/>
      <c r="AM226" s="374"/>
      <c r="AN226" s="374"/>
      <c r="AO226" s="374"/>
      <c r="AP226" s="374"/>
    </row>
    <row r="227" spans="2:42" ht="15.5">
      <c r="H227" s="417"/>
      <c r="I227" s="417"/>
      <c r="K227" s="417"/>
      <c r="L227" s="417"/>
      <c r="M227" s="391"/>
      <c r="N227" s="374"/>
      <c r="R227" s="374"/>
      <c r="S227" s="374"/>
      <c r="T227" s="374"/>
      <c r="U227" s="374"/>
      <c r="V227" s="374"/>
      <c r="W227" s="374"/>
      <c r="X227" s="374"/>
      <c r="Y227" s="374"/>
      <c r="Z227" s="374"/>
      <c r="AA227" s="374"/>
      <c r="AB227" s="374"/>
      <c r="AC227" s="374"/>
      <c r="AD227" s="374"/>
      <c r="AE227" s="374"/>
      <c r="AF227" s="374"/>
      <c r="AG227" s="374"/>
      <c r="AH227" s="374"/>
      <c r="AI227" s="374"/>
      <c r="AJ227" s="374"/>
      <c r="AK227" s="374"/>
      <c r="AL227" s="374"/>
      <c r="AM227" s="374"/>
      <c r="AN227" s="374"/>
      <c r="AO227" s="374"/>
      <c r="AP227" s="374"/>
    </row>
    <row r="228" spans="2:42" ht="15.5">
      <c r="H228" s="417"/>
      <c r="I228" s="417"/>
      <c r="K228" s="417"/>
      <c r="L228" s="417"/>
      <c r="M228" s="391"/>
      <c r="N228" s="374"/>
      <c r="R228" s="374"/>
      <c r="S228" s="374"/>
      <c r="T228" s="374"/>
      <c r="U228" s="374"/>
      <c r="V228" s="374"/>
      <c r="W228" s="374"/>
      <c r="X228" s="374"/>
      <c r="Y228" s="374"/>
      <c r="Z228" s="374"/>
      <c r="AA228" s="374"/>
      <c r="AB228" s="374"/>
      <c r="AC228" s="374"/>
      <c r="AD228" s="374"/>
      <c r="AE228" s="374"/>
      <c r="AF228" s="374"/>
      <c r="AG228" s="374"/>
      <c r="AH228" s="374"/>
      <c r="AI228" s="374"/>
      <c r="AJ228" s="374"/>
      <c r="AK228" s="374"/>
      <c r="AL228" s="374"/>
      <c r="AM228" s="374"/>
      <c r="AN228" s="374"/>
      <c r="AO228" s="374"/>
      <c r="AP228" s="374"/>
    </row>
    <row r="229" spans="2:42" ht="15.5">
      <c r="H229" s="423"/>
      <c r="I229" s="417"/>
      <c r="K229" s="417"/>
      <c r="L229" s="417"/>
      <c r="M229" s="391"/>
      <c r="N229" s="374"/>
      <c r="R229" s="374"/>
      <c r="S229" s="374"/>
      <c r="T229" s="374"/>
      <c r="U229" s="374"/>
      <c r="V229" s="374"/>
      <c r="W229" s="374"/>
      <c r="X229" s="374"/>
      <c r="Y229" s="374"/>
      <c r="Z229" s="374"/>
      <c r="AA229" s="374"/>
      <c r="AB229" s="374"/>
      <c r="AC229" s="374"/>
      <c r="AD229" s="374"/>
      <c r="AE229" s="374"/>
      <c r="AF229" s="374"/>
      <c r="AG229" s="374"/>
      <c r="AH229" s="374"/>
      <c r="AI229" s="374"/>
      <c r="AJ229" s="374"/>
      <c r="AK229" s="374"/>
      <c r="AL229" s="374"/>
      <c r="AM229" s="374"/>
      <c r="AN229" s="374"/>
      <c r="AO229" s="374"/>
      <c r="AP229" s="374"/>
    </row>
    <row r="230" spans="2:42" ht="15.5">
      <c r="H230" s="417"/>
      <c r="I230" s="417"/>
      <c r="K230" s="417"/>
      <c r="L230" s="362"/>
      <c r="M230" s="105"/>
    </row>
    <row r="231" spans="2:42" ht="15.5">
      <c r="H231" s="417"/>
      <c r="I231" s="417"/>
      <c r="K231" s="417"/>
      <c r="L231" s="362"/>
      <c r="M231" s="105"/>
    </row>
    <row r="232" spans="2:42" ht="15.5">
      <c r="B232"/>
      <c r="C232"/>
      <c r="D232"/>
      <c r="E232"/>
      <c r="F232"/>
      <c r="G232"/>
      <c r="K232" s="417"/>
      <c r="L232" s="362"/>
      <c r="M232" s="105"/>
    </row>
    <row r="233" spans="2:42" ht="15.5">
      <c r="B233" s="1050" t="s">
        <v>35</v>
      </c>
      <c r="C233" s="1051" t="s">
        <v>3147</v>
      </c>
      <c r="D233"/>
      <c r="E233"/>
      <c r="F233"/>
      <c r="G233"/>
      <c r="I233" s="417"/>
      <c r="J233" s="417"/>
      <c r="K233" s="417"/>
      <c r="L233" s="362"/>
      <c r="M233" s="105"/>
    </row>
    <row r="234" spans="2:42" ht="15.5">
      <c r="B234" s="1050" t="s">
        <v>20</v>
      </c>
      <c r="C234" s="1051" t="s">
        <v>2977</v>
      </c>
      <c r="D234" s="100"/>
      <c r="F234" s="362"/>
      <c r="J234" s="417"/>
      <c r="K234" s="417"/>
      <c r="L234" s="362"/>
      <c r="M234" s="105"/>
    </row>
    <row r="235" spans="2:42" ht="15.5">
      <c r="B235" s="1050" t="s">
        <v>34</v>
      </c>
      <c r="C235" s="1051" t="s">
        <v>34</v>
      </c>
      <c r="F235" s="362"/>
      <c r="J235" s="417"/>
      <c r="K235" s="616"/>
      <c r="L235" s="102"/>
      <c r="M235" s="615"/>
    </row>
    <row r="236" spans="2:42" ht="15.5">
      <c r="B236" s="1050" t="s">
        <v>134</v>
      </c>
      <c r="C236" s="1051" t="s">
        <v>1476</v>
      </c>
      <c r="D236" s="100"/>
      <c r="F236" s="362"/>
      <c r="G236" s="508" t="s">
        <v>2253</v>
      </c>
      <c r="H236" s="509" t="s">
        <v>2257</v>
      </c>
      <c r="I236" s="507" t="s">
        <v>2252</v>
      </c>
      <c r="K236" s="508" t="s">
        <v>2254</v>
      </c>
      <c r="L236" s="663" t="s">
        <v>2622</v>
      </c>
      <c r="M236" s="663" t="s">
        <v>2623</v>
      </c>
    </row>
    <row r="237" spans="2:42" ht="15.5">
      <c r="F237" s="417"/>
      <c r="G237" s="614" t="s">
        <v>2365</v>
      </c>
      <c r="H237" s="102">
        <f>GETPIVOTDATA("Sum of Total HH",$B$238,"State","Kachin","Ethnic or GCA/NGCA","GCA")*25%</f>
        <v>2480.75</v>
      </c>
      <c r="I237" s="93">
        <f>GETPIVOTDATA("Sum of Total HH",$B$238,"State","Kachin","Ethnic or GCA/NGCA","NGCA")</f>
        <v>7138.2</v>
      </c>
      <c r="K237" s="614" t="s">
        <v>2366</v>
      </c>
      <c r="L237" s="102">
        <f>GETPIVOTDATA("Sum of Total PoP ",$B$238,"State","Kachin","Ethnic or GCA/NGCA","GCA")*29%</f>
        <v>14929.199999999999</v>
      </c>
      <c r="M237" s="615">
        <f>GETPIVOTDATA("Sum of Total PoP ",$B$238,"State","Kachin","Ethnic or GCA/NGCA","NGCA")*29%</f>
        <v>10426.949999999999</v>
      </c>
    </row>
    <row r="238" spans="2:42" ht="15.5">
      <c r="B238" s="1050" t="s">
        <v>1283</v>
      </c>
      <c r="C238" s="1051" t="s">
        <v>1482</v>
      </c>
      <c r="D238" s="1051" t="s">
        <v>2364</v>
      </c>
      <c r="E238"/>
      <c r="F238"/>
      <c r="G238"/>
      <c r="H238"/>
      <c r="J238" s="374"/>
      <c r="O238" s="374"/>
      <c r="P238" s="374"/>
      <c r="U238" s="374"/>
      <c r="V238" s="374"/>
      <c r="W238" s="374"/>
      <c r="X238" s="374"/>
      <c r="Y238" s="374"/>
      <c r="Z238" s="374"/>
      <c r="AA238" s="374"/>
      <c r="AB238" s="374"/>
      <c r="AC238" s="374"/>
      <c r="AD238" s="374"/>
      <c r="AE238" s="374"/>
      <c r="AF238" s="374"/>
      <c r="AG238" s="374"/>
      <c r="AH238" s="374"/>
      <c r="AI238" s="374"/>
      <c r="AJ238" s="374"/>
      <c r="AK238" s="374"/>
      <c r="AL238" s="374"/>
      <c r="AM238" s="374"/>
      <c r="AN238" s="374"/>
      <c r="AO238" s="374"/>
      <c r="AP238" s="374"/>
    </row>
    <row r="239" spans="2:42" ht="15.5">
      <c r="B239" s="1052" t="s">
        <v>37</v>
      </c>
      <c r="C239" s="1060"/>
      <c r="D239" s="991"/>
      <c r="E239"/>
      <c r="F239"/>
      <c r="G239"/>
      <c r="H239" s="110" t="s">
        <v>34</v>
      </c>
      <c r="I239" s="110" t="s">
        <v>1291</v>
      </c>
      <c r="L239" s="110" t="s">
        <v>34</v>
      </c>
      <c r="M239" s="110" t="s">
        <v>1291</v>
      </c>
      <c r="O239" s="583" t="s">
        <v>2353</v>
      </c>
    </row>
    <row r="240" spans="2:42" ht="15.5">
      <c r="B240" s="992" t="s">
        <v>44</v>
      </c>
      <c r="C240" s="1060">
        <v>9923</v>
      </c>
      <c r="D240" s="991">
        <v>51480</v>
      </c>
      <c r="E240"/>
      <c r="F240"/>
      <c r="G240" s="763" t="s">
        <v>2795</v>
      </c>
      <c r="H240">
        <f>GETPIVOTDATA("Sum of #_households that received standard amount of soap for this quarter",$B$250,"State","Kachin","Ethnic or GCA/NGCA","GCA")</f>
        <v>1509</v>
      </c>
      <c r="I240" s="111">
        <f>IF(H237-H240&lt;-1,0,H237-H240)</f>
        <v>971.75</v>
      </c>
      <c r="K240" s="663" t="s">
        <v>2624</v>
      </c>
      <c r="L240" s="111">
        <f>GETPIVOTDATA("Sum of # of affected women and girls receiving a sufficient quantity of sanitary pads from direct distribution or from MHM room facilities",$B$250,"State","Kachin","Ethnic or GCA/NGCA","GCA")</f>
        <v>1356</v>
      </c>
      <c r="M240" s="111">
        <f>L237-L240</f>
        <v>13573.199999999999</v>
      </c>
    </row>
    <row r="241" spans="2:13" ht="15.5">
      <c r="B241" s="992" t="s">
        <v>590</v>
      </c>
      <c r="C241" s="1060">
        <v>7138.2</v>
      </c>
      <c r="D241" s="991">
        <v>35955</v>
      </c>
      <c r="E241"/>
      <c r="F241"/>
      <c r="G241" s="763" t="s">
        <v>2796</v>
      </c>
      <c r="H241">
        <f>GETPIVOTDATA("Sum of #_households that received standard amount of soap for this quarter",$B$250,"State","Kachin","Ethnic or GCA/NGCA","NGCA")</f>
        <v>681</v>
      </c>
      <c r="I241" s="111">
        <f>I237-H241</f>
        <v>6457.2</v>
      </c>
      <c r="K241" s="663" t="s">
        <v>2625</v>
      </c>
      <c r="L241" s="111">
        <f>GETPIVOTDATA("Sum of # of affected women and girls receiving a sufficient quantity of sanitary pads from direct distribution or from MHM room facilities",$B$250,"State","Kachin","Ethnic or GCA/NGCA","NGCA")</f>
        <v>1773</v>
      </c>
      <c r="M241" s="111">
        <f>M237-L241</f>
        <v>8653.9499999999989</v>
      </c>
    </row>
    <row r="242" spans="2:13" ht="15.5">
      <c r="B242" s="1052" t="s">
        <v>1489</v>
      </c>
      <c r="C242" s="1060">
        <v>17061.2</v>
      </c>
      <c r="D242" s="991">
        <v>87435</v>
      </c>
      <c r="E242"/>
      <c r="F242"/>
      <c r="G242"/>
      <c r="H242"/>
      <c r="K242" s="417"/>
      <c r="L242" s="417"/>
      <c r="M242" s="105"/>
    </row>
    <row r="243" spans="2:13" ht="15.5">
      <c r="B243" s="1052" t="s">
        <v>1285</v>
      </c>
      <c r="C243" s="1060">
        <v>17061.2</v>
      </c>
      <c r="D243" s="991">
        <v>87435</v>
      </c>
      <c r="E243" s="506"/>
      <c r="F243" s="417"/>
      <c r="G243" s="417"/>
      <c r="K243" s="417"/>
      <c r="L243" s="417"/>
      <c r="M243" s="105"/>
    </row>
    <row r="244" spans="2:13" ht="15.5">
      <c r="B244"/>
      <c r="C244"/>
      <c r="D244"/>
      <c r="E244" s="506"/>
      <c r="F244" s="417"/>
      <c r="G244" s="417"/>
      <c r="K244" s="417"/>
      <c r="L244" s="417"/>
      <c r="M244" s="105"/>
    </row>
    <row r="245" spans="2:13" ht="15.5">
      <c r="B245" s="1050" t="s">
        <v>35</v>
      </c>
      <c r="C245" s="1051" t="s">
        <v>3147</v>
      </c>
      <c r="D245"/>
      <c r="E245" s="506"/>
      <c r="F245" s="417"/>
      <c r="G245" s="417"/>
      <c r="K245" s="417"/>
      <c r="L245" s="417"/>
      <c r="M245" s="105"/>
    </row>
    <row r="246" spans="2:13" ht="15.5">
      <c r="B246" s="1050" t="s">
        <v>20</v>
      </c>
      <c r="C246" s="1051" t="s">
        <v>2977</v>
      </c>
      <c r="D246" s="100"/>
      <c r="E246" s="506"/>
      <c r="F246" s="417"/>
      <c r="G246" s="417"/>
      <c r="K246" s="417"/>
      <c r="L246" s="417"/>
      <c r="M246" s="105"/>
    </row>
    <row r="247" spans="2:13" ht="15.5">
      <c r="B247" s="1050" t="s">
        <v>34</v>
      </c>
      <c r="C247" s="1051" t="s">
        <v>34</v>
      </c>
      <c r="E247" s="506"/>
      <c r="F247" s="417"/>
      <c r="G247" s="417"/>
      <c r="K247" s="417"/>
      <c r="L247" s="417"/>
      <c r="M247" s="105"/>
    </row>
    <row r="248" spans="2:13" ht="15.5">
      <c r="B248" s="1050" t="s">
        <v>134</v>
      </c>
      <c r="C248" s="1051" t="s">
        <v>1476</v>
      </c>
      <c r="D248" s="100"/>
      <c r="E248" s="506"/>
      <c r="F248" s="417"/>
      <c r="K248" s="417"/>
      <c r="L248" s="417"/>
      <c r="M248" s="105"/>
    </row>
    <row r="249" spans="2:13" ht="15.5">
      <c r="E249" s="506"/>
      <c r="F249" s="417"/>
      <c r="K249" s="417"/>
      <c r="L249" s="417"/>
      <c r="M249" s="105"/>
    </row>
    <row r="250" spans="2:13" ht="15.5">
      <c r="B250" s="1050" t="s">
        <v>1283</v>
      </c>
      <c r="C250" s="1051" t="s">
        <v>2119</v>
      </c>
      <c r="D250" s="1051" t="s">
        <v>2352</v>
      </c>
      <c r="E250" s="506"/>
      <c r="F250" s="417"/>
      <c r="K250" s="417"/>
      <c r="L250" s="417"/>
      <c r="M250" s="105"/>
    </row>
    <row r="251" spans="2:13" ht="15.5">
      <c r="B251" s="1052" t="s">
        <v>37</v>
      </c>
      <c r="C251" s="991"/>
      <c r="D251" s="991"/>
      <c r="E251" s="506"/>
      <c r="F251" s="417"/>
      <c r="K251" s="417"/>
      <c r="L251" s="417"/>
      <c r="M251" s="105"/>
    </row>
    <row r="252" spans="2:13" ht="15.5">
      <c r="B252" s="992" t="s">
        <v>44</v>
      </c>
      <c r="C252" s="991">
        <v>1509</v>
      </c>
      <c r="D252" s="991">
        <v>1356</v>
      </c>
      <c r="E252" s="506"/>
      <c r="F252" s="417"/>
      <c r="K252" s="417"/>
      <c r="L252" s="417"/>
      <c r="M252" s="105"/>
    </row>
    <row r="253" spans="2:13" ht="15.5">
      <c r="B253" s="992" t="s">
        <v>590</v>
      </c>
      <c r="C253" s="991">
        <v>681</v>
      </c>
      <c r="D253" s="991">
        <v>1773</v>
      </c>
      <c r="E253" s="506"/>
      <c r="F253" s="417"/>
      <c r="K253" s="417"/>
      <c r="L253" s="417"/>
      <c r="M253" s="105"/>
    </row>
    <row r="254" spans="2:13" ht="15.5">
      <c r="B254" s="1052" t="s">
        <v>1489</v>
      </c>
      <c r="C254" s="991">
        <v>2190</v>
      </c>
      <c r="D254" s="991">
        <v>3129</v>
      </c>
      <c r="E254" s="506"/>
      <c r="F254" s="417"/>
      <c r="G254" s="417"/>
      <c r="K254" s="417"/>
      <c r="L254" s="417"/>
      <c r="M254" s="105"/>
    </row>
    <row r="255" spans="2:13" ht="15.5">
      <c r="B255"/>
      <c r="C255"/>
      <c r="D255"/>
      <c r="F255" s="417"/>
      <c r="G255" s="417"/>
      <c r="K255" s="417"/>
      <c r="L255" s="417"/>
      <c r="M255" s="105"/>
    </row>
    <row r="256" spans="2:13" ht="15.5">
      <c r="K256" s="417"/>
      <c r="L256" s="417"/>
      <c r="M256" s="105"/>
    </row>
    <row r="257" spans="2:13" ht="15.5">
      <c r="K257" s="417"/>
      <c r="L257" s="417"/>
      <c r="M257" s="105"/>
    </row>
    <row r="258" spans="2:13" ht="15.5">
      <c r="F258" s="362"/>
      <c r="G258" s="417"/>
      <c r="H258" s="417"/>
      <c r="I258" s="417"/>
      <c r="K258" s="417"/>
      <c r="L258" s="417"/>
      <c r="M258" s="105"/>
    </row>
    <row r="259" spans="2:13" ht="15.5">
      <c r="B259"/>
      <c r="C259"/>
      <c r="D259"/>
      <c r="K259" s="362"/>
      <c r="L259" s="362"/>
      <c r="M259" s="105"/>
    </row>
    <row r="260" spans="2:13" ht="15.5">
      <c r="B260"/>
      <c r="C260"/>
      <c r="D260"/>
      <c r="K260" s="362"/>
      <c r="L260" s="362"/>
      <c r="M260" s="105"/>
    </row>
    <row r="261" spans="2:13">
      <c r="B261" s="1050" t="s">
        <v>35</v>
      </c>
      <c r="C261" s="1051" t="s">
        <v>3147</v>
      </c>
      <c r="K261" s="1050" t="s">
        <v>20</v>
      </c>
      <c r="L261" s="1051" t="s">
        <v>2977</v>
      </c>
    </row>
    <row r="262" spans="2:13">
      <c r="B262" s="1050" t="s">
        <v>20</v>
      </c>
      <c r="C262" s="1051" t="s">
        <v>2977</v>
      </c>
      <c r="D262" s="105"/>
      <c r="K262" s="1050" t="s">
        <v>34</v>
      </c>
      <c r="L262" s="1051" t="s">
        <v>34</v>
      </c>
      <c r="M262" s="100"/>
    </row>
    <row r="263" spans="2:13">
      <c r="B263" s="1050" t="s">
        <v>34</v>
      </c>
      <c r="C263" s="1051" t="s">
        <v>34</v>
      </c>
      <c r="D263" s="100"/>
      <c r="K263" s="1063" t="s">
        <v>21</v>
      </c>
      <c r="L263" s="1062" t="s">
        <v>515</v>
      </c>
      <c r="M263" s="100"/>
    </row>
    <row r="264" spans="2:13">
      <c r="B264" s="1063" t="s">
        <v>21</v>
      </c>
      <c r="C264" s="1062" t="s">
        <v>37</v>
      </c>
      <c r="D264" s="100"/>
      <c r="K264" s="1050" t="s">
        <v>134</v>
      </c>
      <c r="L264" s="1051" t="s">
        <v>1476</v>
      </c>
      <c r="M264" s="100"/>
    </row>
    <row r="265" spans="2:13">
      <c r="B265" s="1050" t="s">
        <v>134</v>
      </c>
      <c r="C265" s="1051" t="s">
        <v>1476</v>
      </c>
      <c r="D265" s="100"/>
      <c r="K265" s="378"/>
      <c r="L265" s="100"/>
      <c r="M265" s="100"/>
    </row>
    <row r="266" spans="2:13">
      <c r="B266" s="378"/>
      <c r="C266" s="100"/>
      <c r="D266" s="100"/>
      <c r="K266" s="1056" t="s">
        <v>21</v>
      </c>
      <c r="L266" s="1051" t="s">
        <v>2147</v>
      </c>
      <c r="M266" s="1051" t="s">
        <v>2142</v>
      </c>
    </row>
    <row r="267" spans="2:13">
      <c r="B267" s="1056" t="s">
        <v>21</v>
      </c>
      <c r="C267" s="1051" t="s">
        <v>2147</v>
      </c>
      <c r="D267" s="1051" t="s">
        <v>2142</v>
      </c>
      <c r="K267" s="1052" t="s">
        <v>534</v>
      </c>
      <c r="L267" s="1058">
        <v>1</v>
      </c>
      <c r="M267" s="1058">
        <v>0</v>
      </c>
    </row>
    <row r="268" spans="2:13">
      <c r="B268" s="1052" t="s">
        <v>195</v>
      </c>
      <c r="C268" s="1058">
        <v>0.77242524916943522</v>
      </c>
      <c r="D268" s="1058">
        <v>0.22757475083056478</v>
      </c>
      <c r="K268" s="1052" t="s">
        <v>556</v>
      </c>
      <c r="L268" s="1058">
        <v>0.375</v>
      </c>
      <c r="M268" s="1058">
        <v>0.625</v>
      </c>
    </row>
    <row r="269" spans="2:13">
      <c r="B269" s="1052" t="s">
        <v>146</v>
      </c>
      <c r="C269" s="1058">
        <v>0.89527027027027029</v>
      </c>
      <c r="D269" s="1058">
        <v>0.10472972972972971</v>
      </c>
      <c r="K269" s="1052" t="s">
        <v>519</v>
      </c>
      <c r="L269" s="1058">
        <v>0.78086550700042423</v>
      </c>
      <c r="M269" s="1058">
        <v>0.21913449299957577</v>
      </c>
    </row>
    <row r="270" spans="2:13">
      <c r="B270" s="1052" t="s">
        <v>148</v>
      </c>
      <c r="C270" s="1058">
        <v>0.8761562178828366</v>
      </c>
      <c r="D270" s="1058">
        <v>0.1238437821171634</v>
      </c>
      <c r="K270" s="1052" t="s">
        <v>960</v>
      </c>
      <c r="L270" s="1058">
        <v>0</v>
      </c>
      <c r="M270" s="1058">
        <v>1</v>
      </c>
    </row>
    <row r="271" spans="2:13">
      <c r="B271" s="1052" t="s">
        <v>38</v>
      </c>
      <c r="C271" s="1058">
        <v>0.57307102708226876</v>
      </c>
      <c r="D271" s="1058">
        <v>0.42692897291773124</v>
      </c>
      <c r="K271" s="1052" t="s">
        <v>961</v>
      </c>
      <c r="L271" s="1058">
        <v>0</v>
      </c>
      <c r="M271" s="1058">
        <v>1</v>
      </c>
    </row>
    <row r="272" spans="2:13">
      <c r="B272" s="1052" t="s">
        <v>152</v>
      </c>
      <c r="C272" s="1058">
        <v>0.77817319098457893</v>
      </c>
      <c r="D272" s="1058">
        <v>0.22182680901542107</v>
      </c>
      <c r="K272" s="1052" t="s">
        <v>963</v>
      </c>
      <c r="L272" s="1058">
        <v>0</v>
      </c>
      <c r="M272" s="1058">
        <v>1</v>
      </c>
    </row>
    <row r="273" spans="1:26">
      <c r="B273" s="1052" t="s">
        <v>157</v>
      </c>
      <c r="C273" s="1058">
        <v>0</v>
      </c>
      <c r="D273" s="1058">
        <v>1</v>
      </c>
      <c r="K273" s="1052" t="s">
        <v>522</v>
      </c>
      <c r="L273" s="1058">
        <v>1</v>
      </c>
      <c r="M273" s="1058">
        <v>0</v>
      </c>
    </row>
    <row r="274" spans="1:26">
      <c r="B274" s="1052" t="s">
        <v>205</v>
      </c>
      <c r="C274" s="1058">
        <v>0.74188598530642613</v>
      </c>
      <c r="D274" s="1058">
        <v>0.25811401469357387</v>
      </c>
      <c r="K274" s="1052" t="s">
        <v>525</v>
      </c>
      <c r="L274" s="1058">
        <v>0</v>
      </c>
      <c r="M274" s="1058">
        <v>1</v>
      </c>
    </row>
    <row r="275" spans="1:26">
      <c r="B275" s="1052" t="s">
        <v>159</v>
      </c>
      <c r="C275" s="1058">
        <v>0.52518377348216716</v>
      </c>
      <c r="D275" s="1058">
        <v>0.47481622651783284</v>
      </c>
      <c r="K275" s="1052" t="s">
        <v>516</v>
      </c>
      <c r="L275" s="1058">
        <v>0.66458982346832818</v>
      </c>
      <c r="M275" s="1058">
        <v>0.33541017653167182</v>
      </c>
    </row>
    <row r="276" spans="1:26">
      <c r="B276" s="1052" t="s">
        <v>214</v>
      </c>
      <c r="C276" s="1058">
        <v>0.15965939329430548</v>
      </c>
      <c r="D276" s="1058">
        <v>0.84034060670569455</v>
      </c>
      <c r="K276" s="1052" t="s">
        <v>536</v>
      </c>
      <c r="L276" s="1058">
        <v>0.87479674796747964</v>
      </c>
      <c r="M276" s="1058">
        <v>0.12520325203252036</v>
      </c>
    </row>
    <row r="277" spans="1:26" ht="15.5">
      <c r="B277" s="1052" t="s">
        <v>184</v>
      </c>
      <c r="C277" s="1058">
        <v>0.48309178743961351</v>
      </c>
      <c r="D277" s="1058">
        <v>0.51690821256038655</v>
      </c>
      <c r="K277"/>
      <c r="L277"/>
      <c r="M277"/>
    </row>
    <row r="278" spans="1:26" ht="15.5">
      <c r="B278" s="1052" t="s">
        <v>863</v>
      </c>
      <c r="C278" s="1058">
        <v>0.55473251028806581</v>
      </c>
      <c r="D278" s="1058">
        <v>0.44526748971193419</v>
      </c>
      <c r="K278"/>
      <c r="L278"/>
      <c r="M278"/>
    </row>
    <row r="279" spans="1:26" ht="15.5">
      <c r="B279" s="1052" t="s">
        <v>142</v>
      </c>
      <c r="C279" s="1058">
        <v>0.52424719261855379</v>
      </c>
      <c r="D279" s="1058">
        <v>0.47575280738144621</v>
      </c>
      <c r="K279"/>
      <c r="L279"/>
      <c r="M279"/>
    </row>
    <row r="280" spans="1:26" ht="15.5">
      <c r="B280"/>
      <c r="C280"/>
      <c r="D280"/>
      <c r="K280"/>
      <c r="L280"/>
      <c r="M280"/>
    </row>
    <row r="281" spans="1:26" ht="15.5">
      <c r="B281"/>
      <c r="C281"/>
      <c r="D281"/>
    </row>
    <row r="282" spans="1:26" ht="15.5">
      <c r="B282" s="100"/>
      <c r="C282" s="100"/>
      <c r="D282" s="100"/>
      <c r="K282"/>
      <c r="L282"/>
      <c r="M282"/>
      <c r="U282"/>
      <c r="V282"/>
      <c r="W282"/>
    </row>
    <row r="283" spans="1:26" ht="15.5">
      <c r="B283" s="100"/>
      <c r="C283" s="100"/>
      <c r="D283" s="100"/>
      <c r="K283"/>
      <c r="L283"/>
      <c r="M283"/>
      <c r="U283"/>
      <c r="V283"/>
      <c r="W283"/>
    </row>
    <row r="284" spans="1:26" ht="15.5">
      <c r="B284" s="100"/>
      <c r="C284" s="100"/>
      <c r="D284" s="100"/>
      <c r="K284" s="400"/>
      <c r="L284" s="401"/>
      <c r="M284" s="401"/>
      <c r="U284" s="362"/>
      <c r="V284" s="362"/>
      <c r="W284" s="362"/>
    </row>
    <row r="285" spans="1:26" ht="15.5">
      <c r="B285" s="100"/>
      <c r="C285" s="100"/>
      <c r="D285" s="100"/>
      <c r="K285" s="400"/>
      <c r="L285" s="401"/>
      <c r="M285" s="401"/>
      <c r="U285" s="362"/>
      <c r="V285" s="362"/>
      <c r="W285" s="362"/>
    </row>
    <row r="286" spans="1:26" ht="15.5">
      <c r="B286" s="100"/>
      <c r="C286" s="100"/>
      <c r="D286" s="100"/>
      <c r="K286" s="400"/>
      <c r="L286" s="401"/>
      <c r="M286" s="401"/>
      <c r="U286" s="362"/>
      <c r="V286" s="362"/>
      <c r="W286" s="362"/>
    </row>
    <row r="287" spans="1:26" ht="15.5">
      <c r="B287" s="100"/>
      <c r="C287" s="100"/>
      <c r="D287" s="100"/>
      <c r="K287" s="400"/>
      <c r="L287" s="401"/>
      <c r="M287" s="401"/>
      <c r="U287" s="362"/>
      <c r="V287" s="362"/>
      <c r="W287" s="362"/>
    </row>
    <row r="288" spans="1:26" ht="18.5">
      <c r="A288" s="147" t="s">
        <v>1290</v>
      </c>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row>
    <row r="289" spans="2:16">
      <c r="B289" s="100"/>
      <c r="C289" s="100"/>
      <c r="D289" s="100"/>
    </row>
    <row r="290" spans="2:16" ht="15.5">
      <c r="B290" s="100"/>
      <c r="C290" s="1050" t="s">
        <v>20</v>
      </c>
      <c r="D290" s="1051" t="s">
        <v>2977</v>
      </c>
      <c r="M290"/>
      <c r="N290"/>
    </row>
    <row r="291" spans="2:16">
      <c r="C291" s="1062" t="s">
        <v>21</v>
      </c>
      <c r="D291" s="1051" t="s">
        <v>37</v>
      </c>
      <c r="M291" s="1050" t="s">
        <v>20</v>
      </c>
      <c r="N291" s="1051" t="s">
        <v>2977</v>
      </c>
    </row>
    <row r="292" spans="2:16">
      <c r="C292" s="1050" t="s">
        <v>35</v>
      </c>
      <c r="D292" s="1051" t="s">
        <v>3147</v>
      </c>
      <c r="H292" s="1050" t="s">
        <v>20</v>
      </c>
      <c r="I292" s="1051" t="s">
        <v>2977</v>
      </c>
    </row>
    <row r="293" spans="2:16">
      <c r="H293" s="1062" t="s">
        <v>21</v>
      </c>
      <c r="I293" s="1062" t="s">
        <v>515</v>
      </c>
      <c r="M293" s="1050" t="s">
        <v>1480</v>
      </c>
      <c r="N293" s="1050" t="s">
        <v>1477</v>
      </c>
      <c r="O293" s="1051"/>
    </row>
    <row r="294" spans="2:16" ht="15.5">
      <c r="C294" s="1050" t="s">
        <v>1480</v>
      </c>
      <c r="D294" s="1050" t="s">
        <v>1477</v>
      </c>
      <c r="E294"/>
      <c r="M294" s="1062" t="s">
        <v>1283</v>
      </c>
      <c r="N294" s="1051" t="s">
        <v>34</v>
      </c>
      <c r="O294" s="1051" t="s">
        <v>1291</v>
      </c>
      <c r="P294"/>
    </row>
    <row r="295" spans="2:16" ht="15.5">
      <c r="C295" s="1050" t="s">
        <v>1283</v>
      </c>
      <c r="D295" s="1051" t="s">
        <v>34</v>
      </c>
      <c r="E295"/>
      <c r="H295" s="1050" t="s">
        <v>1480</v>
      </c>
      <c r="I295" s="1050" t="s">
        <v>1477</v>
      </c>
      <c r="J295" s="1051"/>
      <c r="M295" s="1052" t="s">
        <v>37</v>
      </c>
      <c r="N295" s="991">
        <v>129</v>
      </c>
      <c r="O295" s="991">
        <v>29</v>
      </c>
      <c r="P295"/>
    </row>
    <row r="296" spans="2:16" ht="15.5">
      <c r="C296" s="1052" t="s">
        <v>43</v>
      </c>
      <c r="D296" s="991">
        <v>111</v>
      </c>
      <c r="E296"/>
      <c r="H296" s="1050" t="s">
        <v>1283</v>
      </c>
      <c r="I296" s="1051" t="s">
        <v>34</v>
      </c>
      <c r="J296" s="1051" t="s">
        <v>1291</v>
      </c>
      <c r="M296" s="1052" t="s">
        <v>515</v>
      </c>
      <c r="N296" s="991">
        <v>40</v>
      </c>
      <c r="O296" s="991">
        <v>15</v>
      </c>
      <c r="P296"/>
    </row>
    <row r="297" spans="2:16" ht="15.5">
      <c r="C297" s="1052" t="s">
        <v>1099</v>
      </c>
      <c r="D297" s="991">
        <v>4</v>
      </c>
      <c r="E297"/>
      <c r="H297" s="1052" t="s">
        <v>43</v>
      </c>
      <c r="I297" s="991">
        <v>39</v>
      </c>
      <c r="J297" s="991">
        <v>13</v>
      </c>
      <c r="M297"/>
      <c r="N297"/>
      <c r="O297"/>
      <c r="P297"/>
    </row>
    <row r="298" spans="2:16" ht="15.5">
      <c r="C298" s="1052" t="s">
        <v>3081</v>
      </c>
      <c r="D298" s="991">
        <v>8</v>
      </c>
      <c r="E298"/>
      <c r="H298" s="1052" t="s">
        <v>1099</v>
      </c>
      <c r="I298" s="991">
        <v>1</v>
      </c>
      <c r="J298" s="991"/>
      <c r="M298"/>
      <c r="N298"/>
      <c r="O298"/>
      <c r="P298"/>
    </row>
    <row r="299" spans="2:16" ht="15.5">
      <c r="C299"/>
      <c r="D299"/>
      <c r="E299"/>
      <c r="H299" s="1052" t="s">
        <v>620</v>
      </c>
      <c r="I299" s="991"/>
      <c r="J299" s="991">
        <v>2</v>
      </c>
      <c r="M299"/>
      <c r="N299"/>
      <c r="O299"/>
      <c r="P299"/>
    </row>
    <row r="300" spans="2:16" ht="15.5">
      <c r="C300"/>
      <c r="D300"/>
      <c r="E300"/>
      <c r="H300"/>
      <c r="I300"/>
      <c r="J300"/>
      <c r="M300"/>
      <c r="N300"/>
      <c r="O300"/>
      <c r="P300"/>
    </row>
    <row r="301" spans="2:16" ht="15.5">
      <c r="C301"/>
      <c r="D301"/>
      <c r="E301"/>
      <c r="H301"/>
      <c r="I301"/>
      <c r="J301"/>
      <c r="M301"/>
      <c r="N301"/>
      <c r="O301"/>
      <c r="P301"/>
    </row>
    <row r="302" spans="2:16" ht="15.5">
      <c r="C302"/>
      <c r="D302"/>
      <c r="E302"/>
      <c r="M302"/>
      <c r="N302"/>
      <c r="O302"/>
      <c r="P302"/>
    </row>
    <row r="303" spans="2:16" ht="15.5">
      <c r="C303"/>
      <c r="D303"/>
      <c r="E303"/>
      <c r="M303"/>
      <c r="N303"/>
      <c r="O303"/>
      <c r="P303"/>
    </row>
    <row r="304" spans="2:16" ht="15.5">
      <c r="C304"/>
      <c r="D304"/>
      <c r="E304"/>
      <c r="M304"/>
      <c r="N304"/>
      <c r="O304"/>
      <c r="P304"/>
    </row>
    <row r="305" spans="1:26" ht="15.5">
      <c r="C305"/>
      <c r="D305"/>
      <c r="E305"/>
      <c r="M305"/>
      <c r="N305"/>
      <c r="O305"/>
      <c r="P305"/>
    </row>
    <row r="306" spans="1:26" ht="15.5">
      <c r="C306"/>
      <c r="D306"/>
      <c r="E306"/>
      <c r="N306"/>
      <c r="O306"/>
      <c r="P306"/>
    </row>
    <row r="307" spans="1:26" ht="15.5">
      <c r="C307"/>
      <c r="D307"/>
      <c r="E307"/>
    </row>
    <row r="308" spans="1:26" ht="15.5">
      <c r="C308"/>
      <c r="D308"/>
      <c r="E308"/>
    </row>
    <row r="309" spans="1:26" ht="15.5">
      <c r="C309"/>
      <c r="D309"/>
      <c r="E309"/>
    </row>
    <row r="310" spans="1:26" ht="15.5">
      <c r="C310"/>
      <c r="D310"/>
      <c r="E310"/>
    </row>
    <row r="311" spans="1:26" ht="15.5">
      <c r="C311"/>
      <c r="D311"/>
      <c r="E311"/>
    </row>
    <row r="312" spans="1:26">
      <c r="C312" s="992"/>
      <c r="D312" s="991"/>
      <c r="E312" s="991"/>
    </row>
    <row r="313" spans="1:26">
      <c r="C313" s="992"/>
      <c r="D313" s="991"/>
      <c r="E313" s="991"/>
    </row>
    <row r="314" spans="1:26" ht="18.5">
      <c r="A314" s="148" t="s">
        <v>1585</v>
      </c>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7" spans="1:26">
      <c r="C317" s="1050" t="s">
        <v>20</v>
      </c>
      <c r="D317" s="1051" t="s">
        <v>2977</v>
      </c>
    </row>
    <row r="318" spans="1:26">
      <c r="C318" s="1050" t="s">
        <v>34</v>
      </c>
      <c r="D318" s="1051" t="s">
        <v>1291</v>
      </c>
    </row>
    <row r="320" spans="1:26">
      <c r="C320" s="1050" t="s">
        <v>21</v>
      </c>
      <c r="D320" s="1050" t="s">
        <v>22</v>
      </c>
      <c r="E320" s="1050" t="s">
        <v>23</v>
      </c>
      <c r="F320" s="1050" t="s">
        <v>29</v>
      </c>
      <c r="G320" s="1051" t="s">
        <v>1480</v>
      </c>
      <c r="H320" s="1051" t="s">
        <v>1513</v>
      </c>
      <c r="I320" s="1051" t="s">
        <v>1514</v>
      </c>
      <c r="J320" s="1051" t="s">
        <v>1515</v>
      </c>
      <c r="K320" s="1051" t="s">
        <v>1516</v>
      </c>
      <c r="L320" s="1051" t="s">
        <v>1517</v>
      </c>
    </row>
    <row r="321" spans="3:12">
      <c r="C321" s="1051" t="s">
        <v>37</v>
      </c>
      <c r="D321" s="1051" t="s">
        <v>195</v>
      </c>
      <c r="E321" s="1051" t="s">
        <v>2895</v>
      </c>
      <c r="F321" s="1051" t="s">
        <v>43</v>
      </c>
      <c r="G321" s="991">
        <v>1</v>
      </c>
      <c r="H321" s="1053">
        <v>12</v>
      </c>
      <c r="I321" s="1053">
        <v>60</v>
      </c>
      <c r="J321" s="1058">
        <v>1</v>
      </c>
      <c r="K321" s="1058">
        <v>1</v>
      </c>
      <c r="L321" s="1058">
        <v>1</v>
      </c>
    </row>
    <row r="322" spans="3:12">
      <c r="C322" s="1051"/>
      <c r="D322" s="1051"/>
      <c r="E322" s="1051" t="s">
        <v>2885</v>
      </c>
      <c r="F322" s="1051" t="s">
        <v>2591</v>
      </c>
      <c r="G322" s="991">
        <v>1</v>
      </c>
      <c r="H322" s="1053">
        <v>181</v>
      </c>
      <c r="I322" s="1053">
        <v>906</v>
      </c>
      <c r="J322" s="1058">
        <v>1</v>
      </c>
      <c r="K322" s="1058">
        <v>1</v>
      </c>
      <c r="L322" s="1058">
        <v>1</v>
      </c>
    </row>
    <row r="323" spans="3:12">
      <c r="C323" s="1051"/>
      <c r="D323" s="1051" t="s">
        <v>148</v>
      </c>
      <c r="E323" s="1051" t="s">
        <v>257</v>
      </c>
      <c r="F323" s="1051" t="s">
        <v>588</v>
      </c>
      <c r="G323" s="991">
        <v>1</v>
      </c>
      <c r="H323" s="1053">
        <v>3</v>
      </c>
      <c r="I323" s="1053">
        <v>15</v>
      </c>
      <c r="J323" s="1058">
        <v>0</v>
      </c>
      <c r="K323" s="1058">
        <v>1</v>
      </c>
      <c r="L323" s="1058">
        <v>1</v>
      </c>
    </row>
    <row r="324" spans="3:12">
      <c r="C324" s="1051"/>
      <c r="D324" s="1051"/>
      <c r="E324" s="1051" t="s">
        <v>2886</v>
      </c>
      <c r="F324" s="1051" t="s">
        <v>43</v>
      </c>
      <c r="G324" s="991">
        <v>1</v>
      </c>
      <c r="H324" s="1053">
        <v>95</v>
      </c>
      <c r="I324" s="1053">
        <v>472</v>
      </c>
      <c r="J324" s="1058">
        <v>1</v>
      </c>
      <c r="K324" s="1058">
        <v>1</v>
      </c>
      <c r="L324" s="1058">
        <v>1</v>
      </c>
    </row>
    <row r="325" spans="3:12">
      <c r="C325" s="1051"/>
      <c r="D325" s="1051"/>
      <c r="E325" s="1051" t="s">
        <v>3003</v>
      </c>
      <c r="F325" s="1051" t="s">
        <v>588</v>
      </c>
      <c r="G325" s="991">
        <v>1</v>
      </c>
      <c r="H325" s="1053">
        <v>12</v>
      </c>
      <c r="I325" s="1053">
        <v>54</v>
      </c>
      <c r="J325" s="1058">
        <v>1</v>
      </c>
      <c r="K325" s="1058">
        <v>1</v>
      </c>
      <c r="L325" s="1058">
        <v>1</v>
      </c>
    </row>
    <row r="326" spans="3:12">
      <c r="C326" s="1051"/>
      <c r="D326" s="1051" t="s">
        <v>38</v>
      </c>
      <c r="E326" s="1051" t="s">
        <v>2584</v>
      </c>
      <c r="F326" s="1051" t="s">
        <v>2881</v>
      </c>
      <c r="G326" s="991">
        <v>1</v>
      </c>
      <c r="H326" s="1053">
        <v>86</v>
      </c>
      <c r="I326" s="1053">
        <v>450</v>
      </c>
      <c r="J326" s="1058">
        <v>1</v>
      </c>
      <c r="K326" s="1058">
        <v>1</v>
      </c>
      <c r="L326" s="1058">
        <v>1</v>
      </c>
    </row>
    <row r="327" spans="3:12">
      <c r="C327" s="1051"/>
      <c r="D327" s="1051"/>
      <c r="E327" s="1051" t="s">
        <v>2890</v>
      </c>
      <c r="F327" s="1051" t="s">
        <v>2591</v>
      </c>
      <c r="G327" s="991">
        <v>1</v>
      </c>
      <c r="H327" s="1053">
        <v>67</v>
      </c>
      <c r="I327" s="1053">
        <v>308</v>
      </c>
      <c r="J327" s="1058">
        <v>1</v>
      </c>
      <c r="K327" s="1058">
        <v>1</v>
      </c>
      <c r="L327" s="1058">
        <v>1</v>
      </c>
    </row>
    <row r="328" spans="3:12">
      <c r="C328" s="1051"/>
      <c r="D328" s="1051" t="s">
        <v>152</v>
      </c>
      <c r="E328" s="1051" t="s">
        <v>1546</v>
      </c>
      <c r="F328" s="1051" t="s">
        <v>588</v>
      </c>
      <c r="G328" s="991">
        <v>1</v>
      </c>
      <c r="H328" s="1053">
        <v>6</v>
      </c>
      <c r="I328" s="1053">
        <v>32</v>
      </c>
      <c r="J328" s="1058">
        <v>1</v>
      </c>
      <c r="K328" s="1058">
        <v>1</v>
      </c>
      <c r="L328" s="1058">
        <v>1</v>
      </c>
    </row>
    <row r="329" spans="3:12">
      <c r="C329" s="1051"/>
      <c r="D329" s="1051" t="s">
        <v>157</v>
      </c>
      <c r="E329" s="1051" t="s">
        <v>2891</v>
      </c>
      <c r="F329" s="1051" t="s">
        <v>2591</v>
      </c>
      <c r="G329" s="991">
        <v>1</v>
      </c>
      <c r="H329" s="1053">
        <v>27</v>
      </c>
      <c r="I329" s="1053">
        <v>126</v>
      </c>
      <c r="J329" s="1058">
        <v>1</v>
      </c>
      <c r="K329" s="1058">
        <v>1</v>
      </c>
      <c r="L329" s="1058">
        <v>1</v>
      </c>
    </row>
    <row r="330" spans="3:12">
      <c r="C330" s="1051"/>
      <c r="D330" s="1051"/>
      <c r="E330" s="1051" t="s">
        <v>2892</v>
      </c>
      <c r="F330" s="1051" t="s">
        <v>2591</v>
      </c>
      <c r="G330" s="991">
        <v>1</v>
      </c>
      <c r="H330" s="1053">
        <v>15</v>
      </c>
      <c r="I330" s="1053">
        <v>71</v>
      </c>
      <c r="J330" s="1058">
        <v>1</v>
      </c>
      <c r="K330" s="1058">
        <v>1</v>
      </c>
      <c r="L330" s="1058">
        <v>1</v>
      </c>
    </row>
    <row r="331" spans="3:12">
      <c r="C331" s="1051"/>
      <c r="D331" s="1051"/>
      <c r="E331" s="1051" t="s">
        <v>3004</v>
      </c>
      <c r="F331" s="1051" t="s">
        <v>588</v>
      </c>
      <c r="G331" s="991">
        <v>1</v>
      </c>
      <c r="H331" s="1053">
        <v>92</v>
      </c>
      <c r="I331" s="1053">
        <v>479</v>
      </c>
      <c r="J331" s="1058">
        <v>1</v>
      </c>
      <c r="K331" s="1058">
        <v>1</v>
      </c>
      <c r="L331" s="1058">
        <v>1</v>
      </c>
    </row>
    <row r="332" spans="3:12">
      <c r="C332" s="1051"/>
      <c r="D332" s="1051"/>
      <c r="E332" s="1051" t="s">
        <v>3009</v>
      </c>
      <c r="F332" s="1051" t="s">
        <v>2591</v>
      </c>
      <c r="G332" s="991">
        <v>1</v>
      </c>
      <c r="H332" s="1053">
        <v>542</v>
      </c>
      <c r="I332" s="1053">
        <v>2399</v>
      </c>
      <c r="J332" s="1058">
        <v>1</v>
      </c>
      <c r="K332" s="1058">
        <v>1</v>
      </c>
      <c r="L332" s="1058">
        <v>1</v>
      </c>
    </row>
    <row r="333" spans="3:12">
      <c r="C333" s="1051"/>
      <c r="D333" s="1051" t="s">
        <v>205</v>
      </c>
      <c r="E333" s="1051" t="s">
        <v>2887</v>
      </c>
      <c r="F333" s="1051" t="s">
        <v>2591</v>
      </c>
      <c r="G333" s="991">
        <v>1</v>
      </c>
      <c r="H333" s="1053">
        <v>223</v>
      </c>
      <c r="I333" s="1053">
        <v>1067</v>
      </c>
      <c r="J333" s="1058">
        <v>1</v>
      </c>
      <c r="K333" s="1058">
        <v>1</v>
      </c>
      <c r="L333" s="1058">
        <v>1</v>
      </c>
    </row>
    <row r="334" spans="3:12">
      <c r="C334" s="1051"/>
      <c r="D334" s="1051"/>
      <c r="E334" s="1051" t="s">
        <v>2884</v>
      </c>
      <c r="F334" s="1051" t="s">
        <v>2591</v>
      </c>
      <c r="G334" s="991">
        <v>1</v>
      </c>
      <c r="H334" s="1053">
        <v>15</v>
      </c>
      <c r="I334" s="1053">
        <v>101</v>
      </c>
      <c r="J334" s="1058">
        <v>1</v>
      </c>
      <c r="K334" s="1058">
        <v>1</v>
      </c>
      <c r="L334" s="1058">
        <v>1</v>
      </c>
    </row>
    <row r="335" spans="3:12">
      <c r="C335" s="1051"/>
      <c r="D335" s="1051" t="s">
        <v>184</v>
      </c>
      <c r="E335" s="1051" t="s">
        <v>2114</v>
      </c>
      <c r="F335" s="1051" t="s">
        <v>588</v>
      </c>
      <c r="G335" s="991">
        <v>1</v>
      </c>
      <c r="H335" s="1053">
        <v>31</v>
      </c>
      <c r="I335" s="1053">
        <v>171</v>
      </c>
      <c r="J335" s="1058">
        <v>1</v>
      </c>
      <c r="K335" s="1058">
        <v>1</v>
      </c>
      <c r="L335" s="1058">
        <v>1</v>
      </c>
    </row>
    <row r="336" spans="3:12">
      <c r="C336" s="1051"/>
      <c r="D336" s="1051" t="s">
        <v>142</v>
      </c>
      <c r="E336" s="1051" t="s">
        <v>778</v>
      </c>
      <c r="F336" s="1051" t="s">
        <v>588</v>
      </c>
      <c r="G336" s="991">
        <v>1</v>
      </c>
      <c r="H336" s="1053">
        <v>45</v>
      </c>
      <c r="I336" s="1053">
        <v>247</v>
      </c>
      <c r="J336" s="1058">
        <v>1</v>
      </c>
      <c r="K336" s="1058">
        <v>1</v>
      </c>
      <c r="L336" s="1058">
        <v>1</v>
      </c>
    </row>
    <row r="337" spans="3:12">
      <c r="C337" s="1051"/>
      <c r="D337" s="1051"/>
      <c r="E337" s="1051" t="s">
        <v>2719</v>
      </c>
      <c r="F337" s="1051" t="s">
        <v>588</v>
      </c>
      <c r="G337" s="991">
        <v>1</v>
      </c>
      <c r="H337" s="1053">
        <v>12</v>
      </c>
      <c r="I337" s="1053">
        <v>80</v>
      </c>
      <c r="J337" s="1058">
        <v>1</v>
      </c>
      <c r="K337" s="1058">
        <v>1</v>
      </c>
      <c r="L337" s="1058">
        <v>1</v>
      </c>
    </row>
    <row r="338" spans="3:12">
      <c r="C338" s="1051"/>
      <c r="D338" s="1051"/>
      <c r="E338" s="1051" t="s">
        <v>2720</v>
      </c>
      <c r="F338" s="1051" t="s">
        <v>588</v>
      </c>
      <c r="G338" s="991">
        <v>1</v>
      </c>
      <c r="H338" s="1053">
        <v>27</v>
      </c>
      <c r="I338" s="1053">
        <v>139</v>
      </c>
      <c r="J338" s="1058">
        <v>1</v>
      </c>
      <c r="K338" s="1058">
        <v>1</v>
      </c>
      <c r="L338" s="1058">
        <v>1</v>
      </c>
    </row>
    <row r="339" spans="3:12">
      <c r="C339" s="1051"/>
      <c r="D339" s="1051"/>
      <c r="E339" s="1051" t="s">
        <v>2723</v>
      </c>
      <c r="F339" s="1051" t="s">
        <v>588</v>
      </c>
      <c r="G339" s="991">
        <v>1</v>
      </c>
      <c r="H339" s="1053">
        <v>61</v>
      </c>
      <c r="I339" s="1053">
        <v>294</v>
      </c>
      <c r="J339" s="1058">
        <v>1</v>
      </c>
      <c r="K339" s="1058">
        <v>1</v>
      </c>
      <c r="L339" s="1058">
        <v>1</v>
      </c>
    </row>
    <row r="340" spans="3:12">
      <c r="C340" s="1051"/>
      <c r="D340" s="1051"/>
      <c r="E340" s="1051" t="s">
        <v>2726</v>
      </c>
      <c r="F340" s="1051" t="s">
        <v>588</v>
      </c>
      <c r="G340" s="991">
        <v>1</v>
      </c>
      <c r="H340" s="1053">
        <v>48</v>
      </c>
      <c r="I340" s="1053">
        <v>240</v>
      </c>
      <c r="J340" s="1058">
        <v>1</v>
      </c>
      <c r="K340" s="1058">
        <v>1</v>
      </c>
      <c r="L340" s="1058">
        <v>1</v>
      </c>
    </row>
    <row r="341" spans="3:12">
      <c r="C341" s="1051"/>
      <c r="D341" s="1051"/>
      <c r="E341" s="1051" t="s">
        <v>2727</v>
      </c>
      <c r="F341" s="1051" t="s">
        <v>588</v>
      </c>
      <c r="G341" s="991">
        <v>1</v>
      </c>
      <c r="H341" s="1053">
        <v>34</v>
      </c>
      <c r="I341" s="1053">
        <v>189</v>
      </c>
      <c r="J341" s="1058">
        <v>1</v>
      </c>
      <c r="K341" s="1058">
        <v>1</v>
      </c>
      <c r="L341" s="1058">
        <v>1</v>
      </c>
    </row>
    <row r="342" spans="3:12">
      <c r="C342" s="1051"/>
      <c r="D342" s="1051"/>
      <c r="E342" s="1051" t="s">
        <v>2583</v>
      </c>
      <c r="F342" s="1051" t="s">
        <v>2881</v>
      </c>
      <c r="G342" s="991">
        <v>1</v>
      </c>
      <c r="H342" s="1053">
        <v>95</v>
      </c>
      <c r="I342" s="1053">
        <v>499</v>
      </c>
      <c r="J342" s="1058">
        <v>1</v>
      </c>
      <c r="K342" s="1058">
        <v>1</v>
      </c>
      <c r="L342" s="1058">
        <v>1</v>
      </c>
    </row>
    <row r="343" spans="3:12">
      <c r="C343" s="1051"/>
      <c r="D343" s="1051"/>
      <c r="E343" s="1051" t="s">
        <v>3005</v>
      </c>
      <c r="F343" s="1051" t="s">
        <v>588</v>
      </c>
      <c r="G343" s="991">
        <v>1</v>
      </c>
      <c r="H343" s="1053">
        <v>25</v>
      </c>
      <c r="I343" s="1053">
        <v>115</v>
      </c>
      <c r="J343" s="1058">
        <v>1</v>
      </c>
      <c r="K343" s="1058">
        <v>1</v>
      </c>
      <c r="L343" s="1058">
        <v>1</v>
      </c>
    </row>
    <row r="344" spans="3:12">
      <c r="C344" s="1051"/>
      <c r="D344" s="1051"/>
      <c r="E344" s="1051" t="s">
        <v>3008</v>
      </c>
      <c r="F344" s="1051" t="s">
        <v>588</v>
      </c>
      <c r="G344" s="991">
        <v>1</v>
      </c>
      <c r="H344" s="1053">
        <v>24</v>
      </c>
      <c r="I344" s="1053">
        <v>130</v>
      </c>
      <c r="J344" s="1058">
        <v>1</v>
      </c>
      <c r="K344" s="1058">
        <v>1</v>
      </c>
      <c r="L344" s="1058">
        <v>1</v>
      </c>
    </row>
    <row r="345" spans="3:12">
      <c r="C345" s="1051"/>
      <c r="D345" s="1051"/>
      <c r="E345" s="1051" t="s">
        <v>3010</v>
      </c>
      <c r="F345" s="1051" t="s">
        <v>588</v>
      </c>
      <c r="G345" s="991">
        <v>1</v>
      </c>
      <c r="H345" s="1053">
        <v>52</v>
      </c>
      <c r="I345" s="1053">
        <v>318</v>
      </c>
      <c r="J345" s="1058">
        <v>1</v>
      </c>
      <c r="K345" s="1058">
        <v>1</v>
      </c>
      <c r="L345" s="1058">
        <v>1</v>
      </c>
    </row>
    <row r="346" spans="3:12">
      <c r="C346" s="1051"/>
      <c r="D346" s="1051"/>
      <c r="E346" s="1051" t="s">
        <v>3007</v>
      </c>
      <c r="F346" s="1051" t="s">
        <v>588</v>
      </c>
      <c r="G346" s="991">
        <v>1</v>
      </c>
      <c r="H346" s="1053">
        <v>33</v>
      </c>
      <c r="I346" s="1053">
        <v>178</v>
      </c>
      <c r="J346" s="1058">
        <v>1</v>
      </c>
      <c r="K346" s="1058">
        <v>1</v>
      </c>
      <c r="L346" s="1058">
        <v>1</v>
      </c>
    </row>
    <row r="347" spans="3:12">
      <c r="C347" s="1051"/>
      <c r="D347" s="1051"/>
      <c r="E347" s="1051" t="s">
        <v>2995</v>
      </c>
      <c r="F347" s="1051" t="s">
        <v>588</v>
      </c>
      <c r="G347" s="991">
        <v>1</v>
      </c>
      <c r="H347" s="1053">
        <v>30</v>
      </c>
      <c r="I347" s="1053">
        <v>157</v>
      </c>
      <c r="J347" s="1058">
        <v>1</v>
      </c>
      <c r="K347" s="1058">
        <v>1</v>
      </c>
      <c r="L347" s="1058">
        <v>1</v>
      </c>
    </row>
    <row r="348" spans="3:12">
      <c r="C348" s="1051"/>
      <c r="D348" s="1051"/>
      <c r="E348" s="1051" t="s">
        <v>3006</v>
      </c>
      <c r="F348" s="1051" t="s">
        <v>588</v>
      </c>
      <c r="G348" s="991">
        <v>1</v>
      </c>
      <c r="H348" s="1053">
        <v>16</v>
      </c>
      <c r="I348" s="1053">
        <v>76</v>
      </c>
      <c r="J348" s="1058">
        <v>1</v>
      </c>
      <c r="K348" s="1058">
        <v>1</v>
      </c>
      <c r="L348" s="1058">
        <v>1</v>
      </c>
    </row>
    <row r="349" spans="3:12">
      <c r="C349" s="1051"/>
      <c r="D349" s="1051" t="s">
        <v>587</v>
      </c>
      <c r="E349" s="1051" t="s">
        <v>2996</v>
      </c>
      <c r="F349" s="1051" t="s">
        <v>588</v>
      </c>
      <c r="G349" s="991">
        <v>1</v>
      </c>
      <c r="H349" s="1053">
        <v>42</v>
      </c>
      <c r="I349" s="1053">
        <v>112</v>
      </c>
      <c r="J349" s="1058">
        <v>1</v>
      </c>
      <c r="K349" s="1058">
        <v>1</v>
      </c>
      <c r="L349" s="1058">
        <v>1</v>
      </c>
    </row>
    <row r="350" spans="3:12">
      <c r="C350" s="1051" t="s">
        <v>1489</v>
      </c>
      <c r="D350" s="1051"/>
      <c r="E350" s="1051"/>
      <c r="F350" s="1051"/>
      <c r="G350" s="991">
        <v>29</v>
      </c>
      <c r="H350" s="1053">
        <v>1951</v>
      </c>
      <c r="I350" s="1053">
        <v>9485</v>
      </c>
      <c r="J350" s="1058">
        <v>0.96551724137931039</v>
      </c>
      <c r="K350" s="1058">
        <v>1</v>
      </c>
      <c r="L350" s="1058">
        <v>1</v>
      </c>
    </row>
    <row r="351" spans="3:12" ht="15.5">
      <c r="C351"/>
      <c r="D351"/>
      <c r="E351"/>
      <c r="F351"/>
      <c r="G351"/>
      <c r="H351"/>
      <c r="I351"/>
      <c r="J351"/>
      <c r="K351"/>
      <c r="L351"/>
    </row>
    <row r="352" spans="3:12" ht="15.5">
      <c r="C352"/>
      <c r="D352"/>
      <c r="E352"/>
      <c r="F352"/>
      <c r="G352"/>
      <c r="H352"/>
      <c r="I352"/>
      <c r="J352"/>
      <c r="K352"/>
      <c r="L352"/>
    </row>
    <row r="353" spans="3:12" ht="15.5">
      <c r="C353"/>
      <c r="D353"/>
      <c r="E353"/>
      <c r="F353"/>
      <c r="G353"/>
      <c r="H353"/>
      <c r="I353"/>
      <c r="J353"/>
      <c r="K353"/>
      <c r="L353"/>
    </row>
    <row r="354" spans="3:12" ht="15.5">
      <c r="C354"/>
      <c r="D354"/>
      <c r="E354"/>
      <c r="F354"/>
      <c r="G354"/>
      <c r="H354"/>
      <c r="I354"/>
      <c r="J354"/>
      <c r="K354"/>
      <c r="L354"/>
    </row>
    <row r="355" spans="3:12" ht="15.5">
      <c r="C355"/>
      <c r="D355"/>
      <c r="E355"/>
      <c r="F355"/>
      <c r="G355"/>
      <c r="H355"/>
      <c r="I355"/>
      <c r="J355"/>
      <c r="K355"/>
      <c r="L355"/>
    </row>
    <row r="356" spans="3:12" ht="15.5">
      <c r="C356"/>
      <c r="D356"/>
      <c r="E356"/>
      <c r="F356"/>
      <c r="G356"/>
      <c r="H356"/>
      <c r="I356"/>
      <c r="J356"/>
      <c r="K356"/>
      <c r="L356"/>
    </row>
    <row r="357" spans="3:12" ht="15.5">
      <c r="C357"/>
      <c r="D357"/>
      <c r="E357"/>
      <c r="F357"/>
      <c r="G357"/>
      <c r="H357"/>
      <c r="I357"/>
      <c r="J357"/>
      <c r="K357"/>
      <c r="L357"/>
    </row>
    <row r="358" spans="3:12" ht="15.5">
      <c r="C358"/>
      <c r="D358"/>
      <c r="E358"/>
      <c r="F358"/>
      <c r="G358"/>
      <c r="H358"/>
      <c r="I358"/>
      <c r="J358"/>
      <c r="K358"/>
      <c r="L358"/>
    </row>
    <row r="359" spans="3:12" ht="15.5">
      <c r="C359"/>
      <c r="D359"/>
      <c r="E359"/>
      <c r="F359"/>
      <c r="G359"/>
      <c r="H359"/>
      <c r="I359"/>
      <c r="J359"/>
      <c r="K359"/>
      <c r="L359"/>
    </row>
    <row r="360" spans="3:12" ht="15.5">
      <c r="C360"/>
      <c r="D360"/>
      <c r="E360"/>
      <c r="F360"/>
      <c r="G360"/>
      <c r="H360"/>
      <c r="I360"/>
      <c r="J360"/>
      <c r="K360"/>
      <c r="L360"/>
    </row>
    <row r="361" spans="3:12" ht="15.5">
      <c r="C361"/>
      <c r="D361"/>
      <c r="E361"/>
      <c r="F361"/>
      <c r="G361"/>
      <c r="H361"/>
      <c r="I361"/>
      <c r="J361"/>
      <c r="K361"/>
      <c r="L361"/>
    </row>
    <row r="362" spans="3:12" ht="15.5">
      <c r="C362"/>
      <c r="D362"/>
      <c r="E362"/>
      <c r="F362"/>
      <c r="G362"/>
      <c r="H362"/>
      <c r="I362"/>
      <c r="J362"/>
      <c r="K362"/>
      <c r="L362"/>
    </row>
    <row r="363" spans="3:12" ht="15.5">
      <c r="C363"/>
      <c r="D363"/>
      <c r="E363"/>
      <c r="F363"/>
      <c r="G363"/>
      <c r="H363"/>
      <c r="I363"/>
      <c r="J363"/>
      <c r="K363"/>
      <c r="L363"/>
    </row>
    <row r="364" spans="3:12" ht="15.5">
      <c r="C364"/>
      <c r="D364"/>
      <c r="E364"/>
      <c r="F364"/>
      <c r="G364"/>
      <c r="H364"/>
      <c r="I364"/>
      <c r="J364"/>
      <c r="K364"/>
      <c r="L364"/>
    </row>
    <row r="365" spans="3:12" ht="15.5">
      <c r="C365"/>
      <c r="D365"/>
      <c r="E365"/>
      <c r="F365"/>
      <c r="G365"/>
      <c r="H365"/>
      <c r="I365"/>
      <c r="J365"/>
      <c r="K365"/>
      <c r="L365"/>
    </row>
    <row r="366" spans="3:12" ht="15.5">
      <c r="C366"/>
      <c r="D366"/>
      <c r="E366"/>
      <c r="F366"/>
      <c r="G366"/>
      <c r="H366"/>
      <c r="I366"/>
      <c r="J366"/>
      <c r="K366"/>
      <c r="L366"/>
    </row>
    <row r="367" spans="3:12">
      <c r="C367" s="100"/>
      <c r="D367" s="100"/>
      <c r="E367" s="100"/>
      <c r="F367" s="100"/>
      <c r="G367" s="100"/>
      <c r="H367" s="100"/>
      <c r="I367" s="100"/>
      <c r="J367" s="100"/>
      <c r="K367" s="100"/>
    </row>
    <row r="368" spans="3:12">
      <c r="C368" s="100"/>
      <c r="D368" s="100"/>
      <c r="E368" s="100"/>
      <c r="F368" s="100"/>
      <c r="G368" s="100"/>
      <c r="H368" s="100"/>
      <c r="I368" s="100"/>
      <c r="J368" s="100"/>
      <c r="K368" s="100"/>
    </row>
    <row r="369" spans="1:25" ht="18.5">
      <c r="A369" s="149" t="s">
        <v>1518</v>
      </c>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row>
    <row r="370" spans="1:25">
      <c r="C370" s="1050" t="s">
        <v>20</v>
      </c>
      <c r="D370" s="1051" t="s">
        <v>2977</v>
      </c>
      <c r="E370" s="100"/>
      <c r="F370" s="100"/>
      <c r="G370" s="100"/>
      <c r="H370" s="100"/>
      <c r="I370" s="100"/>
      <c r="J370" s="100"/>
      <c r="K370" s="100"/>
    </row>
    <row r="371" spans="1:25">
      <c r="C371" s="1050" t="s">
        <v>34</v>
      </c>
      <c r="D371" s="1051" t="s">
        <v>34</v>
      </c>
      <c r="F371" s="100"/>
      <c r="G371" s="100"/>
      <c r="H371" s="100"/>
      <c r="I371" s="100"/>
      <c r="J371" s="100"/>
      <c r="K371" s="100"/>
    </row>
    <row r="372" spans="1:25">
      <c r="C372" s="1050" t="s">
        <v>35</v>
      </c>
      <c r="D372" s="1051" t="s">
        <v>3147</v>
      </c>
      <c r="F372" s="100"/>
      <c r="G372" s="100"/>
      <c r="H372" s="100"/>
      <c r="I372" s="100"/>
      <c r="J372" s="100"/>
      <c r="K372" s="100"/>
    </row>
    <row r="373" spans="1:25">
      <c r="C373" s="402"/>
      <c r="F373" s="100"/>
      <c r="G373" s="100"/>
      <c r="H373" s="100"/>
      <c r="I373" s="100"/>
      <c r="J373" s="100"/>
      <c r="K373" s="100"/>
    </row>
    <row r="374" spans="1:25" s="392" customFormat="1" ht="87">
      <c r="C374" s="1056" t="s">
        <v>21</v>
      </c>
      <c r="D374" s="1057" t="s">
        <v>2800</v>
      </c>
      <c r="E374" s="1057" t="s">
        <v>2123</v>
      </c>
      <c r="F374" s="1057" t="s">
        <v>2124</v>
      </c>
      <c r="G374" s="1057" t="s">
        <v>2801</v>
      </c>
      <c r="H374" s="1057" t="s">
        <v>2799</v>
      </c>
      <c r="I374" s="1057" t="s">
        <v>2363</v>
      </c>
      <c r="J374" s="394"/>
      <c r="K374" s="394"/>
    </row>
    <row r="375" spans="1:25">
      <c r="C375" s="1052" t="s">
        <v>37</v>
      </c>
      <c r="D375" s="1053">
        <v>175</v>
      </c>
      <c r="E375" s="1053">
        <v>54</v>
      </c>
      <c r="F375" s="1053">
        <v>97</v>
      </c>
      <c r="G375" s="1053">
        <v>45</v>
      </c>
      <c r="H375" s="1053">
        <v>7</v>
      </c>
      <c r="I375" s="1053">
        <v>9.5</v>
      </c>
      <c r="J375" s="100"/>
      <c r="K375" s="100"/>
    </row>
    <row r="376" spans="1:25">
      <c r="C376" s="1052" t="s">
        <v>515</v>
      </c>
      <c r="D376" s="1053">
        <v>11</v>
      </c>
      <c r="E376" s="1053"/>
      <c r="F376" s="1053">
        <v>25</v>
      </c>
      <c r="G376" s="1053">
        <v>6</v>
      </c>
      <c r="H376" s="1053"/>
      <c r="I376" s="1053"/>
      <c r="J376" s="100"/>
      <c r="K376" s="100"/>
    </row>
    <row r="377" spans="1:25" ht="15.5">
      <c r="C377"/>
      <c r="D377"/>
      <c r="E377"/>
      <c r="F377"/>
      <c r="G377"/>
      <c r="H377"/>
      <c r="I377"/>
      <c r="J377" s="100"/>
      <c r="K377" s="100"/>
    </row>
    <row r="378" spans="1:25" ht="15.5">
      <c r="C378"/>
      <c r="D378"/>
      <c r="E378"/>
      <c r="F378"/>
      <c r="G378"/>
      <c r="H378"/>
      <c r="I378"/>
      <c r="J378" s="100"/>
      <c r="K378" s="100"/>
    </row>
    <row r="379" spans="1:25" ht="15" thickBot="1">
      <c r="C379" s="403"/>
      <c r="D379" s="100"/>
      <c r="E379" s="100"/>
      <c r="F379" s="100"/>
      <c r="G379" s="100"/>
      <c r="H379" s="100"/>
      <c r="I379" s="100"/>
      <c r="J379" s="100"/>
      <c r="K379" s="100"/>
    </row>
    <row r="380" spans="1:25" s="392" customFormat="1" ht="73" thickBot="1">
      <c r="C380" s="393" t="s">
        <v>21</v>
      </c>
      <c r="D380" s="389" t="s">
        <v>2362</v>
      </c>
      <c r="E380" s="389" t="s">
        <v>2125</v>
      </c>
      <c r="F380" s="389" t="s">
        <v>2797</v>
      </c>
      <c r="G380" s="389" t="s">
        <v>2798</v>
      </c>
      <c r="H380" s="389" t="s">
        <v>2802</v>
      </c>
      <c r="I380" s="390" t="s">
        <v>2803</v>
      </c>
      <c r="J380" s="394"/>
    </row>
    <row r="381" spans="1:25">
      <c r="C381" s="114" t="s">
        <v>37</v>
      </c>
      <c r="D381" s="764">
        <f>GETPIVOTDATA(" # of hand washing stations with soap in TLS",$C$374,"State","Kachin")</f>
        <v>97</v>
      </c>
      <c r="E381" s="764">
        <f>GETPIVOTDATA(" #_Hygiene Promotion activities (sessions) in TLS?",$C$374,"State","Kachin")</f>
        <v>54</v>
      </c>
      <c r="F381" s="764">
        <f>GETPIVOTDATA("  functional latrines in TLS/CFS supported by WASH partners during the reporting period",$C$374,"State","Kachin")</f>
        <v>175</v>
      </c>
      <c r="G381" s="764">
        <f>GETPIVOTDATA(" #_of water points in TLS/CFS",$C$374,"State","Kachin")</f>
        <v>45</v>
      </c>
      <c r="H381" s="764">
        <f>GETPIVOTDATA("Sum of #_of water points in THF",$C$374,"State","Kachin")</f>
        <v>7</v>
      </c>
      <c r="I381" s="764">
        <f>GETPIVOTDATA("Sum of # of functional latrines in THF supported by WASH partners during the reporting period2",$C$374,"State","Kachin")</f>
        <v>9.5</v>
      </c>
      <c r="J381" s="100"/>
    </row>
    <row r="382" spans="1:25">
      <c r="C382" s="114" t="s">
        <v>515</v>
      </c>
      <c r="D382" s="765">
        <f>GETPIVOTDATA(" # of hand washing stations with soap in TLS",$C$374,"State","Shan (North)")</f>
        <v>25</v>
      </c>
      <c r="E382" s="765">
        <f>GETPIVOTDATA(" #_Hygiene Promotion activities (sessions) in TLS?",$C$374,"State","Shan (North)")</f>
        <v>0</v>
      </c>
      <c r="F382" s="765">
        <f>GETPIVOTDATA("  functional latrines in TLS/CFS supported by WASH partners during the reporting period",$C$374,"State","Shan (North)")</f>
        <v>11</v>
      </c>
      <c r="G382" s="765">
        <f>GETPIVOTDATA(" #_of water points in TLS/CFS",$C$374,"State","Shan (North)")</f>
        <v>6</v>
      </c>
      <c r="H382" s="765">
        <f>GETPIVOTDATA("Sum of #_of water points in THF",$C$374,"State","Shan (North)")</f>
        <v>0</v>
      </c>
      <c r="I382" s="766">
        <f>GETPIVOTDATA("Sum of # of functional latrines in THF supported by WASH partners during the reporting period2",$C$374,"State","Shan (North)")</f>
        <v>0</v>
      </c>
      <c r="J382" s="100"/>
    </row>
    <row r="383" spans="1:25">
      <c r="C383" s="100"/>
      <c r="D383" s="100"/>
      <c r="E383" s="100"/>
      <c r="F383" s="100"/>
      <c r="G383" s="100"/>
      <c r="H383" s="100"/>
      <c r="I383" s="100"/>
      <c r="J383" s="100"/>
      <c r="K383" s="100"/>
    </row>
    <row r="384" spans="1:25">
      <c r="C384" s="100"/>
      <c r="D384" s="100"/>
      <c r="E384" s="100"/>
      <c r="F384" s="100"/>
      <c r="G384" s="100"/>
      <c r="H384" s="100"/>
      <c r="I384" s="100"/>
      <c r="J384" s="100"/>
      <c r="K384" s="100"/>
    </row>
    <row r="385" spans="3:11">
      <c r="C385" s="100"/>
      <c r="D385" s="100"/>
      <c r="E385" s="100"/>
      <c r="F385" s="100"/>
      <c r="G385" s="100"/>
      <c r="H385" s="100"/>
      <c r="I385" s="100"/>
      <c r="J385" s="100"/>
      <c r="K385" s="100"/>
    </row>
    <row r="386" spans="3:11">
      <c r="C386" s="100"/>
      <c r="D386" s="100"/>
      <c r="E386" s="100"/>
      <c r="F386" s="100"/>
      <c r="G386" s="100"/>
      <c r="H386" s="100"/>
      <c r="I386" s="100"/>
      <c r="J386" s="100"/>
      <c r="K386" s="100"/>
    </row>
    <row r="387" spans="3:11">
      <c r="C387" s="100"/>
      <c r="D387" s="100"/>
      <c r="E387" s="100"/>
      <c r="F387" s="100"/>
      <c r="G387" s="100"/>
      <c r="H387" s="100"/>
      <c r="I387" s="100"/>
      <c r="J387" s="100"/>
      <c r="K387" s="100"/>
    </row>
    <row r="388" spans="3:11">
      <c r="C388" s="100"/>
      <c r="D388" s="100"/>
      <c r="E388" s="100"/>
      <c r="F388" s="100"/>
      <c r="G388" s="100"/>
      <c r="H388" s="100"/>
      <c r="I388" s="100"/>
      <c r="J388" s="100"/>
      <c r="K388" s="100"/>
    </row>
    <row r="389" spans="3:11">
      <c r="C389" s="100"/>
      <c r="D389" s="100"/>
      <c r="E389" s="100"/>
      <c r="F389" s="100"/>
      <c r="G389" s="100"/>
      <c r="H389" s="100"/>
      <c r="I389" s="100"/>
      <c r="J389" s="100"/>
      <c r="K389" s="100"/>
    </row>
    <row r="390" spans="3:11">
      <c r="C390" s="100"/>
      <c r="D390" s="100"/>
      <c r="E390" s="100"/>
      <c r="F390" s="100"/>
      <c r="G390" s="100"/>
      <c r="H390" s="100"/>
      <c r="I390" s="100"/>
      <c r="J390" s="100"/>
      <c r="K390" s="100"/>
    </row>
    <row r="391" spans="3:11">
      <c r="C391" s="100"/>
      <c r="D391" s="100"/>
      <c r="E391" s="100"/>
      <c r="F391" s="100"/>
      <c r="G391" s="100"/>
      <c r="H391" s="100"/>
      <c r="I391" s="100"/>
      <c r="J391" s="100"/>
      <c r="K391" s="100"/>
    </row>
    <row r="392" spans="3:11">
      <c r="C392" s="100"/>
      <c r="D392" s="100"/>
      <c r="E392" s="100"/>
      <c r="F392" s="100"/>
      <c r="G392" s="100"/>
      <c r="H392" s="100"/>
      <c r="I392" s="100"/>
      <c r="J392" s="100"/>
      <c r="K392" s="100"/>
    </row>
    <row r="393" spans="3:11">
      <c r="C393" s="100"/>
      <c r="D393" s="100"/>
      <c r="E393" s="100"/>
      <c r="F393" s="100"/>
      <c r="G393" s="100"/>
      <c r="H393" s="100"/>
      <c r="I393" s="100"/>
      <c r="J393" s="100"/>
      <c r="K393" s="100"/>
    </row>
    <row r="394" spans="3:11">
      <c r="C394" s="100"/>
      <c r="D394" s="100"/>
      <c r="E394" s="100"/>
      <c r="F394" s="100"/>
      <c r="G394" s="100"/>
      <c r="H394" s="100"/>
      <c r="I394" s="100"/>
      <c r="J394" s="100"/>
      <c r="K394" s="100"/>
    </row>
    <row r="395" spans="3:11">
      <c r="C395" s="100"/>
      <c r="D395" s="100"/>
      <c r="E395" s="100"/>
      <c r="F395" s="100"/>
      <c r="G395" s="100"/>
      <c r="H395" s="100"/>
      <c r="I395" s="100"/>
      <c r="J395" s="100"/>
      <c r="K395" s="100"/>
    </row>
    <row r="396" spans="3:11">
      <c r="C396" s="100"/>
      <c r="D396" s="100"/>
      <c r="E396" s="100"/>
      <c r="F396" s="100"/>
      <c r="G396" s="100"/>
      <c r="H396" s="100"/>
      <c r="I396" s="100"/>
      <c r="J396" s="100"/>
      <c r="K396" s="100"/>
    </row>
    <row r="397" spans="3:11">
      <c r="C397" s="100"/>
      <c r="D397" s="100"/>
      <c r="E397" s="100"/>
      <c r="F397" s="100"/>
      <c r="G397" s="100"/>
      <c r="H397" s="100"/>
      <c r="I397" s="100"/>
      <c r="J397" s="100"/>
      <c r="K397" s="100"/>
    </row>
    <row r="398" spans="3:11">
      <c r="C398" s="100"/>
      <c r="D398" s="100"/>
      <c r="E398" s="100"/>
      <c r="F398" s="100"/>
      <c r="G398" s="100"/>
      <c r="H398" s="100"/>
      <c r="I398" s="100"/>
      <c r="J398" s="100"/>
      <c r="K398" s="100"/>
    </row>
    <row r="399" spans="3:11">
      <c r="C399" s="100"/>
      <c r="D399" s="100"/>
      <c r="E399" s="100"/>
      <c r="F399" s="100"/>
      <c r="G399" s="100"/>
      <c r="H399" s="100"/>
      <c r="I399" s="100"/>
      <c r="J399" s="100"/>
      <c r="K399" s="100"/>
    </row>
    <row r="400" spans="3:11">
      <c r="C400" s="100"/>
      <c r="D400" s="100"/>
      <c r="E400" s="100"/>
      <c r="F400" s="100"/>
      <c r="G400" s="100"/>
      <c r="H400" s="100"/>
      <c r="I400" s="100"/>
      <c r="J400" s="100"/>
      <c r="K400" s="100"/>
    </row>
    <row r="401" spans="1:42">
      <c r="C401" s="100"/>
      <c r="D401" s="100"/>
      <c r="E401" s="100"/>
      <c r="F401" s="100"/>
      <c r="G401" s="100"/>
      <c r="H401" s="100"/>
      <c r="I401" s="100"/>
      <c r="J401" s="100"/>
      <c r="K401" s="100"/>
    </row>
    <row r="402" spans="1:42" s="493" customFormat="1" ht="18.5">
      <c r="A402" s="491" t="s">
        <v>2224</v>
      </c>
      <c r="B402" s="492"/>
      <c r="C402" s="492"/>
      <c r="D402" s="492"/>
      <c r="E402" s="492"/>
      <c r="F402" s="492"/>
      <c r="G402" s="492"/>
      <c r="H402" s="492"/>
      <c r="I402" s="492"/>
      <c r="J402" s="492"/>
      <c r="K402" s="492"/>
      <c r="L402" s="492"/>
      <c r="M402" s="492"/>
      <c r="N402" s="492"/>
      <c r="O402" s="492"/>
      <c r="P402" s="492"/>
      <c r="Q402" s="492"/>
      <c r="R402" s="492"/>
      <c r="S402" s="492"/>
      <c r="T402" s="492"/>
      <c r="U402" s="492"/>
      <c r="V402" s="492"/>
      <c r="W402" s="492"/>
      <c r="X402" s="492"/>
      <c r="Y402" s="492"/>
    </row>
    <row r="403" spans="1:42">
      <c r="C403" s="1050" t="s">
        <v>34</v>
      </c>
      <c r="D403" s="1051" t="s">
        <v>34</v>
      </c>
      <c r="E403" s="100"/>
      <c r="F403" s="100"/>
      <c r="G403" s="100"/>
      <c r="H403" s="100"/>
      <c r="I403" s="100"/>
      <c r="J403" s="100"/>
      <c r="K403" s="100"/>
    </row>
    <row r="404" spans="1:42">
      <c r="C404" s="1050" t="s">
        <v>134</v>
      </c>
      <c r="D404" s="1051" t="s">
        <v>1476</v>
      </c>
      <c r="E404" s="100"/>
      <c r="F404" s="100"/>
      <c r="G404" s="100"/>
      <c r="H404" s="100"/>
      <c r="I404" s="100"/>
      <c r="J404" s="100"/>
      <c r="K404" s="100"/>
    </row>
    <row r="405" spans="1:42">
      <c r="C405" s="1050" t="s">
        <v>21</v>
      </c>
      <c r="D405" s="1051" t="s">
        <v>37</v>
      </c>
      <c r="F405" s="100"/>
      <c r="G405" s="100"/>
      <c r="H405" s="100"/>
      <c r="I405" s="100"/>
      <c r="J405" s="100"/>
      <c r="K405" s="100"/>
    </row>
    <row r="406" spans="1:42">
      <c r="C406" s="1050" t="s">
        <v>35</v>
      </c>
      <c r="D406" s="1051" t="s">
        <v>3147</v>
      </c>
      <c r="F406" s="100"/>
      <c r="G406" s="100"/>
      <c r="H406" s="100"/>
      <c r="I406" s="100"/>
      <c r="J406" s="100"/>
      <c r="K406" s="100"/>
    </row>
    <row r="407" spans="1:42">
      <c r="F407" s="100"/>
      <c r="G407" s="100"/>
      <c r="H407" s="100"/>
      <c r="I407" s="100"/>
      <c r="J407" s="100"/>
      <c r="K407" s="100"/>
    </row>
    <row r="408" spans="1:42" ht="15.5">
      <c r="C408" s="1051"/>
      <c r="D408" s="1050" t="s">
        <v>1477</v>
      </c>
      <c r="E408"/>
      <c r="F408"/>
      <c r="G408"/>
      <c r="H408" s="100"/>
      <c r="I408" s="100"/>
      <c r="J408" s="100"/>
      <c r="K408" s="100"/>
    </row>
    <row r="409" spans="1:42" ht="15.5">
      <c r="C409" s="1050" t="s">
        <v>1478</v>
      </c>
      <c r="D409" s="1051" t="s">
        <v>2977</v>
      </c>
      <c r="E409"/>
      <c r="F409"/>
      <c r="G409"/>
      <c r="H409" s="494"/>
      <c r="I409" s="494"/>
      <c r="J409" s="494"/>
      <c r="K409" s="494"/>
      <c r="L409" s="374"/>
      <c r="M409" s="374"/>
      <c r="N409" s="374"/>
      <c r="O409" s="374"/>
      <c r="P409" s="374"/>
      <c r="Q409" s="374"/>
      <c r="R409" s="374"/>
      <c r="S409" s="374"/>
      <c r="T409" s="374"/>
      <c r="U409" s="374"/>
      <c r="V409" s="374"/>
      <c r="W409" s="374"/>
      <c r="X409" s="374"/>
      <c r="Y409" s="374"/>
      <c r="Z409" s="374"/>
      <c r="AA409" s="374"/>
      <c r="AB409" s="374"/>
      <c r="AC409" s="374"/>
      <c r="AD409" s="374"/>
      <c r="AE409" s="374"/>
      <c r="AF409" s="374"/>
      <c r="AG409" s="374"/>
      <c r="AH409" s="374"/>
      <c r="AI409" s="374"/>
      <c r="AJ409" s="374"/>
      <c r="AK409" s="374"/>
      <c r="AL409" s="374"/>
      <c r="AM409" s="374"/>
      <c r="AN409" s="374"/>
      <c r="AO409" s="374"/>
      <c r="AP409" s="374"/>
    </row>
    <row r="410" spans="1:42" ht="15.5">
      <c r="C410" s="1052" t="s">
        <v>2228</v>
      </c>
      <c r="D410" s="1058">
        <v>0.86780487804878048</v>
      </c>
      <c r="E410"/>
      <c r="F410"/>
      <c r="G410"/>
      <c r="H410" s="696">
        <f>AVERAGE(D410:G410)</f>
        <v>0.86780487804878048</v>
      </c>
      <c r="I410" s="100"/>
      <c r="J410" s="100"/>
      <c r="K410" s="100"/>
    </row>
    <row r="411" spans="1:42" ht="15.5">
      <c r="C411" s="1052" t="s">
        <v>2229</v>
      </c>
      <c r="D411" s="1058">
        <v>0.85650000000000015</v>
      </c>
      <c r="E411"/>
      <c r="F411"/>
      <c r="G411"/>
      <c r="H411" s="696">
        <f>AVERAGE(D411:G411)</f>
        <v>0.85650000000000015</v>
      </c>
      <c r="I411" s="100"/>
      <c r="J411" s="100"/>
      <c r="K411" s="100"/>
    </row>
    <row r="412" spans="1:42" ht="15.5">
      <c r="C412" s="1052" t="s">
        <v>2230</v>
      </c>
      <c r="D412" s="1058">
        <v>0.82594594594594584</v>
      </c>
      <c r="E412"/>
      <c r="F412"/>
      <c r="G412"/>
      <c r="H412" s="696">
        <f>AVERAGE(D412:G412)</f>
        <v>0.82594594594594584</v>
      </c>
      <c r="I412" s="100"/>
      <c r="J412" s="100"/>
      <c r="K412" s="100"/>
    </row>
    <row r="413" spans="1:42" ht="15.5">
      <c r="C413" s="1052" t="s">
        <v>2251</v>
      </c>
      <c r="D413" s="1058">
        <v>8.800912246350269E-2</v>
      </c>
      <c r="E413"/>
      <c r="F413"/>
      <c r="G413"/>
      <c r="H413" s="696" t="e">
        <f>AVERAGE(E413:G413)</f>
        <v>#DIV/0!</v>
      </c>
      <c r="I413" s="100"/>
      <c r="J413" s="100"/>
      <c r="K413" s="100"/>
    </row>
    <row r="414" spans="1:42">
      <c r="C414" s="100"/>
      <c r="D414" s="100"/>
      <c r="E414" s="100"/>
      <c r="F414" s="100"/>
      <c r="G414" s="100"/>
      <c r="H414" s="100"/>
      <c r="I414" s="100"/>
      <c r="J414" s="100"/>
      <c r="K414" s="100"/>
    </row>
    <row r="415" spans="1:42">
      <c r="C415" s="100"/>
      <c r="D415" s="100"/>
      <c r="E415" s="100"/>
      <c r="F415" s="100"/>
      <c r="G415" s="100"/>
      <c r="H415" s="100"/>
      <c r="I415" s="100"/>
      <c r="J415" s="100"/>
      <c r="K415" s="100"/>
    </row>
    <row r="416" spans="1:42">
      <c r="C416" s="100"/>
      <c r="D416" s="100"/>
      <c r="E416" s="100"/>
      <c r="F416" s="100"/>
      <c r="G416" s="100"/>
      <c r="H416" s="100"/>
      <c r="I416" s="100"/>
      <c r="J416" s="100"/>
      <c r="K416" s="100"/>
    </row>
    <row r="417" spans="3:11">
      <c r="C417" s="100"/>
      <c r="D417" s="100"/>
      <c r="E417" s="100"/>
      <c r="F417" s="100"/>
      <c r="G417" s="100"/>
      <c r="H417" s="100"/>
      <c r="I417" s="100"/>
      <c r="J417" s="100"/>
      <c r="K417" s="100"/>
    </row>
    <row r="418" spans="3:11">
      <c r="C418" s="801"/>
      <c r="D418" s="801"/>
      <c r="E418" s="100"/>
      <c r="F418" s="100"/>
      <c r="G418" s="100"/>
      <c r="H418" s="100"/>
      <c r="I418" s="100"/>
      <c r="J418" s="100"/>
      <c r="K418" s="100"/>
    </row>
    <row r="419" spans="3:11">
      <c r="C419" s="1050" t="s">
        <v>34</v>
      </c>
      <c r="D419" s="1051" t="s">
        <v>34</v>
      </c>
      <c r="E419" s="100"/>
      <c r="F419" s="100"/>
      <c r="G419" s="100"/>
      <c r="H419" s="100"/>
      <c r="I419" s="100"/>
      <c r="J419" s="100"/>
      <c r="K419" s="100"/>
    </row>
    <row r="420" spans="3:11">
      <c r="C420" s="1050" t="s">
        <v>134</v>
      </c>
      <c r="D420" s="1051" t="s">
        <v>1476</v>
      </c>
      <c r="F420" s="100"/>
      <c r="G420" s="100"/>
      <c r="H420" s="100"/>
      <c r="I420" s="100"/>
      <c r="J420" s="100"/>
      <c r="K420" s="100"/>
    </row>
    <row r="421" spans="3:11">
      <c r="C421" s="1050" t="s">
        <v>21</v>
      </c>
      <c r="D421" s="1051" t="s">
        <v>515</v>
      </c>
      <c r="F421" s="100"/>
      <c r="G421" s="100"/>
      <c r="H421" s="100"/>
      <c r="I421" s="100"/>
      <c r="J421" s="100"/>
      <c r="K421" s="100"/>
    </row>
    <row r="422" spans="3:11">
      <c r="F422" s="100"/>
      <c r="G422" s="100"/>
      <c r="H422" s="100"/>
      <c r="I422" s="100"/>
      <c r="J422" s="100"/>
      <c r="K422" s="100"/>
    </row>
    <row r="423" spans="3:11" ht="15.5">
      <c r="C423" s="1051"/>
      <c r="D423" s="1050" t="s">
        <v>1477</v>
      </c>
      <c r="E423"/>
      <c r="F423"/>
      <c r="G423"/>
      <c r="H423" s="494"/>
      <c r="I423" s="494"/>
      <c r="J423" s="494"/>
      <c r="K423" s="494"/>
    </row>
    <row r="424" spans="3:11" ht="15.5">
      <c r="C424" s="1050" t="s">
        <v>1478</v>
      </c>
      <c r="D424" s="1051" t="s">
        <v>2977</v>
      </c>
      <c r="E424"/>
      <c r="F424"/>
      <c r="G424"/>
      <c r="H424" s="100"/>
      <c r="I424" s="100"/>
      <c r="J424" s="100"/>
      <c r="K424" s="100"/>
    </row>
    <row r="425" spans="3:11" ht="15.5">
      <c r="C425" s="1052" t="s">
        <v>2228</v>
      </c>
      <c r="D425" s="1058"/>
      <c r="E425"/>
      <c r="F425"/>
      <c r="G425"/>
      <c r="H425" s="100"/>
      <c r="I425" s="100"/>
      <c r="J425" s="100"/>
      <c r="K425" s="100"/>
    </row>
    <row r="426" spans="3:11" ht="15.5">
      <c r="C426" s="1052" t="s">
        <v>2229</v>
      </c>
      <c r="D426" s="1058"/>
      <c r="E426"/>
      <c r="F426"/>
      <c r="G426"/>
      <c r="H426" s="100"/>
      <c r="I426" s="100"/>
      <c r="J426" s="100"/>
      <c r="K426" s="100"/>
    </row>
    <row r="427" spans="3:11" ht="15.5">
      <c r="C427" s="1052" t="s">
        <v>2230</v>
      </c>
      <c r="D427" s="1058"/>
      <c r="E427"/>
      <c r="F427"/>
      <c r="G427"/>
      <c r="H427" s="100"/>
      <c r="I427" s="100"/>
      <c r="J427" s="100"/>
      <c r="K427" s="100"/>
    </row>
    <row r="428" spans="3:11" ht="15.5">
      <c r="C428" s="1052" t="s">
        <v>2251</v>
      </c>
      <c r="D428" s="1058" t="e">
        <v>#DIV/0!</v>
      </c>
      <c r="E428"/>
      <c r="F428"/>
      <c r="G428"/>
      <c r="H428" s="100"/>
      <c r="I428" s="100"/>
      <c r="J428" s="100"/>
      <c r="K428" s="100"/>
    </row>
    <row r="429" spans="3:11">
      <c r="C429" s="100"/>
      <c r="D429" s="100"/>
      <c r="E429" s="100"/>
      <c r="F429" s="100"/>
      <c r="G429" s="100"/>
      <c r="H429" s="100"/>
      <c r="I429" s="100"/>
      <c r="J429" s="100"/>
      <c r="K429" s="100"/>
    </row>
    <row r="430" spans="3:11">
      <c r="C430" s="100"/>
      <c r="D430" s="100"/>
      <c r="E430" s="100"/>
      <c r="F430" s="100"/>
      <c r="G430" s="100"/>
      <c r="H430" s="100"/>
      <c r="I430" s="100"/>
      <c r="J430" s="100"/>
      <c r="K430" s="100"/>
    </row>
    <row r="431" spans="3:11">
      <c r="C431" s="100"/>
      <c r="D431" s="100"/>
      <c r="E431" s="100"/>
      <c r="F431" s="100"/>
      <c r="G431" s="100"/>
      <c r="H431" s="100"/>
      <c r="I431" s="100"/>
      <c r="J431" s="100"/>
      <c r="K431" s="100"/>
    </row>
    <row r="432" spans="3:11" ht="15.5">
      <c r="C432"/>
      <c r="D432"/>
      <c r="E432" s="100"/>
      <c r="F432" s="100"/>
      <c r="G432" s="100"/>
      <c r="H432" s="100"/>
      <c r="I432" s="100"/>
      <c r="J432" s="100"/>
      <c r="K432" s="100"/>
    </row>
    <row r="433" spans="3:11">
      <c r="C433" s="1050" t="s">
        <v>34</v>
      </c>
      <c r="D433" s="1051" t="s">
        <v>34</v>
      </c>
      <c r="E433" s="100"/>
      <c r="F433" s="100"/>
      <c r="G433" s="100"/>
      <c r="H433" s="100"/>
      <c r="I433" s="100"/>
      <c r="J433" s="100"/>
      <c r="K433" s="100"/>
    </row>
    <row r="434" spans="3:11">
      <c r="C434" s="1050" t="s">
        <v>134</v>
      </c>
      <c r="D434" s="1051" t="s">
        <v>1476</v>
      </c>
      <c r="F434" s="100"/>
      <c r="G434" s="100"/>
      <c r="H434" s="100"/>
      <c r="I434" s="100"/>
      <c r="J434" s="100"/>
      <c r="K434" s="100"/>
    </row>
    <row r="435" spans="3:11">
      <c r="C435" s="1050" t="s">
        <v>35</v>
      </c>
      <c r="D435" s="1051" t="s">
        <v>3147</v>
      </c>
      <c r="F435" s="100"/>
      <c r="G435" s="100"/>
      <c r="H435" s="100"/>
      <c r="I435" s="100"/>
      <c r="J435" s="100"/>
      <c r="K435" s="100"/>
    </row>
    <row r="436" spans="3:11">
      <c r="F436" s="100"/>
      <c r="G436" s="100"/>
      <c r="H436" s="100"/>
      <c r="I436" s="100"/>
      <c r="J436" s="100"/>
      <c r="K436" s="100"/>
    </row>
    <row r="437" spans="3:11" ht="15.5">
      <c r="C437" s="1051"/>
      <c r="D437" s="1051"/>
      <c r="E437" s="1050" t="s">
        <v>20</v>
      </c>
      <c r="F437"/>
      <c r="G437"/>
      <c r="H437"/>
      <c r="I437" s="494"/>
      <c r="J437" s="494"/>
      <c r="K437" s="494"/>
    </row>
    <row r="438" spans="3:11" ht="15.5">
      <c r="C438" s="1050" t="s">
        <v>21</v>
      </c>
      <c r="D438" s="1050" t="s">
        <v>1478</v>
      </c>
      <c r="E438" s="1051" t="s">
        <v>2977</v>
      </c>
      <c r="F438"/>
      <c r="G438"/>
      <c r="H438"/>
      <c r="I438" s="100"/>
      <c r="J438" s="100"/>
      <c r="K438" s="100"/>
    </row>
    <row r="439" spans="3:11" ht="15.5">
      <c r="C439" s="1051" t="s">
        <v>37</v>
      </c>
      <c r="D439" s="1051" t="s">
        <v>2225</v>
      </c>
      <c r="E439" s="1058">
        <v>0.86780487804878048</v>
      </c>
      <c r="F439"/>
      <c r="G439"/>
      <c r="H439"/>
      <c r="I439" s="696">
        <v>0.85</v>
      </c>
      <c r="J439" s="100"/>
      <c r="K439" s="100"/>
    </row>
    <row r="440" spans="3:11" ht="15.5">
      <c r="C440" s="1051"/>
      <c r="D440" s="1051" t="s">
        <v>2226</v>
      </c>
      <c r="E440" s="1058">
        <v>0.85650000000000015</v>
      </c>
      <c r="F440"/>
      <c r="G440"/>
      <c r="H440"/>
      <c r="I440" s="696">
        <v>0.83</v>
      </c>
      <c r="J440" s="100"/>
      <c r="K440" s="100"/>
    </row>
    <row r="441" spans="3:11" ht="15.5">
      <c r="C441" s="1051"/>
      <c r="D441" s="1051" t="s">
        <v>2227</v>
      </c>
      <c r="E441" s="1058">
        <v>0.82594594594594584</v>
      </c>
      <c r="F441"/>
      <c r="G441"/>
      <c r="H441"/>
      <c r="I441" s="100"/>
      <c r="J441" s="100"/>
      <c r="K441" s="100"/>
    </row>
    <row r="442" spans="3:11" ht="15.5">
      <c r="C442" s="1051"/>
      <c r="D442" s="1051" t="s">
        <v>2250</v>
      </c>
      <c r="E442" s="1058">
        <v>8.800912246350269E-2</v>
      </c>
      <c r="F442"/>
      <c r="G442"/>
      <c r="H442"/>
      <c r="I442" s="100"/>
      <c r="J442" s="100"/>
      <c r="K442" s="100"/>
    </row>
    <row r="443" spans="3:11" ht="15.5">
      <c r="C443" s="1051" t="s">
        <v>515</v>
      </c>
      <c r="D443" s="1051" t="s">
        <v>2225</v>
      </c>
      <c r="E443" s="1058"/>
      <c r="F443"/>
      <c r="G443"/>
      <c r="H443"/>
      <c r="I443" s="100"/>
      <c r="J443" s="100"/>
      <c r="K443" s="100"/>
    </row>
    <row r="444" spans="3:11" ht="15.5">
      <c r="C444" s="1051"/>
      <c r="D444" s="1051" t="s">
        <v>2226</v>
      </c>
      <c r="E444" s="1058"/>
      <c r="F444"/>
      <c r="G444"/>
      <c r="H444"/>
      <c r="I444" s="100"/>
      <c r="J444" s="100"/>
      <c r="K444" s="100"/>
    </row>
    <row r="445" spans="3:11" ht="15.5">
      <c r="C445" s="1051"/>
      <c r="D445" s="1051" t="s">
        <v>2227</v>
      </c>
      <c r="E445" s="1058"/>
      <c r="F445"/>
      <c r="G445"/>
      <c r="H445"/>
      <c r="I445" s="100"/>
      <c r="J445" s="100"/>
      <c r="K445" s="100"/>
    </row>
    <row r="446" spans="3:11" ht="15.5">
      <c r="C446" s="1051"/>
      <c r="D446" s="1051" t="s">
        <v>2250</v>
      </c>
      <c r="E446" s="1058" t="e">
        <v>#DIV/0!</v>
      </c>
      <c r="F446"/>
      <c r="G446"/>
      <c r="H446"/>
      <c r="I446" s="100"/>
      <c r="J446" s="100"/>
      <c r="K446" s="100"/>
    </row>
    <row r="447" spans="3:11" ht="15.5">
      <c r="C447"/>
      <c r="D447"/>
      <c r="E447"/>
      <c r="F447"/>
      <c r="G447"/>
      <c r="H447"/>
      <c r="I447" s="100"/>
      <c r="J447" s="100"/>
      <c r="K447" s="100"/>
    </row>
    <row r="448" spans="3:11" ht="15.5">
      <c r="C448"/>
      <c r="D448"/>
      <c r="E448"/>
      <c r="F448"/>
      <c r="G448"/>
      <c r="H448"/>
      <c r="I448" s="100"/>
      <c r="J448" s="100"/>
      <c r="K448" s="100"/>
    </row>
    <row r="449" spans="3:13" ht="15.5">
      <c r="C449"/>
      <c r="D449"/>
      <c r="E449"/>
      <c r="F449"/>
      <c r="G449"/>
      <c r="H449"/>
      <c r="I449" s="100"/>
      <c r="J449" s="100"/>
      <c r="K449" s="100"/>
    </row>
    <row r="450" spans="3:13" ht="15.5">
      <c r="C450"/>
      <c r="D450"/>
      <c r="E450"/>
      <c r="F450"/>
      <c r="G450"/>
      <c r="H450"/>
      <c r="I450" s="100"/>
      <c r="J450" s="100"/>
      <c r="K450" s="100"/>
    </row>
    <row r="451" spans="3:13" ht="15.5">
      <c r="C451" s="1050" t="s">
        <v>34</v>
      </c>
      <c r="D451" s="1051" t="s">
        <v>34</v>
      </c>
      <c r="E451" s="100"/>
      <c r="F451"/>
      <c r="G451"/>
      <c r="H451" s="100"/>
      <c r="I451" s="100"/>
      <c r="J451" s="100"/>
      <c r="K451" s="100"/>
    </row>
    <row r="452" spans="3:13" ht="15.5">
      <c r="C452" s="1050" t="s">
        <v>134</v>
      </c>
      <c r="D452" s="1051" t="s">
        <v>1476</v>
      </c>
      <c r="F452"/>
      <c r="G452"/>
      <c r="H452" s="100"/>
      <c r="I452" s="100"/>
      <c r="J452" s="100"/>
      <c r="K452" s="100"/>
    </row>
    <row r="453" spans="3:13" ht="15.5">
      <c r="C453" s="1050" t="s">
        <v>35</v>
      </c>
      <c r="D453" s="1051" t="s">
        <v>3147</v>
      </c>
      <c r="F453"/>
      <c r="G453"/>
      <c r="H453" s="100"/>
      <c r="I453" s="100"/>
      <c r="J453" s="100"/>
      <c r="K453" s="100"/>
    </row>
    <row r="454" spans="3:13">
      <c r="F454" s="100"/>
      <c r="G454" s="100"/>
      <c r="H454" s="100"/>
      <c r="I454" s="100"/>
      <c r="J454" s="100"/>
      <c r="K454" s="100"/>
    </row>
    <row r="455" spans="3:13">
      <c r="C455" s="1050" t="s">
        <v>20</v>
      </c>
      <c r="D455" s="1050" t="s">
        <v>21</v>
      </c>
      <c r="E455" s="1050" t="s">
        <v>22</v>
      </c>
      <c r="F455" s="1050" t="s">
        <v>1764</v>
      </c>
      <c r="G455" s="1050" t="s">
        <v>1766</v>
      </c>
      <c r="H455" s="100"/>
      <c r="I455" s="1006" t="s">
        <v>20</v>
      </c>
      <c r="J455" s="1007" t="s">
        <v>21</v>
      </c>
      <c r="K455" s="1007" t="s">
        <v>22</v>
      </c>
      <c r="L455" s="1007" t="s">
        <v>1764</v>
      </c>
      <c r="M455" s="1010"/>
    </row>
    <row r="456" spans="3:13">
      <c r="C456" s="1051" t="s">
        <v>2977</v>
      </c>
      <c r="D456" s="1051" t="s">
        <v>37</v>
      </c>
      <c r="E456" s="1051" t="s">
        <v>195</v>
      </c>
      <c r="F456" s="1051" t="s">
        <v>242</v>
      </c>
      <c r="G456" s="1051" t="s">
        <v>242</v>
      </c>
      <c r="H456" s="100"/>
      <c r="I456" s="1008" t="s">
        <v>2977</v>
      </c>
      <c r="J456" s="1009" t="s">
        <v>37</v>
      </c>
      <c r="K456" s="1009" t="s">
        <v>195</v>
      </c>
      <c r="L456" s="1009" t="s">
        <v>276</v>
      </c>
      <c r="M456" s="1011"/>
    </row>
    <row r="457" spans="3:13">
      <c r="C457" s="1051" t="s">
        <v>2977</v>
      </c>
      <c r="D457" s="1051" t="s">
        <v>37</v>
      </c>
      <c r="E457" s="1051" t="s">
        <v>195</v>
      </c>
      <c r="F457" s="1051" t="s">
        <v>3237</v>
      </c>
      <c r="G457" s="1051" t="s">
        <v>3237</v>
      </c>
      <c r="H457" s="100"/>
      <c r="I457" s="1008" t="s">
        <v>2977</v>
      </c>
      <c r="J457" s="1009" t="s">
        <v>37</v>
      </c>
      <c r="K457" s="1009" t="s">
        <v>146</v>
      </c>
      <c r="L457" s="1009" t="s">
        <v>241</v>
      </c>
      <c r="M457" s="1011"/>
    </row>
    <row r="458" spans="3:13">
      <c r="C458" s="1051" t="s">
        <v>2977</v>
      </c>
      <c r="D458" s="1051" t="s">
        <v>37</v>
      </c>
      <c r="E458" s="1051" t="s">
        <v>146</v>
      </c>
      <c r="F458" s="1051" t="s">
        <v>242</v>
      </c>
      <c r="G458" s="1051" t="s">
        <v>242</v>
      </c>
      <c r="H458" s="100"/>
      <c r="I458" s="1008" t="s">
        <v>2977</v>
      </c>
      <c r="J458" s="1009" t="s">
        <v>37</v>
      </c>
      <c r="K458" s="1009" t="s">
        <v>148</v>
      </c>
      <c r="L458" s="1009" t="s">
        <v>241</v>
      </c>
      <c r="M458" s="1011"/>
    </row>
    <row r="459" spans="3:13">
      <c r="C459" s="1051" t="s">
        <v>2977</v>
      </c>
      <c r="D459" s="1051" t="s">
        <v>37</v>
      </c>
      <c r="E459" s="1051" t="s">
        <v>148</v>
      </c>
      <c r="F459" s="1051" t="s">
        <v>242</v>
      </c>
      <c r="G459" s="1051" t="s">
        <v>242</v>
      </c>
      <c r="H459" s="100"/>
      <c r="I459" s="1008" t="s">
        <v>2977</v>
      </c>
      <c r="J459" s="1009" t="s">
        <v>37</v>
      </c>
      <c r="K459" s="1009" t="s">
        <v>38</v>
      </c>
      <c r="L459" s="1009" t="s">
        <v>141</v>
      </c>
      <c r="M459" s="1011"/>
    </row>
    <row r="460" spans="3:13">
      <c r="C460" s="1051" t="s">
        <v>2977</v>
      </c>
      <c r="D460" s="1051" t="s">
        <v>37</v>
      </c>
      <c r="E460" s="1051" t="s">
        <v>159</v>
      </c>
      <c r="F460" s="1051" t="s">
        <v>242</v>
      </c>
      <c r="G460" s="1051" t="s">
        <v>242</v>
      </c>
      <c r="H460" s="100"/>
      <c r="I460" s="1008" t="s">
        <v>2977</v>
      </c>
      <c r="J460" s="1009" t="s">
        <v>37</v>
      </c>
      <c r="K460" s="1009" t="s">
        <v>152</v>
      </c>
      <c r="L460" s="1009" t="s">
        <v>241</v>
      </c>
      <c r="M460" s="1011"/>
    </row>
    <row r="461" spans="3:13">
      <c r="C461" s="1051" t="s">
        <v>2977</v>
      </c>
      <c r="D461" s="1051" t="s">
        <v>37</v>
      </c>
      <c r="E461" s="1051" t="s">
        <v>142</v>
      </c>
      <c r="F461" s="1051" t="s">
        <v>242</v>
      </c>
      <c r="G461" s="1051" t="s">
        <v>242</v>
      </c>
      <c r="H461" s="100"/>
      <c r="I461" s="1008" t="s">
        <v>2977</v>
      </c>
      <c r="J461" s="1009" t="s">
        <v>37</v>
      </c>
      <c r="K461" s="1009" t="s">
        <v>152</v>
      </c>
      <c r="L461" s="1009" t="s">
        <v>3115</v>
      </c>
      <c r="M461" s="1011"/>
    </row>
    <row r="462" spans="3:13">
      <c r="C462" s="1051" t="s">
        <v>2977</v>
      </c>
      <c r="D462" s="1051" t="s">
        <v>37</v>
      </c>
      <c r="E462" s="1051" t="s">
        <v>142</v>
      </c>
      <c r="F462" s="1051" t="s">
        <v>3241</v>
      </c>
      <c r="G462" s="1051" t="s">
        <v>3245</v>
      </c>
      <c r="H462" s="100"/>
      <c r="I462" s="1008" t="s">
        <v>2977</v>
      </c>
      <c r="J462" s="1009" t="s">
        <v>37</v>
      </c>
      <c r="K462" s="1009" t="s">
        <v>157</v>
      </c>
      <c r="L462" s="1009" t="s">
        <v>241</v>
      </c>
      <c r="M462" s="1011"/>
    </row>
    <row r="463" spans="3:13" ht="15.5">
      <c r="C463"/>
      <c r="D463"/>
      <c r="E463"/>
      <c r="F463"/>
      <c r="G463"/>
      <c r="H463" s="100"/>
      <c r="I463" s="1008" t="s">
        <v>2977</v>
      </c>
      <c r="J463" s="1009" t="s">
        <v>37</v>
      </c>
      <c r="K463" s="1009" t="s">
        <v>205</v>
      </c>
      <c r="L463" s="1009" t="s">
        <v>141</v>
      </c>
      <c r="M463" s="1011"/>
    </row>
    <row r="464" spans="3:13" ht="15.5">
      <c r="C464"/>
      <c r="D464"/>
      <c r="E464"/>
      <c r="F464"/>
      <c r="G464"/>
      <c r="H464" s="100"/>
      <c r="I464" s="1008" t="s">
        <v>2977</v>
      </c>
      <c r="J464" s="1009" t="s">
        <v>37</v>
      </c>
      <c r="K464" s="1009" t="s">
        <v>205</v>
      </c>
      <c r="L464" s="1009" t="s">
        <v>276</v>
      </c>
      <c r="M464" s="1011"/>
    </row>
    <row r="465" spans="3:13" ht="15.5">
      <c r="C465"/>
      <c r="D465"/>
      <c r="E465"/>
      <c r="F465"/>
      <c r="G465"/>
      <c r="H465" s="100"/>
      <c r="I465" s="1008" t="s">
        <v>2977</v>
      </c>
      <c r="J465" s="1009" t="s">
        <v>37</v>
      </c>
      <c r="K465" s="1009" t="s">
        <v>159</v>
      </c>
      <c r="L465" s="1009" t="s">
        <v>241</v>
      </c>
      <c r="M465" s="1011"/>
    </row>
    <row r="466" spans="3:13" ht="15.5">
      <c r="C466"/>
      <c r="D466"/>
      <c r="E466"/>
      <c r="F466"/>
      <c r="G466"/>
      <c r="H466" s="100"/>
      <c r="I466" s="1008" t="s">
        <v>2977</v>
      </c>
      <c r="J466" s="1009" t="s">
        <v>37</v>
      </c>
      <c r="K466" s="1009" t="s">
        <v>159</v>
      </c>
      <c r="L466" s="1009" t="s">
        <v>3111</v>
      </c>
      <c r="M466" s="1011"/>
    </row>
    <row r="467" spans="3:13" ht="15.5">
      <c r="C467"/>
      <c r="D467"/>
      <c r="E467"/>
      <c r="F467"/>
      <c r="G467"/>
      <c r="H467" s="100"/>
      <c r="I467" s="1008" t="s">
        <v>2977</v>
      </c>
      <c r="J467" s="1009" t="s">
        <v>37</v>
      </c>
      <c r="K467" s="1009" t="s">
        <v>214</v>
      </c>
      <c r="L467" s="1009" t="s">
        <v>141</v>
      </c>
      <c r="M467" s="1011"/>
    </row>
    <row r="468" spans="3:13" ht="15.5">
      <c r="C468"/>
      <c r="D468"/>
      <c r="E468"/>
      <c r="F468"/>
      <c r="G468"/>
      <c r="H468" s="100"/>
      <c r="I468" s="1008" t="s">
        <v>2977</v>
      </c>
      <c r="J468" s="1009" t="s">
        <v>37</v>
      </c>
      <c r="K468" s="1009" t="s">
        <v>184</v>
      </c>
      <c r="L468" s="1009" t="s">
        <v>241</v>
      </c>
      <c r="M468" s="1011"/>
    </row>
    <row r="469" spans="3:13" ht="15.5">
      <c r="C469"/>
      <c r="D469"/>
      <c r="E469"/>
      <c r="F469"/>
      <c r="G469"/>
      <c r="H469" s="100"/>
      <c r="I469" s="1008" t="s">
        <v>2977</v>
      </c>
      <c r="J469" s="1009" t="s">
        <v>37</v>
      </c>
      <c r="K469" s="1009" t="s">
        <v>863</v>
      </c>
      <c r="L469" s="1009" t="s">
        <v>241</v>
      </c>
      <c r="M469" s="1011"/>
    </row>
    <row r="470" spans="3:13" ht="15.5">
      <c r="C470"/>
      <c r="D470"/>
      <c r="E470"/>
      <c r="F470"/>
      <c r="G470"/>
      <c r="H470" s="100"/>
      <c r="I470" s="1008" t="s">
        <v>2977</v>
      </c>
      <c r="J470" s="1009" t="s">
        <v>37</v>
      </c>
      <c r="K470" s="1009" t="s">
        <v>142</v>
      </c>
      <c r="L470" s="1009" t="s">
        <v>241</v>
      </c>
      <c r="M470" s="1011"/>
    </row>
    <row r="471" spans="3:13" ht="15.5">
      <c r="C471"/>
      <c r="D471"/>
      <c r="E471"/>
      <c r="F471"/>
      <c r="G471"/>
      <c r="H471" s="100"/>
      <c r="I471" s="1008" t="s">
        <v>2977</v>
      </c>
      <c r="J471" s="1009" t="s">
        <v>37</v>
      </c>
      <c r="K471" s="1009" t="s">
        <v>142</v>
      </c>
      <c r="L471" s="1009" t="s">
        <v>3111</v>
      </c>
      <c r="M471" s="1011"/>
    </row>
    <row r="472" spans="3:13" ht="15.5">
      <c r="C472"/>
      <c r="D472"/>
      <c r="E472"/>
      <c r="F472"/>
      <c r="G472"/>
      <c r="H472" s="100"/>
      <c r="I472" s="1008" t="s">
        <v>2977</v>
      </c>
      <c r="J472" s="1009" t="s">
        <v>37</v>
      </c>
      <c r="K472" s="1009" t="s">
        <v>142</v>
      </c>
      <c r="L472" s="1009" t="s">
        <v>3115</v>
      </c>
      <c r="M472" s="1011"/>
    </row>
    <row r="473" spans="3:13" ht="15.5">
      <c r="C473"/>
      <c r="D473"/>
      <c r="E473"/>
      <c r="F473"/>
      <c r="G473"/>
      <c r="H473" s="100"/>
      <c r="I473" s="1008" t="s">
        <v>2977</v>
      </c>
      <c r="J473" s="1009" t="s">
        <v>515</v>
      </c>
      <c r="K473" s="1009" t="s">
        <v>534</v>
      </c>
      <c r="L473" s="1009" t="s">
        <v>192</v>
      </c>
      <c r="M473" s="1011"/>
    </row>
    <row r="474" spans="3:13" ht="15.5">
      <c r="C474"/>
      <c r="D474"/>
      <c r="E474"/>
      <c r="F474"/>
      <c r="G474"/>
      <c r="H474" s="100"/>
      <c r="I474" s="1008" t="s">
        <v>2977</v>
      </c>
      <c r="J474" s="1009" t="s">
        <v>515</v>
      </c>
      <c r="K474" s="1009" t="s">
        <v>556</v>
      </c>
      <c r="L474" s="1009" t="s">
        <v>3117</v>
      </c>
      <c r="M474" s="1011"/>
    </row>
    <row r="475" spans="3:13" ht="15.5">
      <c r="C475"/>
      <c r="D475"/>
      <c r="E475"/>
      <c r="F475"/>
      <c r="G475"/>
      <c r="H475" s="100"/>
      <c r="I475" s="1008" t="s">
        <v>2977</v>
      </c>
      <c r="J475" s="1009" t="s">
        <v>515</v>
      </c>
      <c r="K475" s="1009" t="s">
        <v>519</v>
      </c>
      <c r="L475" s="1009" t="s">
        <v>192</v>
      </c>
      <c r="M475" s="1011"/>
    </row>
    <row r="476" spans="3:13" ht="15.5">
      <c r="C476"/>
      <c r="D476"/>
      <c r="E476"/>
      <c r="F476"/>
      <c r="G476"/>
      <c r="H476" s="100"/>
      <c r="I476" s="1008" t="s">
        <v>2977</v>
      </c>
      <c r="J476" s="1009" t="s">
        <v>515</v>
      </c>
      <c r="K476" s="1009" t="s">
        <v>960</v>
      </c>
      <c r="L476" s="1009" t="s">
        <v>192</v>
      </c>
      <c r="M476" s="1011"/>
    </row>
    <row r="477" spans="3:13" ht="15.5">
      <c r="C477"/>
      <c r="D477"/>
      <c r="E477"/>
      <c r="F477"/>
      <c r="G477"/>
      <c r="H477" s="100"/>
      <c r="I477" s="1008" t="s">
        <v>2977</v>
      </c>
      <c r="J477" s="1009" t="s">
        <v>515</v>
      </c>
      <c r="K477" s="1009" t="s">
        <v>961</v>
      </c>
      <c r="L477" s="1009" t="s">
        <v>3117</v>
      </c>
      <c r="M477" s="1011"/>
    </row>
    <row r="478" spans="3:13" ht="15.5">
      <c r="C478"/>
      <c r="D478"/>
      <c r="E478"/>
      <c r="F478"/>
      <c r="G478"/>
      <c r="H478" s="100"/>
      <c r="I478" s="1008" t="s">
        <v>2977</v>
      </c>
      <c r="J478" s="1009" t="s">
        <v>515</v>
      </c>
      <c r="K478" s="1009" t="s">
        <v>961</v>
      </c>
      <c r="L478" s="1009" t="s">
        <v>192</v>
      </c>
      <c r="M478" s="1011"/>
    </row>
    <row r="479" spans="3:13" ht="15.5">
      <c r="C479"/>
      <c r="D479"/>
      <c r="E479"/>
      <c r="F479"/>
      <c r="G479"/>
      <c r="H479" s="100"/>
      <c r="I479" s="1008" t="s">
        <v>2977</v>
      </c>
      <c r="J479" s="1009" t="s">
        <v>515</v>
      </c>
      <c r="K479" s="1009" t="s">
        <v>963</v>
      </c>
      <c r="L479" s="1009" t="s">
        <v>2159</v>
      </c>
      <c r="M479" s="1011"/>
    </row>
    <row r="480" spans="3:13" ht="15.5">
      <c r="C480"/>
      <c r="D480"/>
      <c r="E480"/>
      <c r="F480"/>
      <c r="G480"/>
      <c r="H480" s="100"/>
      <c r="I480" s="1008" t="s">
        <v>2977</v>
      </c>
      <c r="J480" s="1009" t="s">
        <v>515</v>
      </c>
      <c r="K480" s="1009" t="s">
        <v>522</v>
      </c>
      <c r="L480" s="1009" t="s">
        <v>192</v>
      </c>
      <c r="M480" s="1011"/>
    </row>
    <row r="481" spans="3:13" ht="15.5">
      <c r="C481"/>
      <c r="D481"/>
      <c r="E481"/>
      <c r="F481"/>
      <c r="G481"/>
      <c r="H481" s="100"/>
      <c r="I481" s="1008" t="s">
        <v>2977</v>
      </c>
      <c r="J481" s="1009" t="s">
        <v>515</v>
      </c>
      <c r="K481" s="1009" t="s">
        <v>522</v>
      </c>
      <c r="L481" s="1009" t="s">
        <v>2356</v>
      </c>
      <c r="M481" s="1011"/>
    </row>
    <row r="482" spans="3:13" ht="15.5">
      <c r="C482"/>
      <c r="D482"/>
      <c r="E482"/>
      <c r="F482"/>
      <c r="G482"/>
      <c r="H482" s="100"/>
      <c r="I482" s="1008" t="s">
        <v>2977</v>
      </c>
      <c r="J482" s="1009" t="s">
        <v>515</v>
      </c>
      <c r="K482" s="1009" t="s">
        <v>525</v>
      </c>
      <c r="L482" s="1009" t="s">
        <v>3117</v>
      </c>
      <c r="M482" s="1011"/>
    </row>
    <row r="483" spans="3:13" ht="15.5">
      <c r="C483"/>
      <c r="D483"/>
      <c r="E483"/>
      <c r="F483"/>
      <c r="G483"/>
      <c r="H483" s="100"/>
      <c r="I483" s="1008" t="s">
        <v>2977</v>
      </c>
      <c r="J483" s="1009" t="s">
        <v>515</v>
      </c>
      <c r="K483" s="1009" t="s">
        <v>525</v>
      </c>
      <c r="L483" s="1009" t="s">
        <v>192</v>
      </c>
      <c r="M483" s="1011"/>
    </row>
    <row r="484" spans="3:13" ht="15.5">
      <c r="C484"/>
      <c r="D484"/>
      <c r="E484"/>
      <c r="F484"/>
      <c r="G484"/>
      <c r="H484" s="100"/>
      <c r="I484" s="1008" t="s">
        <v>2977</v>
      </c>
      <c r="J484" s="1009" t="s">
        <v>515</v>
      </c>
      <c r="K484" s="1009" t="s">
        <v>516</v>
      </c>
      <c r="L484" s="1009" t="s">
        <v>192</v>
      </c>
      <c r="M484" s="1011"/>
    </row>
    <row r="485" spans="3:13" ht="15.5">
      <c r="C485"/>
      <c r="D485"/>
      <c r="E485"/>
      <c r="F485"/>
      <c r="G485"/>
      <c r="H485" s="100"/>
      <c r="I485" s="1008" t="s">
        <v>2977</v>
      </c>
      <c r="J485" s="1009" t="s">
        <v>515</v>
      </c>
      <c r="K485" s="1009" t="s">
        <v>516</v>
      </c>
      <c r="L485" s="1009" t="s">
        <v>2356</v>
      </c>
      <c r="M485" s="1011"/>
    </row>
    <row r="486" spans="3:13" ht="15.5">
      <c r="C486"/>
      <c r="D486"/>
      <c r="E486"/>
      <c r="F486"/>
      <c r="G486"/>
      <c r="H486" s="100"/>
      <c r="I486" s="1008" t="s">
        <v>2977</v>
      </c>
      <c r="J486" s="1009" t="s">
        <v>515</v>
      </c>
      <c r="K486" s="1009" t="s">
        <v>536</v>
      </c>
      <c r="L486" s="1009" t="s">
        <v>192</v>
      </c>
      <c r="M486" s="1011"/>
    </row>
    <row r="487" spans="3:13" ht="15.5">
      <c r="C487"/>
      <c r="D487"/>
      <c r="E487"/>
      <c r="F487"/>
      <c r="G487"/>
      <c r="H487" s="100"/>
      <c r="I487" s="1008" t="s">
        <v>2977</v>
      </c>
      <c r="J487" s="1009" t="s">
        <v>515</v>
      </c>
      <c r="K487" s="1009" t="s">
        <v>536</v>
      </c>
      <c r="L487" s="1009" t="s">
        <v>2969</v>
      </c>
      <c r="M487" s="1011"/>
    </row>
    <row r="488" spans="3:13" ht="15.5">
      <c r="C488"/>
      <c r="D488"/>
      <c r="E488"/>
      <c r="F488"/>
      <c r="G488"/>
      <c r="H488" s="100"/>
      <c r="I488" s="100"/>
      <c r="J488" s="100"/>
      <c r="K488" s="100"/>
    </row>
    <row r="489" spans="3:13" ht="15.5">
      <c r="C489"/>
      <c r="D489"/>
      <c r="E489"/>
      <c r="F489"/>
      <c r="G489"/>
      <c r="H489" s="100"/>
      <c r="I489" s="100"/>
      <c r="J489" s="100"/>
      <c r="K489" s="100"/>
    </row>
    <row r="490" spans="3:13" ht="15.5">
      <c r="C490"/>
      <c r="D490"/>
      <c r="E490"/>
      <c r="F490"/>
      <c r="G490"/>
      <c r="H490" s="100"/>
      <c r="I490" s="100"/>
      <c r="J490" s="100"/>
      <c r="K490" s="100"/>
    </row>
    <row r="491" spans="3:13" ht="15.5">
      <c r="C491"/>
      <c r="D491"/>
      <c r="E491"/>
      <c r="F491"/>
      <c r="G491"/>
      <c r="H491" s="100"/>
      <c r="I491" s="100"/>
      <c r="J491" s="100"/>
      <c r="K491" s="100"/>
    </row>
    <row r="492" spans="3:13" ht="15.5">
      <c r="C492"/>
      <c r="D492"/>
      <c r="E492"/>
      <c r="F492"/>
      <c r="G492"/>
      <c r="H492" s="100"/>
      <c r="I492" s="100"/>
      <c r="J492" s="100"/>
      <c r="K492" s="100"/>
    </row>
    <row r="493" spans="3:13" ht="15.5">
      <c r="C493"/>
      <c r="D493"/>
      <c r="E493"/>
      <c r="F493"/>
      <c r="G493"/>
      <c r="H493" s="100"/>
      <c r="I493" s="100"/>
      <c r="J493" s="100"/>
      <c r="K493" s="100"/>
    </row>
    <row r="494" spans="3:13" ht="15.5">
      <c r="C494"/>
      <c r="D494"/>
      <c r="E494"/>
      <c r="F494"/>
      <c r="G494"/>
      <c r="H494" s="100"/>
      <c r="I494" s="100"/>
      <c r="J494" s="100"/>
      <c r="K494" s="100"/>
    </row>
    <row r="495" spans="3:13" ht="15.5">
      <c r="C495"/>
      <c r="D495"/>
      <c r="E495"/>
      <c r="F495"/>
      <c r="G495"/>
      <c r="H495" s="100"/>
      <c r="I495" s="100"/>
      <c r="J495" s="100"/>
      <c r="K495" s="100"/>
    </row>
    <row r="496" spans="3:13" ht="15.5">
      <c r="C496"/>
      <c r="D496"/>
      <c r="E496"/>
      <c r="F496"/>
      <c r="G496"/>
      <c r="H496" s="100"/>
      <c r="I496" s="100"/>
      <c r="J496" s="100"/>
      <c r="K496" s="100"/>
    </row>
    <row r="497" spans="3:11" ht="15.5">
      <c r="C497"/>
      <c r="D497"/>
      <c r="E497"/>
      <c r="F497"/>
      <c r="G497"/>
      <c r="H497" s="100"/>
      <c r="I497" s="100"/>
      <c r="J497" s="100"/>
      <c r="K497" s="100"/>
    </row>
    <row r="498" spans="3:11" ht="15.5">
      <c r="C498"/>
      <c r="D498"/>
      <c r="E498"/>
      <c r="F498"/>
      <c r="G498"/>
      <c r="H498" s="100"/>
      <c r="I498" s="100"/>
      <c r="J498" s="100"/>
      <c r="K498" s="100"/>
    </row>
    <row r="499" spans="3:11" ht="15.5">
      <c r="C499"/>
      <c r="D499"/>
      <c r="E499"/>
      <c r="F499"/>
      <c r="G499"/>
      <c r="H499" s="100"/>
      <c r="I499" s="100"/>
      <c r="J499" s="100"/>
      <c r="K499" s="100"/>
    </row>
    <row r="500" spans="3:11" ht="15.5">
      <c r="C500"/>
      <c r="D500"/>
      <c r="E500"/>
      <c r="F500"/>
      <c r="G500"/>
      <c r="H500" s="100"/>
      <c r="I500" s="100"/>
      <c r="J500" s="100"/>
      <c r="K500" s="100"/>
    </row>
    <row r="501" spans="3:11">
      <c r="C501" s="100"/>
      <c r="D501" s="100"/>
      <c r="E501" s="100"/>
      <c r="F501" s="100"/>
      <c r="G501" s="100"/>
      <c r="H501" s="100"/>
      <c r="I501" s="100"/>
      <c r="J501" s="100"/>
      <c r="K501" s="100"/>
    </row>
    <row r="502" spans="3:11">
      <c r="C502" s="100"/>
      <c r="D502" s="100"/>
      <c r="E502" s="100"/>
      <c r="F502" s="100"/>
      <c r="G502" s="100"/>
      <c r="H502" s="100"/>
      <c r="I502" s="100"/>
      <c r="J502" s="100"/>
      <c r="K502" s="100"/>
    </row>
    <row r="503" spans="3:11">
      <c r="C503" s="100"/>
      <c r="D503" s="100"/>
      <c r="E503" s="100"/>
      <c r="F503" s="100"/>
      <c r="G503" s="100"/>
      <c r="H503" s="100"/>
      <c r="I503" s="100"/>
      <c r="J503" s="100"/>
      <c r="K503" s="100"/>
    </row>
    <row r="504" spans="3:11">
      <c r="C504" s="100"/>
      <c r="D504" s="100"/>
      <c r="E504" s="100"/>
      <c r="F504" s="100"/>
      <c r="G504" s="100"/>
      <c r="H504" s="100"/>
      <c r="I504" s="100"/>
      <c r="J504" s="100"/>
      <c r="K504" s="100"/>
    </row>
    <row r="505" spans="3:11">
      <c r="C505" s="100"/>
      <c r="D505" s="100"/>
      <c r="E505" s="100"/>
      <c r="F505" s="100"/>
      <c r="G505" s="100"/>
      <c r="H505" s="100"/>
      <c r="I505" s="100"/>
      <c r="J505" s="100"/>
      <c r="K505" s="100"/>
    </row>
    <row r="506" spans="3:11">
      <c r="C506" s="100"/>
      <c r="D506" s="100"/>
      <c r="E506" s="100"/>
      <c r="F506" s="100"/>
      <c r="G506" s="100"/>
      <c r="H506" s="100"/>
      <c r="I506" s="100"/>
      <c r="J506" s="100"/>
      <c r="K506" s="100"/>
    </row>
    <row r="507" spans="3:11">
      <c r="C507" s="100"/>
      <c r="D507" s="100"/>
      <c r="E507" s="100"/>
      <c r="F507" s="100"/>
      <c r="G507" s="100"/>
      <c r="H507" s="100"/>
      <c r="I507" s="100"/>
      <c r="J507" s="100"/>
      <c r="K507" s="100"/>
    </row>
    <row r="508" spans="3:11">
      <c r="C508" s="100"/>
      <c r="D508" s="100"/>
      <c r="E508" s="100"/>
      <c r="F508" s="100"/>
      <c r="G508" s="100"/>
      <c r="H508" s="100"/>
      <c r="I508" s="100"/>
      <c r="J508" s="100"/>
      <c r="K508" s="100"/>
    </row>
    <row r="509" spans="3:11">
      <c r="C509" s="100"/>
      <c r="D509" s="100"/>
      <c r="E509" s="100"/>
      <c r="F509" s="100"/>
      <c r="G509" s="100"/>
      <c r="H509" s="100"/>
      <c r="I509" s="100"/>
      <c r="J509" s="100"/>
      <c r="K509" s="100"/>
    </row>
    <row r="510" spans="3:11">
      <c r="C510" s="100"/>
      <c r="D510" s="100"/>
      <c r="E510" s="100"/>
      <c r="F510" s="100"/>
      <c r="G510" s="100"/>
      <c r="H510" s="100"/>
      <c r="I510" s="100"/>
      <c r="J510" s="100"/>
      <c r="K510" s="100"/>
    </row>
    <row r="511" spans="3:11">
      <c r="C511" s="100"/>
      <c r="D511" s="100"/>
      <c r="E511" s="100"/>
      <c r="F511" s="100"/>
      <c r="G511" s="100"/>
      <c r="H511" s="100"/>
      <c r="I511" s="100"/>
      <c r="J511" s="100"/>
      <c r="K511" s="100"/>
    </row>
    <row r="512" spans="3:11">
      <c r="C512" s="100"/>
      <c r="D512" s="100"/>
      <c r="E512" s="100"/>
      <c r="F512" s="100"/>
      <c r="G512" s="100"/>
      <c r="H512" s="100"/>
      <c r="I512" s="100"/>
      <c r="J512" s="100"/>
      <c r="K512" s="100"/>
    </row>
    <row r="513" spans="3:11">
      <c r="C513" s="100"/>
      <c r="D513" s="100"/>
      <c r="E513" s="100"/>
      <c r="F513" s="100"/>
      <c r="G513" s="100"/>
      <c r="H513" s="100"/>
      <c r="I513" s="100"/>
      <c r="J513" s="100"/>
      <c r="K513" s="100"/>
    </row>
    <row r="514" spans="3:11">
      <c r="C514" s="100"/>
      <c r="D514" s="100"/>
      <c r="E514" s="100"/>
      <c r="F514" s="100"/>
      <c r="G514" s="100"/>
      <c r="H514" s="100"/>
      <c r="I514" s="100"/>
      <c r="J514" s="100"/>
      <c r="K514" s="100"/>
    </row>
    <row r="515" spans="3:11">
      <c r="C515" s="100"/>
      <c r="D515" s="100"/>
      <c r="E515" s="100"/>
      <c r="F515" s="100"/>
      <c r="G515" s="100"/>
      <c r="H515" s="100"/>
      <c r="I515" s="100"/>
      <c r="J515" s="100"/>
      <c r="K515" s="100"/>
    </row>
    <row r="516" spans="3:11">
      <c r="C516" s="100"/>
      <c r="D516" s="100"/>
      <c r="E516" s="100"/>
      <c r="F516" s="100"/>
      <c r="G516" s="100"/>
      <c r="H516" s="100"/>
      <c r="I516" s="100"/>
      <c r="J516" s="100"/>
      <c r="K516" s="100"/>
    </row>
    <row r="517" spans="3:11">
      <c r="C517" s="100"/>
      <c r="D517" s="100"/>
      <c r="E517" s="100"/>
      <c r="F517" s="100"/>
      <c r="G517" s="100"/>
      <c r="H517" s="100"/>
      <c r="I517" s="100"/>
      <c r="J517" s="100"/>
      <c r="K517" s="100"/>
    </row>
    <row r="518" spans="3:11">
      <c r="C518" s="100"/>
      <c r="D518" s="100"/>
      <c r="E518" s="100"/>
      <c r="F518" s="100"/>
      <c r="G518" s="100"/>
      <c r="H518" s="100"/>
      <c r="I518" s="100"/>
      <c r="J518" s="100"/>
      <c r="K518" s="100"/>
    </row>
    <row r="519" spans="3:11">
      <c r="C519" s="100"/>
      <c r="D519" s="100"/>
      <c r="E519" s="100"/>
      <c r="F519" s="100"/>
      <c r="G519" s="100"/>
      <c r="H519" s="100"/>
      <c r="I519" s="100"/>
      <c r="J519" s="100"/>
      <c r="K519" s="100"/>
    </row>
    <row r="520" spans="3:11">
      <c r="C520" s="100"/>
      <c r="D520" s="100"/>
      <c r="E520" s="100"/>
      <c r="F520" s="100"/>
      <c r="G520" s="100"/>
      <c r="H520" s="100"/>
      <c r="I520" s="100"/>
      <c r="J520" s="100"/>
      <c r="K520" s="100"/>
    </row>
    <row r="521" spans="3:11">
      <c r="C521" s="100"/>
      <c r="D521" s="100"/>
      <c r="E521" s="100"/>
      <c r="F521" s="100"/>
      <c r="G521" s="100"/>
      <c r="H521" s="100"/>
      <c r="I521" s="100"/>
      <c r="J521" s="100"/>
      <c r="K521" s="100"/>
    </row>
    <row r="522" spans="3:11">
      <c r="C522" s="100"/>
      <c r="D522" s="100"/>
      <c r="E522" s="100"/>
      <c r="F522" s="100"/>
      <c r="G522" s="100"/>
      <c r="H522" s="100"/>
      <c r="I522" s="100"/>
      <c r="J522" s="100"/>
      <c r="K522" s="100"/>
    </row>
    <row r="523" spans="3:11">
      <c r="C523" s="100"/>
      <c r="D523" s="100"/>
      <c r="E523" s="100"/>
      <c r="F523" s="100"/>
      <c r="G523" s="100"/>
      <c r="H523" s="100"/>
      <c r="I523" s="100"/>
      <c r="J523" s="100"/>
      <c r="K523" s="100"/>
    </row>
    <row r="524" spans="3:11">
      <c r="C524" s="100"/>
      <c r="D524" s="100"/>
      <c r="E524" s="100"/>
      <c r="F524" s="100"/>
      <c r="G524" s="100"/>
      <c r="H524" s="100"/>
      <c r="I524" s="100"/>
      <c r="J524" s="100"/>
      <c r="K524" s="100"/>
    </row>
    <row r="525" spans="3:11">
      <c r="C525" s="100"/>
      <c r="D525" s="100"/>
      <c r="E525" s="100"/>
      <c r="F525" s="100"/>
      <c r="G525" s="100"/>
      <c r="H525" s="100"/>
      <c r="I525" s="100"/>
      <c r="J525" s="100"/>
      <c r="K525" s="100"/>
    </row>
    <row r="526" spans="3:11">
      <c r="C526" s="100"/>
      <c r="D526" s="100"/>
      <c r="E526" s="100"/>
      <c r="F526" s="100"/>
      <c r="G526" s="100"/>
      <c r="H526" s="100"/>
      <c r="I526" s="100"/>
      <c r="J526" s="100"/>
      <c r="K526" s="100"/>
    </row>
    <row r="527" spans="3:11">
      <c r="C527" s="100"/>
      <c r="D527" s="100"/>
      <c r="E527" s="100"/>
      <c r="F527" s="100"/>
      <c r="G527" s="100"/>
      <c r="H527" s="100"/>
      <c r="I527" s="100"/>
      <c r="J527" s="100"/>
      <c r="K527" s="100"/>
    </row>
    <row r="528" spans="3:11">
      <c r="C528" s="100"/>
      <c r="D528" s="100"/>
      <c r="E528" s="100"/>
      <c r="F528" s="100"/>
      <c r="G528" s="100"/>
      <c r="H528" s="100"/>
      <c r="I528" s="100"/>
      <c r="J528" s="100"/>
      <c r="K528" s="100"/>
    </row>
    <row r="529" spans="3:11">
      <c r="C529" s="100"/>
      <c r="D529" s="100"/>
      <c r="E529" s="100"/>
      <c r="F529" s="100"/>
      <c r="G529" s="100"/>
      <c r="H529" s="100"/>
      <c r="I529" s="100"/>
      <c r="J529" s="100"/>
      <c r="K529" s="100"/>
    </row>
    <row r="530" spans="3:11">
      <c r="C530" s="100"/>
      <c r="D530" s="100"/>
      <c r="E530" s="100"/>
      <c r="F530" s="100"/>
      <c r="G530" s="100"/>
      <c r="H530" s="100"/>
      <c r="I530" s="100"/>
      <c r="J530" s="100"/>
      <c r="K530" s="100"/>
    </row>
    <row r="531" spans="3:11">
      <c r="C531" s="100"/>
      <c r="D531" s="100"/>
      <c r="E531" s="100"/>
      <c r="F531" s="100"/>
      <c r="G531" s="100"/>
      <c r="H531" s="100"/>
      <c r="I531" s="100"/>
      <c r="J531" s="100"/>
      <c r="K531" s="100"/>
    </row>
    <row r="532" spans="3:11">
      <c r="C532" s="100"/>
      <c r="D532" s="100"/>
      <c r="E532" s="100"/>
      <c r="F532" s="100"/>
      <c r="G532" s="100"/>
      <c r="H532" s="100"/>
      <c r="I532" s="100"/>
      <c r="J532" s="100"/>
      <c r="K532" s="100"/>
    </row>
    <row r="533" spans="3:11">
      <c r="C533" s="100"/>
      <c r="D533" s="100"/>
      <c r="E533" s="100"/>
      <c r="F533" s="100"/>
      <c r="G533" s="100"/>
      <c r="H533" s="100"/>
      <c r="I533" s="100"/>
      <c r="J533" s="100"/>
      <c r="K533" s="100"/>
    </row>
    <row r="534" spans="3:11">
      <c r="C534" s="100"/>
      <c r="D534" s="100"/>
      <c r="E534" s="100"/>
      <c r="F534" s="100"/>
      <c r="G534" s="100"/>
      <c r="H534" s="100"/>
      <c r="I534" s="100"/>
      <c r="J534" s="100"/>
      <c r="K534" s="100"/>
    </row>
    <row r="535" spans="3:11">
      <c r="C535" s="100"/>
      <c r="D535" s="100"/>
      <c r="E535" s="100"/>
      <c r="F535" s="100"/>
      <c r="G535" s="100"/>
      <c r="H535" s="100"/>
      <c r="I535" s="100"/>
      <c r="J535" s="100"/>
      <c r="K535" s="100"/>
    </row>
    <row r="536" spans="3:11">
      <c r="C536" s="100"/>
      <c r="D536" s="100"/>
      <c r="E536" s="100"/>
      <c r="F536" s="100"/>
      <c r="G536" s="100"/>
      <c r="H536" s="100"/>
      <c r="I536" s="100"/>
      <c r="J536" s="100"/>
      <c r="K536" s="100"/>
    </row>
    <row r="537" spans="3:11">
      <c r="C537" s="100"/>
      <c r="D537" s="100"/>
      <c r="E537" s="100"/>
      <c r="F537" s="100"/>
      <c r="G537" s="100"/>
      <c r="H537" s="100"/>
      <c r="I537" s="100"/>
      <c r="J537" s="100"/>
      <c r="K537" s="100"/>
    </row>
    <row r="538" spans="3:11">
      <c r="C538" s="100"/>
      <c r="D538" s="100"/>
      <c r="E538" s="100"/>
      <c r="F538" s="100"/>
      <c r="G538" s="100"/>
      <c r="H538" s="100"/>
      <c r="I538" s="100"/>
      <c r="J538" s="100"/>
      <c r="K538" s="100"/>
    </row>
    <row r="539" spans="3:11">
      <c r="C539" s="100"/>
      <c r="D539" s="100"/>
      <c r="E539" s="100"/>
      <c r="F539" s="100"/>
      <c r="G539" s="100"/>
      <c r="H539" s="100"/>
      <c r="I539" s="100"/>
      <c r="J539" s="100"/>
      <c r="K539" s="100"/>
    </row>
    <row r="540" spans="3:11">
      <c r="C540" s="100"/>
      <c r="D540" s="100"/>
      <c r="E540" s="100"/>
      <c r="F540" s="100"/>
      <c r="G540" s="100"/>
      <c r="H540" s="100"/>
      <c r="I540" s="100"/>
      <c r="J540" s="100"/>
      <c r="K540" s="100"/>
    </row>
    <row r="541" spans="3:11">
      <c r="C541" s="100"/>
      <c r="D541" s="100"/>
      <c r="E541" s="100"/>
      <c r="F541" s="100"/>
      <c r="G541" s="100"/>
      <c r="H541" s="100"/>
      <c r="I541" s="100"/>
      <c r="J541" s="100"/>
      <c r="K541" s="100"/>
    </row>
    <row r="542" spans="3:11">
      <c r="C542" s="100"/>
      <c r="D542" s="100"/>
      <c r="E542" s="100"/>
      <c r="F542" s="100"/>
      <c r="G542" s="100"/>
      <c r="H542" s="100"/>
    </row>
    <row r="543" spans="3:11">
      <c r="C543" s="100"/>
      <c r="D543" s="100"/>
      <c r="E543" s="100"/>
      <c r="F543" s="100"/>
      <c r="G543" s="100"/>
      <c r="H543" s="100"/>
    </row>
    <row r="544" spans="3:11">
      <c r="C544" s="100"/>
      <c r="D544" s="100"/>
      <c r="E544" s="100"/>
      <c r="F544" s="100"/>
      <c r="G544" s="100"/>
      <c r="H544" s="100"/>
    </row>
    <row r="545" spans="3:8">
      <c r="C545" s="100"/>
      <c r="D545" s="100"/>
      <c r="E545" s="100"/>
      <c r="F545" s="100"/>
      <c r="G545" s="100"/>
      <c r="H545" s="100"/>
    </row>
    <row r="546" spans="3:8">
      <c r="C546" s="100"/>
      <c r="D546" s="100"/>
      <c r="E546" s="100"/>
      <c r="F546" s="100"/>
      <c r="G546" s="100"/>
      <c r="H546" s="100"/>
    </row>
    <row r="547" spans="3:8">
      <c r="C547" s="100"/>
      <c r="D547" s="100"/>
      <c r="E547" s="100"/>
      <c r="F547" s="100"/>
      <c r="G547" s="100"/>
      <c r="H547" s="100"/>
    </row>
    <row r="548" spans="3:8">
      <c r="C548" s="100"/>
      <c r="D548" s="100"/>
      <c r="E548" s="100"/>
      <c r="F548" s="100"/>
      <c r="G548" s="100"/>
      <c r="H548" s="100"/>
    </row>
    <row r="549" spans="3:8">
      <c r="C549" s="100"/>
      <c r="D549" s="100"/>
      <c r="E549" s="100"/>
      <c r="F549" s="100"/>
      <c r="G549" s="100"/>
      <c r="H549" s="100"/>
    </row>
    <row r="550" spans="3:8">
      <c r="C550" s="100"/>
      <c r="D550" s="100"/>
      <c r="E550" s="100"/>
      <c r="F550" s="100"/>
      <c r="G550" s="100"/>
      <c r="H550" s="100"/>
    </row>
    <row r="551" spans="3:8">
      <c r="C551" s="100"/>
      <c r="D551" s="100"/>
      <c r="E551" s="100"/>
      <c r="F551" s="100"/>
      <c r="G551" s="100"/>
      <c r="H551" s="100"/>
    </row>
    <row r="552" spans="3:8">
      <c r="C552" s="100"/>
      <c r="D552" s="100"/>
      <c r="E552" s="100"/>
      <c r="F552" s="100"/>
      <c r="G552" s="100"/>
      <c r="H552" s="100"/>
    </row>
    <row r="553" spans="3:8">
      <c r="C553" s="100"/>
      <c r="D553" s="100"/>
      <c r="E553" s="100"/>
      <c r="F553" s="100"/>
      <c r="G553" s="100"/>
      <c r="H553" s="100"/>
    </row>
    <row r="554" spans="3:8">
      <c r="C554" s="100"/>
      <c r="D554" s="100"/>
      <c r="E554" s="100"/>
      <c r="F554" s="100"/>
      <c r="G554" s="100"/>
      <c r="H554" s="100"/>
    </row>
    <row r="555" spans="3:8">
      <c r="C555" s="100"/>
      <c r="D555" s="100"/>
      <c r="E555" s="100"/>
      <c r="F555" s="100"/>
      <c r="G555" s="100"/>
      <c r="H555" s="100"/>
    </row>
    <row r="556" spans="3:8">
      <c r="C556" s="100"/>
      <c r="D556" s="100"/>
      <c r="E556" s="100"/>
      <c r="F556" s="100"/>
      <c r="G556" s="100"/>
      <c r="H556" s="100"/>
    </row>
    <row r="557" spans="3:8">
      <c r="C557" s="100"/>
      <c r="D557" s="100"/>
      <c r="E557" s="100"/>
      <c r="F557" s="100"/>
      <c r="G557" s="100"/>
      <c r="H557" s="100"/>
    </row>
    <row r="558" spans="3:8">
      <c r="C558" s="100"/>
      <c r="D558" s="100"/>
      <c r="E558" s="100"/>
      <c r="F558" s="100"/>
      <c r="G558" s="100"/>
      <c r="H558" s="100"/>
    </row>
    <row r="559" spans="3:8">
      <c r="C559" s="100"/>
      <c r="D559" s="100"/>
      <c r="E559" s="100"/>
      <c r="F559" s="100"/>
      <c r="G559" s="100"/>
      <c r="H559" s="100"/>
    </row>
    <row r="560" spans="3:8">
      <c r="C560" s="100"/>
      <c r="D560" s="100"/>
      <c r="E560" s="100"/>
      <c r="F560" s="100"/>
      <c r="G560" s="100"/>
      <c r="H560" s="100"/>
    </row>
    <row r="561" spans="3:8">
      <c r="C561" s="100"/>
      <c r="D561" s="100"/>
      <c r="E561" s="100"/>
      <c r="F561" s="100"/>
      <c r="G561" s="100"/>
      <c r="H561" s="100"/>
    </row>
    <row r="562" spans="3:8">
      <c r="C562" s="100"/>
      <c r="D562" s="100"/>
      <c r="E562" s="100"/>
      <c r="F562" s="100"/>
      <c r="G562" s="100"/>
      <c r="H562" s="100"/>
    </row>
    <row r="563" spans="3:8">
      <c r="C563" s="100"/>
      <c r="D563" s="100"/>
      <c r="E563" s="100"/>
      <c r="F563" s="100"/>
      <c r="G563" s="100"/>
      <c r="H563" s="100"/>
    </row>
    <row r="564" spans="3:8">
      <c r="C564" s="100"/>
      <c r="D564" s="100"/>
      <c r="E564" s="100"/>
      <c r="F564" s="100"/>
      <c r="G564" s="100"/>
      <c r="H564" s="100"/>
    </row>
    <row r="565" spans="3:8">
      <c r="C565" s="100"/>
      <c r="D565" s="100"/>
      <c r="E565" s="100"/>
      <c r="F565" s="100"/>
      <c r="G565" s="100"/>
      <c r="H565" s="100"/>
    </row>
    <row r="566" spans="3:8">
      <c r="C566" s="100"/>
      <c r="D566" s="100"/>
      <c r="E566" s="100"/>
      <c r="F566" s="100"/>
      <c r="G566" s="100"/>
      <c r="H566" s="100"/>
    </row>
    <row r="567" spans="3:8">
      <c r="C567" s="100"/>
      <c r="D567" s="100"/>
      <c r="E567" s="100"/>
      <c r="F567" s="100"/>
      <c r="G567" s="100"/>
      <c r="H567" s="100"/>
    </row>
    <row r="568" spans="3:8">
      <c r="C568" s="100"/>
      <c r="D568" s="100"/>
      <c r="E568" s="100"/>
      <c r="F568" s="100"/>
      <c r="G568" s="100"/>
      <c r="H568" s="100"/>
    </row>
    <row r="569" spans="3:8">
      <c r="C569" s="100"/>
      <c r="D569" s="100"/>
      <c r="E569" s="100"/>
      <c r="F569" s="100"/>
      <c r="G569" s="100"/>
      <c r="H569" s="100"/>
    </row>
    <row r="570" spans="3:8">
      <c r="C570" s="100"/>
      <c r="D570" s="100"/>
      <c r="E570" s="100"/>
      <c r="F570" s="100"/>
      <c r="G570" s="100"/>
      <c r="H570" s="100"/>
    </row>
    <row r="571" spans="3:8">
      <c r="C571" s="100"/>
      <c r="D571" s="100"/>
      <c r="E571" s="100"/>
      <c r="F571" s="100"/>
      <c r="G571" s="100"/>
      <c r="H571" s="100"/>
    </row>
    <row r="572" spans="3:8">
      <c r="C572" s="100"/>
      <c r="D572" s="100"/>
      <c r="E572" s="100"/>
      <c r="F572" s="100"/>
      <c r="G572" s="100"/>
      <c r="H572" s="100"/>
    </row>
    <row r="573" spans="3:8">
      <c r="C573" s="100"/>
      <c r="D573" s="100"/>
      <c r="E573" s="100"/>
      <c r="F573" s="100"/>
      <c r="G573" s="100"/>
      <c r="H573" s="100"/>
    </row>
    <row r="574" spans="3:8">
      <c r="C574" s="100"/>
      <c r="D574" s="100"/>
      <c r="E574" s="100"/>
      <c r="F574" s="100"/>
      <c r="G574" s="100"/>
      <c r="H574" s="100"/>
    </row>
    <row r="575" spans="3:8">
      <c r="C575" s="100"/>
      <c r="D575" s="100"/>
      <c r="E575" s="100"/>
      <c r="F575" s="100"/>
      <c r="G575" s="100"/>
      <c r="H575" s="100"/>
    </row>
    <row r="576" spans="3:8">
      <c r="C576" s="100"/>
      <c r="D576" s="100"/>
      <c r="E576" s="100"/>
      <c r="F576" s="100"/>
      <c r="G576" s="100"/>
      <c r="H576" s="100"/>
    </row>
    <row r="577" spans="3:8">
      <c r="C577" s="100"/>
      <c r="D577" s="100"/>
      <c r="E577" s="100"/>
      <c r="F577" s="100"/>
      <c r="G577" s="100"/>
      <c r="H577" s="100"/>
    </row>
    <row r="578" spans="3:8">
      <c r="C578" s="100"/>
      <c r="D578" s="100"/>
      <c r="E578" s="100"/>
      <c r="F578" s="100"/>
      <c r="G578" s="100"/>
      <c r="H578" s="100"/>
    </row>
    <row r="579" spans="3:8">
      <c r="C579" s="100"/>
      <c r="D579" s="100"/>
      <c r="E579" s="100"/>
      <c r="F579" s="100"/>
      <c r="G579" s="100"/>
      <c r="H579" s="100"/>
    </row>
    <row r="580" spans="3:8">
      <c r="C580" s="100"/>
      <c r="D580" s="100"/>
      <c r="E580" s="100"/>
      <c r="F580" s="100"/>
      <c r="G580" s="100"/>
      <c r="H580" s="100"/>
    </row>
    <row r="581" spans="3:8">
      <c r="C581" s="100"/>
      <c r="D581" s="100"/>
      <c r="E581" s="100"/>
      <c r="F581" s="100"/>
      <c r="G581" s="100"/>
      <c r="H581" s="100"/>
    </row>
    <row r="582" spans="3:8">
      <c r="C582" s="100"/>
      <c r="D582" s="100"/>
      <c r="E582" s="100"/>
      <c r="F582" s="100"/>
      <c r="G582" s="100"/>
      <c r="H582" s="100"/>
    </row>
    <row r="583" spans="3:8">
      <c r="C583" s="100"/>
      <c r="D583" s="100"/>
      <c r="E583" s="100"/>
      <c r="F583" s="100"/>
      <c r="G583" s="100"/>
      <c r="H583" s="100"/>
    </row>
    <row r="584" spans="3:8">
      <c r="C584" s="100"/>
      <c r="D584" s="100"/>
      <c r="E584" s="100"/>
      <c r="F584" s="100"/>
      <c r="G584" s="100"/>
      <c r="H584" s="100"/>
    </row>
    <row r="585" spans="3:8">
      <c r="C585" s="100"/>
      <c r="D585" s="100"/>
      <c r="E585" s="100"/>
      <c r="F585" s="100"/>
      <c r="G585" s="100"/>
      <c r="H585" s="100"/>
    </row>
    <row r="586" spans="3:8">
      <c r="C586" s="100"/>
      <c r="D586" s="100"/>
      <c r="E586" s="100"/>
      <c r="F586" s="100"/>
      <c r="G586" s="100"/>
      <c r="H586" s="100"/>
    </row>
    <row r="587" spans="3:8">
      <c r="C587" s="100"/>
      <c r="D587" s="100"/>
      <c r="E587" s="100"/>
      <c r="F587" s="100"/>
      <c r="G587" s="100"/>
      <c r="H587" s="100"/>
    </row>
    <row r="588" spans="3:8">
      <c r="C588" s="100"/>
      <c r="D588" s="100"/>
      <c r="E588" s="100"/>
      <c r="F588" s="100"/>
      <c r="G588" s="100"/>
      <c r="H588" s="100"/>
    </row>
    <row r="589" spans="3:8">
      <c r="C589" s="100"/>
      <c r="D589" s="100"/>
      <c r="E589" s="100"/>
      <c r="F589" s="100"/>
      <c r="G589" s="100"/>
      <c r="H589" s="100"/>
    </row>
    <row r="590" spans="3:8">
      <c r="C590" s="100"/>
      <c r="D590" s="100"/>
      <c r="E590" s="100"/>
      <c r="F590" s="100"/>
      <c r="G590" s="100"/>
      <c r="H590" s="100"/>
    </row>
    <row r="591" spans="3:8">
      <c r="C591" s="100"/>
      <c r="D591" s="100"/>
      <c r="E591" s="100"/>
      <c r="F591" s="100"/>
      <c r="G591" s="100"/>
      <c r="H591" s="100"/>
    </row>
    <row r="592" spans="3:8">
      <c r="C592" s="100"/>
      <c r="D592" s="100"/>
      <c r="E592" s="100"/>
      <c r="F592" s="100"/>
      <c r="G592" s="100"/>
      <c r="H592" s="100"/>
    </row>
    <row r="593" spans="3:8">
      <c r="C593" s="100"/>
      <c r="D593" s="100"/>
      <c r="E593" s="100"/>
      <c r="F593" s="100"/>
      <c r="G593" s="100"/>
      <c r="H593" s="100"/>
    </row>
    <row r="594" spans="3:8">
      <c r="C594" s="100"/>
      <c r="D594" s="100"/>
      <c r="E594" s="100"/>
      <c r="F594" s="100"/>
      <c r="G594" s="100"/>
      <c r="H594" s="100"/>
    </row>
    <row r="595" spans="3:8">
      <c r="C595" s="100"/>
      <c r="D595" s="100"/>
      <c r="E595" s="100"/>
      <c r="F595" s="100"/>
      <c r="G595" s="100"/>
      <c r="H595" s="100"/>
    </row>
    <row r="596" spans="3:8">
      <c r="C596" s="100"/>
      <c r="D596" s="100"/>
      <c r="E596" s="100"/>
      <c r="F596" s="100"/>
      <c r="G596" s="100"/>
      <c r="H596" s="100"/>
    </row>
    <row r="597" spans="3:8">
      <c r="C597" s="100"/>
      <c r="D597" s="100"/>
      <c r="E597" s="100"/>
      <c r="F597" s="100"/>
      <c r="G597" s="100"/>
      <c r="H597" s="100"/>
    </row>
    <row r="598" spans="3:8">
      <c r="C598" s="100"/>
      <c r="D598" s="100"/>
      <c r="E598" s="100"/>
      <c r="F598" s="100"/>
      <c r="G598" s="100"/>
      <c r="H598" s="100"/>
    </row>
    <row r="599" spans="3:8">
      <c r="C599" s="100"/>
      <c r="D599" s="100"/>
      <c r="E599" s="100"/>
      <c r="F599" s="100"/>
      <c r="G599" s="100"/>
      <c r="H599" s="100"/>
    </row>
    <row r="600" spans="3:8">
      <c r="C600" s="100"/>
      <c r="D600" s="100"/>
      <c r="E600" s="100"/>
      <c r="F600" s="100"/>
      <c r="G600" s="100"/>
      <c r="H600" s="100"/>
    </row>
    <row r="601" spans="3:8">
      <c r="C601" s="100"/>
      <c r="D601" s="100"/>
      <c r="E601" s="100"/>
      <c r="F601" s="100"/>
      <c r="G601" s="100"/>
      <c r="H601" s="100"/>
    </row>
    <row r="602" spans="3:8">
      <c r="C602" s="100"/>
      <c r="D602" s="100"/>
      <c r="E602" s="100"/>
      <c r="F602" s="100"/>
      <c r="G602" s="100"/>
      <c r="H602" s="100"/>
    </row>
    <row r="603" spans="3:8">
      <c r="C603" s="100"/>
      <c r="D603" s="100"/>
      <c r="E603" s="100"/>
      <c r="F603" s="100"/>
      <c r="G603" s="100"/>
      <c r="H603" s="100"/>
    </row>
    <row r="604" spans="3:8">
      <c r="C604" s="100"/>
      <c r="D604" s="100"/>
      <c r="E604" s="100"/>
      <c r="F604" s="100"/>
      <c r="G604" s="100"/>
      <c r="H604" s="100"/>
    </row>
    <row r="605" spans="3:8">
      <c r="C605" s="100"/>
      <c r="D605" s="100"/>
      <c r="E605" s="100"/>
      <c r="F605" s="100"/>
      <c r="G605" s="100"/>
      <c r="H605" s="100"/>
    </row>
    <row r="606" spans="3:8">
      <c r="C606" s="100"/>
      <c r="D606" s="100"/>
      <c r="E606" s="100"/>
      <c r="F606" s="100"/>
      <c r="G606" s="100"/>
      <c r="H606" s="100"/>
    </row>
    <row r="607" spans="3:8">
      <c r="C607" s="100"/>
      <c r="D607" s="100"/>
      <c r="E607" s="100"/>
      <c r="F607" s="100"/>
      <c r="G607" s="100"/>
      <c r="H607" s="100"/>
    </row>
    <row r="608" spans="3:8">
      <c r="C608" s="100"/>
      <c r="D608" s="100"/>
      <c r="E608" s="100"/>
      <c r="F608" s="100"/>
      <c r="G608" s="100"/>
      <c r="H608" s="100"/>
    </row>
    <row r="609" spans="3:8">
      <c r="C609" s="100"/>
      <c r="D609" s="100"/>
      <c r="E609" s="100"/>
      <c r="F609" s="100"/>
      <c r="G609" s="100"/>
      <c r="H609" s="100"/>
    </row>
    <row r="610" spans="3:8">
      <c r="C610" s="100"/>
      <c r="D610" s="100"/>
      <c r="E610" s="100"/>
      <c r="F610" s="100"/>
      <c r="G610" s="100"/>
      <c r="H610" s="100"/>
    </row>
    <row r="611" spans="3:8">
      <c r="C611" s="100"/>
      <c r="D611" s="100"/>
      <c r="E611" s="100"/>
      <c r="F611" s="100"/>
      <c r="G611" s="100"/>
      <c r="H611" s="100"/>
    </row>
    <row r="612" spans="3:8">
      <c r="C612" s="100"/>
      <c r="D612" s="100"/>
      <c r="E612" s="100"/>
      <c r="F612" s="100"/>
      <c r="G612" s="100"/>
      <c r="H612" s="100"/>
    </row>
    <row r="613" spans="3:8">
      <c r="C613" s="100"/>
      <c r="D613" s="100"/>
      <c r="E613" s="100"/>
      <c r="F613" s="100"/>
      <c r="G613" s="100"/>
      <c r="H613" s="100"/>
    </row>
    <row r="614" spans="3:8">
      <c r="C614" s="100"/>
      <c r="D614" s="100"/>
      <c r="E614" s="100"/>
      <c r="F614" s="100"/>
      <c r="G614" s="100"/>
      <c r="H614" s="100"/>
    </row>
    <row r="615" spans="3:8">
      <c r="C615" s="100"/>
      <c r="D615" s="100"/>
      <c r="E615" s="100"/>
      <c r="F615" s="100"/>
      <c r="G615" s="100"/>
      <c r="H615" s="100"/>
    </row>
    <row r="616" spans="3:8">
      <c r="C616" s="100"/>
      <c r="D616" s="100"/>
      <c r="E616" s="100"/>
      <c r="F616" s="100"/>
      <c r="G616" s="100"/>
      <c r="H616" s="100"/>
    </row>
    <row r="617" spans="3:8">
      <c r="C617" s="100"/>
      <c r="D617" s="100"/>
      <c r="E617" s="100"/>
      <c r="F617" s="100"/>
      <c r="G617" s="100"/>
      <c r="H617" s="100"/>
    </row>
    <row r="618" spans="3:8">
      <c r="C618" s="100"/>
      <c r="D618" s="100"/>
      <c r="E618" s="100"/>
      <c r="F618" s="100"/>
      <c r="G618" s="100"/>
      <c r="H618" s="100"/>
    </row>
    <row r="619" spans="3:8">
      <c r="C619" s="100"/>
      <c r="D619" s="100"/>
      <c r="E619" s="100"/>
      <c r="F619" s="100"/>
      <c r="G619" s="100"/>
      <c r="H619" s="100"/>
    </row>
    <row r="620" spans="3:8">
      <c r="C620" s="100"/>
      <c r="D620" s="100"/>
      <c r="E620" s="100"/>
      <c r="F620" s="100"/>
      <c r="G620" s="100"/>
      <c r="H620" s="100"/>
    </row>
    <row r="621" spans="3:8">
      <c r="C621" s="100"/>
      <c r="D621" s="100"/>
      <c r="E621" s="100"/>
      <c r="F621" s="100"/>
      <c r="G621" s="100"/>
      <c r="H621" s="100"/>
    </row>
    <row r="622" spans="3:8">
      <c r="C622" s="100"/>
      <c r="D622" s="100"/>
      <c r="E622" s="100"/>
      <c r="F622" s="100"/>
      <c r="G622" s="100"/>
      <c r="H622" s="100"/>
    </row>
    <row r="623" spans="3:8">
      <c r="C623" s="100"/>
      <c r="D623" s="100"/>
      <c r="E623" s="100"/>
      <c r="F623" s="100"/>
      <c r="G623" s="100"/>
      <c r="H623" s="100"/>
    </row>
    <row r="624" spans="3:8">
      <c r="C624" s="100"/>
      <c r="D624" s="100"/>
      <c r="E624" s="100"/>
      <c r="F624" s="100"/>
      <c r="G624" s="100"/>
      <c r="H624" s="100"/>
    </row>
    <row r="625" spans="3:8">
      <c r="C625" s="100"/>
      <c r="D625" s="100"/>
      <c r="E625" s="100"/>
      <c r="F625" s="100"/>
      <c r="G625" s="100"/>
      <c r="H625" s="100"/>
    </row>
    <row r="626" spans="3:8">
      <c r="C626" s="100"/>
      <c r="D626" s="100"/>
      <c r="E626" s="100"/>
      <c r="F626" s="100"/>
      <c r="G626" s="100"/>
      <c r="H626" s="100"/>
    </row>
    <row r="627" spans="3:8">
      <c r="C627" s="100"/>
      <c r="D627" s="100"/>
      <c r="E627" s="100"/>
      <c r="F627" s="100"/>
      <c r="G627" s="100"/>
      <c r="H627" s="100"/>
    </row>
    <row r="628" spans="3:8">
      <c r="C628" s="100"/>
      <c r="D628" s="100"/>
      <c r="E628" s="100"/>
      <c r="F628" s="100"/>
      <c r="G628" s="100"/>
      <c r="H628" s="100"/>
    </row>
    <row r="629" spans="3:8">
      <c r="C629" s="100"/>
      <c r="D629" s="100"/>
      <c r="E629" s="100"/>
      <c r="F629" s="100"/>
      <c r="G629" s="100"/>
      <c r="H629" s="100"/>
    </row>
    <row r="630" spans="3:8">
      <c r="C630" s="100"/>
      <c r="D630" s="100"/>
      <c r="E630" s="100"/>
      <c r="F630" s="100"/>
      <c r="G630" s="100"/>
      <c r="H630" s="100"/>
    </row>
    <row r="631" spans="3:8">
      <c r="C631" s="100"/>
      <c r="D631" s="100"/>
      <c r="E631" s="100"/>
      <c r="F631" s="100"/>
      <c r="G631" s="100"/>
      <c r="H631" s="100"/>
    </row>
    <row r="632" spans="3:8">
      <c r="C632" s="100"/>
      <c r="D632" s="100"/>
      <c r="E632" s="100"/>
      <c r="F632" s="100"/>
      <c r="G632" s="100"/>
      <c r="H632" s="100"/>
    </row>
    <row r="633" spans="3:8">
      <c r="C633" s="100"/>
      <c r="D633" s="100"/>
      <c r="E633" s="100"/>
      <c r="F633" s="100"/>
      <c r="G633" s="100"/>
      <c r="H633" s="100"/>
    </row>
    <row r="634" spans="3:8">
      <c r="C634" s="100"/>
      <c r="D634" s="100"/>
      <c r="E634" s="100"/>
      <c r="F634" s="100"/>
      <c r="G634" s="100"/>
      <c r="H634" s="100"/>
    </row>
    <row r="635" spans="3:8">
      <c r="C635" s="100"/>
      <c r="D635" s="100"/>
      <c r="E635" s="100"/>
      <c r="F635" s="100"/>
      <c r="G635" s="100"/>
      <c r="H635" s="100"/>
    </row>
    <row r="636" spans="3:8">
      <c r="C636" s="100"/>
      <c r="D636" s="100"/>
      <c r="E636" s="100"/>
      <c r="F636" s="100"/>
      <c r="G636" s="100"/>
      <c r="H636" s="100"/>
    </row>
    <row r="637" spans="3:8">
      <c r="C637" s="100"/>
      <c r="D637" s="100"/>
      <c r="E637" s="100"/>
      <c r="F637" s="100"/>
      <c r="G637" s="100"/>
      <c r="H637" s="100"/>
    </row>
    <row r="638" spans="3:8">
      <c r="C638" s="100"/>
      <c r="D638" s="100"/>
      <c r="E638" s="100"/>
      <c r="F638" s="100"/>
      <c r="G638" s="100"/>
      <c r="H638" s="100"/>
    </row>
    <row r="639" spans="3:8">
      <c r="C639" s="100"/>
      <c r="D639" s="100"/>
      <c r="E639" s="100"/>
      <c r="F639" s="100"/>
      <c r="G639" s="100"/>
      <c r="H639" s="100"/>
    </row>
    <row r="640" spans="3:8">
      <c r="C640" s="100"/>
      <c r="D640" s="100"/>
      <c r="E640" s="100"/>
      <c r="F640" s="100"/>
      <c r="G640" s="100"/>
      <c r="H640" s="100"/>
    </row>
    <row r="641" spans="3:8">
      <c r="C641" s="100"/>
      <c r="D641" s="100"/>
      <c r="E641" s="100"/>
      <c r="F641" s="100"/>
      <c r="G641" s="100"/>
      <c r="H641" s="100"/>
    </row>
    <row r="642" spans="3:8">
      <c r="C642" s="100"/>
      <c r="D642" s="100"/>
      <c r="E642" s="100"/>
      <c r="F642" s="100"/>
      <c r="G642" s="100"/>
      <c r="H642" s="100"/>
    </row>
    <row r="643" spans="3:8">
      <c r="C643" s="100"/>
      <c r="D643" s="100"/>
      <c r="E643" s="100"/>
      <c r="F643" s="100"/>
      <c r="G643" s="100"/>
      <c r="H643" s="100"/>
    </row>
    <row r="644" spans="3:8">
      <c r="C644" s="100"/>
      <c r="D644" s="100"/>
      <c r="E644" s="100"/>
      <c r="F644" s="100"/>
      <c r="G644" s="100"/>
      <c r="H644" s="100"/>
    </row>
    <row r="645" spans="3:8">
      <c r="C645" s="100"/>
      <c r="D645" s="100"/>
      <c r="E645" s="100"/>
      <c r="F645" s="100"/>
      <c r="G645" s="100"/>
      <c r="H645" s="100"/>
    </row>
    <row r="646" spans="3:8">
      <c r="C646" s="100"/>
      <c r="D646" s="100"/>
      <c r="E646" s="100"/>
      <c r="F646" s="100"/>
      <c r="G646" s="100"/>
      <c r="H646" s="100"/>
    </row>
    <row r="647" spans="3:8">
      <c r="C647" s="100"/>
      <c r="D647" s="100"/>
      <c r="E647" s="100"/>
      <c r="F647" s="100"/>
      <c r="G647" s="100"/>
      <c r="H647" s="100"/>
    </row>
    <row r="648" spans="3:8">
      <c r="C648" s="100"/>
      <c r="D648" s="100"/>
      <c r="E648" s="100"/>
      <c r="F648" s="100"/>
      <c r="G648" s="100"/>
      <c r="H648" s="100"/>
    </row>
    <row r="649" spans="3:8">
      <c r="C649" s="100"/>
      <c r="D649" s="100"/>
      <c r="E649" s="100"/>
      <c r="F649" s="100"/>
      <c r="G649" s="100"/>
      <c r="H649" s="100"/>
    </row>
    <row r="650" spans="3:8">
      <c r="C650" s="100"/>
      <c r="D650" s="100"/>
      <c r="E650" s="100"/>
      <c r="F650" s="100"/>
      <c r="G650" s="100"/>
      <c r="H650" s="100"/>
    </row>
    <row r="651" spans="3:8">
      <c r="C651" s="100"/>
      <c r="D651" s="100"/>
      <c r="E651" s="100"/>
      <c r="F651" s="100"/>
      <c r="G651" s="100"/>
      <c r="H651" s="100"/>
    </row>
    <row r="652" spans="3:8">
      <c r="C652" s="100"/>
      <c r="D652" s="100"/>
      <c r="E652" s="100"/>
      <c r="F652" s="100"/>
      <c r="G652" s="100"/>
      <c r="H652" s="100"/>
    </row>
    <row r="653" spans="3:8">
      <c r="C653" s="100"/>
      <c r="D653" s="100"/>
      <c r="E653" s="100"/>
      <c r="F653" s="100"/>
      <c r="G653" s="100"/>
      <c r="H653" s="100"/>
    </row>
    <row r="654" spans="3:8">
      <c r="C654" s="100"/>
      <c r="D654" s="100"/>
      <c r="E654" s="100"/>
      <c r="F654" s="100"/>
      <c r="G654" s="100"/>
      <c r="H654" s="100"/>
    </row>
    <row r="655" spans="3:8">
      <c r="C655" s="100"/>
      <c r="D655" s="100"/>
      <c r="E655" s="100"/>
      <c r="F655" s="100"/>
      <c r="G655" s="100"/>
      <c r="H655" s="100"/>
    </row>
    <row r="656" spans="3:8">
      <c r="C656" s="100"/>
      <c r="D656" s="100"/>
      <c r="E656" s="100"/>
      <c r="F656" s="100"/>
      <c r="G656" s="100"/>
      <c r="H656" s="100"/>
    </row>
    <row r="657" spans="3:8">
      <c r="C657" s="100"/>
      <c r="D657" s="100"/>
      <c r="E657" s="100"/>
      <c r="F657" s="100"/>
      <c r="G657" s="100"/>
      <c r="H657" s="100"/>
    </row>
    <row r="658" spans="3:8">
      <c r="C658" s="100"/>
      <c r="D658" s="100"/>
      <c r="E658" s="100"/>
      <c r="F658" s="100"/>
      <c r="G658" s="100"/>
      <c r="H658" s="100"/>
    </row>
    <row r="659" spans="3:8">
      <c r="C659" s="100"/>
      <c r="D659" s="100"/>
      <c r="E659" s="100"/>
      <c r="F659" s="100"/>
      <c r="G659" s="100"/>
      <c r="H659" s="100"/>
    </row>
    <row r="660" spans="3:8">
      <c r="C660" s="100"/>
      <c r="D660" s="100"/>
      <c r="E660" s="100"/>
      <c r="F660" s="100"/>
      <c r="G660" s="100"/>
      <c r="H660" s="100"/>
    </row>
    <row r="661" spans="3:8">
      <c r="C661" s="100"/>
      <c r="D661" s="100"/>
      <c r="E661" s="100"/>
      <c r="F661" s="100"/>
      <c r="G661" s="100"/>
      <c r="H661" s="100"/>
    </row>
    <row r="662" spans="3:8">
      <c r="C662" s="100"/>
      <c r="D662" s="100"/>
      <c r="E662" s="100"/>
      <c r="F662" s="100"/>
      <c r="G662" s="100"/>
      <c r="H662" s="100"/>
    </row>
    <row r="663" spans="3:8">
      <c r="C663" s="100"/>
      <c r="D663" s="100"/>
      <c r="E663" s="100"/>
      <c r="F663" s="100"/>
      <c r="G663" s="100"/>
      <c r="H663" s="100"/>
    </row>
    <row r="664" spans="3:8">
      <c r="C664" s="100"/>
      <c r="D664" s="100"/>
      <c r="E664" s="100"/>
      <c r="F664" s="100"/>
      <c r="G664" s="100"/>
      <c r="H664" s="100"/>
    </row>
    <row r="665" spans="3:8">
      <c r="C665" s="100"/>
      <c r="D665" s="100"/>
      <c r="E665" s="100"/>
      <c r="F665" s="100"/>
      <c r="G665" s="100"/>
      <c r="H665" s="100"/>
    </row>
    <row r="666" spans="3:8">
      <c r="C666" s="100"/>
      <c r="D666" s="100"/>
      <c r="E666" s="100"/>
      <c r="F666" s="100"/>
      <c r="G666" s="100"/>
      <c r="H666" s="100"/>
    </row>
    <row r="667" spans="3:8">
      <c r="C667" s="100"/>
      <c r="D667" s="100"/>
      <c r="E667" s="100"/>
      <c r="F667" s="100"/>
      <c r="G667" s="100"/>
      <c r="H667" s="100"/>
    </row>
    <row r="668" spans="3:8">
      <c r="C668" s="100"/>
      <c r="D668" s="100"/>
      <c r="E668" s="100"/>
      <c r="F668" s="100"/>
      <c r="G668" s="100"/>
      <c r="H668" s="100"/>
    </row>
    <row r="669" spans="3:8">
      <c r="C669" s="100"/>
      <c r="D669" s="100"/>
      <c r="E669" s="100"/>
      <c r="F669" s="100"/>
      <c r="G669" s="100"/>
      <c r="H669" s="100"/>
    </row>
    <row r="670" spans="3:8">
      <c r="C670" s="100"/>
      <c r="D670" s="100"/>
      <c r="E670" s="100"/>
      <c r="F670" s="100"/>
      <c r="G670" s="100"/>
      <c r="H670" s="100"/>
    </row>
    <row r="671" spans="3:8">
      <c r="C671" s="100"/>
      <c r="D671" s="100"/>
      <c r="E671" s="100"/>
      <c r="F671" s="100"/>
      <c r="G671" s="100"/>
      <c r="H671" s="100"/>
    </row>
    <row r="672" spans="3:8">
      <c r="C672" s="100"/>
      <c r="D672" s="100"/>
      <c r="E672" s="100"/>
      <c r="F672" s="100"/>
      <c r="G672" s="100"/>
      <c r="H672" s="100"/>
    </row>
    <row r="673" spans="3:8">
      <c r="C673" s="100"/>
      <c r="D673" s="100"/>
      <c r="E673" s="100"/>
      <c r="F673" s="100"/>
      <c r="G673" s="100"/>
      <c r="H673" s="100"/>
    </row>
    <row r="674" spans="3:8">
      <c r="C674" s="100"/>
      <c r="D674" s="100"/>
      <c r="E674" s="100"/>
      <c r="F674" s="100"/>
      <c r="G674" s="100"/>
      <c r="H674" s="100"/>
    </row>
    <row r="675" spans="3:8">
      <c r="C675" s="100"/>
      <c r="D675" s="100"/>
      <c r="E675" s="100"/>
      <c r="F675" s="100"/>
      <c r="G675" s="100"/>
      <c r="H675" s="100"/>
    </row>
    <row r="676" spans="3:8">
      <c r="C676" s="100"/>
      <c r="D676" s="100"/>
      <c r="E676" s="100"/>
      <c r="F676" s="100"/>
      <c r="G676" s="100"/>
      <c r="H676" s="100"/>
    </row>
    <row r="677" spans="3:8">
      <c r="C677" s="100"/>
      <c r="D677" s="100"/>
      <c r="E677" s="100"/>
      <c r="F677" s="100"/>
      <c r="G677" s="100"/>
      <c r="H677" s="100"/>
    </row>
    <row r="678" spans="3:8">
      <c r="C678" s="100"/>
      <c r="D678" s="100"/>
      <c r="E678" s="100"/>
      <c r="F678" s="100"/>
      <c r="G678" s="100"/>
      <c r="H678" s="100"/>
    </row>
    <row r="679" spans="3:8">
      <c r="C679" s="100"/>
      <c r="D679" s="100"/>
      <c r="E679" s="100"/>
      <c r="F679" s="100"/>
      <c r="G679" s="100"/>
      <c r="H679" s="100"/>
    </row>
    <row r="680" spans="3:8">
      <c r="C680" s="100"/>
      <c r="D680" s="100"/>
      <c r="E680" s="100"/>
      <c r="F680" s="100"/>
      <c r="G680" s="100"/>
      <c r="H680" s="100"/>
    </row>
    <row r="681" spans="3:8">
      <c r="C681" s="100"/>
      <c r="D681" s="100"/>
      <c r="E681" s="100"/>
      <c r="F681" s="100"/>
      <c r="G681" s="100"/>
      <c r="H681" s="100"/>
    </row>
    <row r="682" spans="3:8">
      <c r="C682" s="100"/>
      <c r="D682" s="100"/>
      <c r="E682" s="100"/>
      <c r="F682" s="100"/>
      <c r="G682" s="100"/>
      <c r="H682" s="100"/>
    </row>
    <row r="683" spans="3:8">
      <c r="C683" s="100"/>
      <c r="D683" s="100"/>
      <c r="E683" s="100"/>
      <c r="F683" s="100"/>
      <c r="G683" s="100"/>
      <c r="H683" s="100"/>
    </row>
    <row r="684" spans="3:8">
      <c r="C684" s="100"/>
      <c r="D684" s="100"/>
      <c r="E684" s="100"/>
      <c r="F684" s="100"/>
      <c r="G684" s="100"/>
      <c r="H684" s="100"/>
    </row>
    <row r="685" spans="3:8">
      <c r="C685" s="100"/>
      <c r="D685" s="100"/>
      <c r="E685" s="100"/>
      <c r="F685" s="100"/>
      <c r="G685" s="100"/>
      <c r="H685" s="100"/>
    </row>
    <row r="686" spans="3:8">
      <c r="C686" s="100"/>
      <c r="D686" s="100"/>
      <c r="E686" s="100"/>
      <c r="F686" s="100"/>
      <c r="G686" s="100"/>
      <c r="H686" s="100"/>
    </row>
    <row r="687" spans="3:8">
      <c r="C687" s="100"/>
      <c r="D687" s="100"/>
      <c r="E687" s="100"/>
      <c r="F687" s="100"/>
      <c r="G687" s="100"/>
      <c r="H687" s="100"/>
    </row>
    <row r="688" spans="3:8">
      <c r="C688" s="100"/>
      <c r="D688" s="100"/>
      <c r="E688" s="100"/>
      <c r="F688" s="100"/>
      <c r="G688" s="100"/>
      <c r="H688" s="100"/>
    </row>
    <row r="689" spans="3:8">
      <c r="C689" s="100"/>
      <c r="D689" s="100"/>
      <c r="E689" s="100"/>
      <c r="F689" s="100"/>
      <c r="G689" s="100"/>
      <c r="H689" s="100"/>
    </row>
    <row r="690" spans="3:8">
      <c r="C690" s="100"/>
      <c r="D690" s="100"/>
      <c r="E690" s="100"/>
      <c r="F690" s="100"/>
      <c r="G690" s="100"/>
      <c r="H690" s="100"/>
    </row>
    <row r="691" spans="3:8">
      <c r="C691" s="100"/>
      <c r="D691" s="100"/>
      <c r="E691" s="100"/>
      <c r="F691" s="100"/>
      <c r="G691" s="100"/>
      <c r="H691" s="100"/>
    </row>
    <row r="692" spans="3:8">
      <c r="C692" s="100"/>
      <c r="D692" s="100"/>
      <c r="E692" s="100"/>
      <c r="F692" s="100"/>
      <c r="G692" s="100"/>
      <c r="H692" s="100"/>
    </row>
    <row r="693" spans="3:8">
      <c r="C693" s="100"/>
      <c r="D693" s="100"/>
      <c r="E693" s="100"/>
      <c r="F693" s="100"/>
      <c r="G693" s="100"/>
      <c r="H693" s="100"/>
    </row>
    <row r="694" spans="3:8">
      <c r="C694" s="100"/>
      <c r="D694" s="100"/>
      <c r="E694" s="100"/>
      <c r="F694" s="100"/>
      <c r="G694" s="100"/>
      <c r="H694" s="100"/>
    </row>
    <row r="695" spans="3:8">
      <c r="C695" s="100"/>
      <c r="D695" s="100"/>
      <c r="E695" s="100"/>
      <c r="F695" s="100"/>
      <c r="G695" s="100"/>
      <c r="H695" s="100"/>
    </row>
    <row r="696" spans="3:8">
      <c r="C696" s="100"/>
      <c r="D696" s="100"/>
      <c r="E696" s="100"/>
      <c r="F696" s="100"/>
      <c r="G696" s="100"/>
      <c r="H696" s="100"/>
    </row>
    <row r="697" spans="3:8">
      <c r="C697" s="100"/>
      <c r="D697" s="100"/>
      <c r="E697" s="100"/>
      <c r="F697" s="100"/>
      <c r="G697" s="100"/>
      <c r="H697" s="100"/>
    </row>
    <row r="698" spans="3:8">
      <c r="C698" s="100"/>
      <c r="D698" s="100"/>
      <c r="E698" s="100"/>
      <c r="F698" s="100"/>
      <c r="G698" s="100"/>
      <c r="H698" s="100"/>
    </row>
    <row r="699" spans="3:8">
      <c r="C699" s="100"/>
      <c r="D699" s="100"/>
      <c r="E699" s="100"/>
      <c r="F699" s="100"/>
      <c r="G699" s="100"/>
      <c r="H699" s="100"/>
    </row>
    <row r="700" spans="3:8">
      <c r="C700" s="100"/>
      <c r="D700" s="100"/>
      <c r="E700" s="100"/>
      <c r="F700" s="100"/>
      <c r="G700" s="100"/>
      <c r="H700" s="100"/>
    </row>
    <row r="701" spans="3:8">
      <c r="C701" s="100"/>
      <c r="D701" s="100"/>
      <c r="E701" s="100"/>
      <c r="F701" s="100"/>
      <c r="G701" s="100"/>
      <c r="H701" s="100"/>
    </row>
    <row r="702" spans="3:8">
      <c r="C702" s="100"/>
      <c r="D702" s="100"/>
      <c r="E702" s="100"/>
      <c r="F702" s="100"/>
      <c r="G702" s="100"/>
      <c r="H702" s="100"/>
    </row>
    <row r="703" spans="3:8">
      <c r="C703" s="100"/>
      <c r="D703" s="100"/>
      <c r="E703" s="100"/>
      <c r="F703" s="100"/>
      <c r="G703" s="100"/>
      <c r="H703" s="100"/>
    </row>
    <row r="704" spans="3:8">
      <c r="C704" s="100"/>
      <c r="D704" s="100"/>
      <c r="E704" s="100"/>
      <c r="F704" s="100"/>
      <c r="G704" s="100"/>
      <c r="H704" s="100"/>
    </row>
    <row r="705" spans="3:8">
      <c r="C705" s="100"/>
      <c r="D705" s="100"/>
      <c r="E705" s="100"/>
      <c r="F705" s="100"/>
      <c r="G705" s="100"/>
      <c r="H705" s="100"/>
    </row>
    <row r="706" spans="3:8">
      <c r="C706" s="100"/>
      <c r="D706" s="100"/>
      <c r="E706" s="100"/>
      <c r="F706" s="100"/>
      <c r="G706" s="100"/>
      <c r="H706" s="100"/>
    </row>
    <row r="707" spans="3:8">
      <c r="C707" s="100"/>
      <c r="D707" s="100"/>
      <c r="E707" s="100"/>
      <c r="F707" s="100"/>
      <c r="G707" s="100"/>
      <c r="H707" s="100"/>
    </row>
    <row r="708" spans="3:8">
      <c r="C708" s="100"/>
      <c r="D708" s="100"/>
      <c r="E708" s="100"/>
      <c r="F708" s="100"/>
      <c r="G708" s="100"/>
      <c r="H708" s="100"/>
    </row>
    <row r="709" spans="3:8">
      <c r="C709" s="100"/>
      <c r="D709" s="100"/>
      <c r="E709" s="100"/>
      <c r="F709" s="100"/>
      <c r="G709" s="100"/>
      <c r="H709" s="100"/>
    </row>
    <row r="710" spans="3:8">
      <c r="C710" s="100"/>
      <c r="D710" s="100"/>
      <c r="E710" s="100"/>
      <c r="F710" s="100"/>
      <c r="G710" s="100"/>
      <c r="H710" s="100"/>
    </row>
    <row r="711" spans="3:8">
      <c r="C711" s="100"/>
      <c r="D711" s="100"/>
      <c r="E711" s="100"/>
      <c r="F711" s="100"/>
      <c r="G711" s="100"/>
      <c r="H711" s="100"/>
    </row>
    <row r="712" spans="3:8">
      <c r="C712" s="100"/>
      <c r="D712" s="100"/>
      <c r="E712" s="100"/>
      <c r="F712" s="100"/>
      <c r="G712" s="100"/>
      <c r="H712" s="100"/>
    </row>
    <row r="713" spans="3:8">
      <c r="C713" s="100"/>
      <c r="D713" s="100"/>
      <c r="E713" s="100"/>
      <c r="F713" s="100"/>
      <c r="G713" s="100"/>
      <c r="H713" s="100"/>
    </row>
    <row r="714" spans="3:8">
      <c r="C714" s="100"/>
      <c r="D714" s="100"/>
      <c r="E714" s="100"/>
      <c r="F714" s="100"/>
      <c r="G714" s="100"/>
      <c r="H714" s="100"/>
    </row>
    <row r="715" spans="3:8">
      <c r="C715" s="100"/>
      <c r="D715" s="100"/>
      <c r="E715" s="100"/>
      <c r="F715" s="100"/>
      <c r="G715" s="100"/>
      <c r="H715" s="100"/>
    </row>
    <row r="716" spans="3:8">
      <c r="C716" s="100"/>
      <c r="D716" s="100"/>
      <c r="E716" s="100"/>
      <c r="F716" s="100"/>
      <c r="G716" s="100"/>
      <c r="H716" s="100"/>
    </row>
    <row r="717" spans="3:8">
      <c r="C717" s="100"/>
      <c r="D717" s="100"/>
      <c r="E717" s="100"/>
      <c r="F717" s="100"/>
      <c r="G717" s="100"/>
      <c r="H717" s="100"/>
    </row>
    <row r="718" spans="3:8">
      <c r="C718" s="100"/>
      <c r="D718" s="100"/>
      <c r="E718" s="100"/>
      <c r="F718" s="100"/>
      <c r="G718" s="100"/>
      <c r="H718" s="100"/>
    </row>
    <row r="719" spans="3:8">
      <c r="C719" s="100"/>
      <c r="D719" s="100"/>
      <c r="E719" s="100"/>
      <c r="F719" s="100"/>
      <c r="G719" s="100"/>
      <c r="H719" s="100"/>
    </row>
    <row r="720" spans="3:8">
      <c r="C720" s="100"/>
      <c r="D720" s="100"/>
      <c r="E720" s="100"/>
      <c r="F720" s="100"/>
      <c r="G720" s="100"/>
      <c r="H720" s="100"/>
    </row>
    <row r="721" spans="3:8">
      <c r="C721" s="100"/>
      <c r="D721" s="100"/>
      <c r="E721" s="100"/>
      <c r="F721" s="100"/>
      <c r="G721" s="100"/>
      <c r="H721" s="100"/>
    </row>
    <row r="722" spans="3:8">
      <c r="C722" s="100"/>
      <c r="D722" s="100"/>
      <c r="E722" s="100"/>
      <c r="F722" s="100"/>
      <c r="G722" s="100"/>
      <c r="H722" s="100"/>
    </row>
    <row r="723" spans="3:8">
      <c r="C723" s="100"/>
      <c r="D723" s="100"/>
      <c r="E723" s="100"/>
      <c r="F723" s="100"/>
      <c r="G723" s="100"/>
      <c r="H723" s="100"/>
    </row>
    <row r="724" spans="3:8">
      <c r="C724" s="100"/>
      <c r="D724" s="100"/>
      <c r="E724" s="100"/>
      <c r="F724" s="100"/>
      <c r="G724" s="100"/>
      <c r="H724" s="100"/>
    </row>
    <row r="725" spans="3:8">
      <c r="C725" s="100"/>
      <c r="D725" s="100"/>
      <c r="E725" s="100"/>
      <c r="F725" s="100"/>
      <c r="G725" s="100"/>
      <c r="H725" s="100"/>
    </row>
    <row r="726" spans="3:8">
      <c r="C726" s="100"/>
      <c r="D726" s="100"/>
      <c r="E726" s="100"/>
      <c r="F726" s="100"/>
      <c r="G726" s="100"/>
      <c r="H726" s="100"/>
    </row>
    <row r="727" spans="3:8">
      <c r="C727" s="100"/>
      <c r="D727" s="100"/>
      <c r="E727" s="100"/>
      <c r="F727" s="100"/>
      <c r="G727" s="100"/>
      <c r="H727" s="100"/>
    </row>
    <row r="728" spans="3:8">
      <c r="C728" s="100"/>
      <c r="D728" s="100"/>
      <c r="E728" s="100"/>
      <c r="F728" s="100"/>
      <c r="G728" s="100"/>
      <c r="H728" s="100"/>
    </row>
    <row r="729" spans="3:8">
      <c r="C729" s="100"/>
      <c r="D729" s="100"/>
      <c r="E729" s="100"/>
      <c r="F729" s="100"/>
      <c r="G729" s="100"/>
      <c r="H729" s="100"/>
    </row>
    <row r="730" spans="3:8">
      <c r="C730" s="100"/>
      <c r="D730" s="100"/>
      <c r="E730" s="100"/>
      <c r="F730" s="100"/>
      <c r="G730" s="100"/>
      <c r="H730" s="100"/>
    </row>
    <row r="731" spans="3:8">
      <c r="C731" s="100"/>
      <c r="D731" s="100"/>
      <c r="E731" s="100"/>
      <c r="F731" s="100"/>
      <c r="G731" s="100"/>
      <c r="H731" s="100"/>
    </row>
    <row r="732" spans="3:8">
      <c r="C732" s="100"/>
      <c r="D732" s="100"/>
      <c r="E732" s="100"/>
      <c r="F732" s="100"/>
      <c r="G732" s="100"/>
      <c r="H732" s="100"/>
    </row>
    <row r="733" spans="3:8">
      <c r="C733" s="100"/>
      <c r="D733" s="100"/>
      <c r="E733" s="100"/>
      <c r="F733" s="100"/>
      <c r="G733" s="100"/>
      <c r="H733" s="100"/>
    </row>
    <row r="734" spans="3:8">
      <c r="C734" s="100"/>
      <c r="D734" s="100"/>
      <c r="E734" s="100"/>
      <c r="F734" s="100"/>
      <c r="G734" s="100"/>
      <c r="H734" s="100"/>
    </row>
    <row r="735" spans="3:8">
      <c r="C735" s="100"/>
      <c r="D735" s="100"/>
      <c r="E735" s="100"/>
      <c r="F735" s="100"/>
      <c r="G735" s="100"/>
      <c r="H735" s="100"/>
    </row>
    <row r="736" spans="3:8">
      <c r="C736" s="100"/>
      <c r="D736" s="100"/>
      <c r="E736" s="100"/>
      <c r="F736" s="100"/>
      <c r="G736" s="100"/>
      <c r="H736" s="100"/>
    </row>
    <row r="737" spans="3:8">
      <c r="C737" s="100"/>
      <c r="D737" s="100"/>
      <c r="E737" s="100"/>
      <c r="F737" s="100"/>
      <c r="G737" s="100"/>
      <c r="H737" s="100"/>
    </row>
    <row r="738" spans="3:8">
      <c r="C738" s="100"/>
      <c r="D738" s="100"/>
      <c r="E738" s="100"/>
      <c r="F738" s="100"/>
      <c r="G738" s="100"/>
      <c r="H738" s="100"/>
    </row>
    <row r="739" spans="3:8">
      <c r="C739" s="100"/>
      <c r="D739" s="100"/>
      <c r="E739" s="100"/>
      <c r="F739" s="100"/>
      <c r="G739" s="100"/>
      <c r="H739" s="100"/>
    </row>
    <row r="740" spans="3:8">
      <c r="C740" s="100"/>
      <c r="D740" s="100"/>
      <c r="E740" s="100"/>
      <c r="F740" s="100"/>
      <c r="G740" s="100"/>
      <c r="H740" s="100"/>
    </row>
    <row r="741" spans="3:8">
      <c r="C741" s="100"/>
      <c r="D741" s="100"/>
      <c r="E741" s="100"/>
      <c r="F741" s="100"/>
      <c r="G741" s="100"/>
      <c r="H741" s="100"/>
    </row>
    <row r="742" spans="3:8">
      <c r="C742" s="100"/>
      <c r="D742" s="100"/>
      <c r="E742" s="100"/>
      <c r="F742" s="100"/>
      <c r="G742" s="100"/>
      <c r="H742" s="100"/>
    </row>
    <row r="743" spans="3:8">
      <c r="C743" s="100"/>
      <c r="D743" s="100"/>
      <c r="E743" s="100"/>
      <c r="F743" s="100"/>
      <c r="G743" s="100"/>
      <c r="H743" s="100"/>
    </row>
    <row r="744" spans="3:8">
      <c r="C744" s="100"/>
      <c r="D744" s="100"/>
      <c r="E744" s="100"/>
      <c r="F744" s="100"/>
      <c r="G744" s="100"/>
      <c r="H744" s="100"/>
    </row>
    <row r="745" spans="3:8">
      <c r="C745" s="100"/>
      <c r="D745" s="100"/>
      <c r="E745" s="100"/>
      <c r="F745" s="100"/>
      <c r="G745" s="100"/>
      <c r="H745" s="100"/>
    </row>
    <row r="746" spans="3:8">
      <c r="C746" s="100"/>
      <c r="D746" s="100"/>
      <c r="E746" s="100"/>
      <c r="F746" s="100"/>
      <c r="G746" s="100"/>
      <c r="H746" s="100"/>
    </row>
    <row r="747" spans="3:8">
      <c r="C747" s="100"/>
      <c r="D747" s="100"/>
      <c r="E747" s="100"/>
      <c r="F747" s="100"/>
      <c r="G747" s="100"/>
      <c r="H747" s="100"/>
    </row>
    <row r="748" spans="3:8">
      <c r="C748" s="100"/>
      <c r="D748" s="100"/>
      <c r="E748" s="100"/>
      <c r="F748" s="100"/>
      <c r="G748" s="100"/>
      <c r="H748" s="100"/>
    </row>
    <row r="749" spans="3:8">
      <c r="C749" s="100"/>
      <c r="D749" s="100"/>
      <c r="E749" s="100"/>
      <c r="F749" s="100"/>
      <c r="G749" s="100"/>
      <c r="H749" s="100"/>
    </row>
    <row r="750" spans="3:8">
      <c r="C750" s="100"/>
      <c r="D750" s="100"/>
      <c r="E750" s="100"/>
      <c r="F750" s="100"/>
      <c r="G750" s="100"/>
      <c r="H750" s="100"/>
    </row>
    <row r="751" spans="3:8">
      <c r="C751" s="100"/>
      <c r="D751" s="100"/>
      <c r="E751" s="100"/>
      <c r="F751" s="100"/>
      <c r="G751" s="100"/>
      <c r="H751" s="100"/>
    </row>
    <row r="752" spans="3:8">
      <c r="C752" s="100"/>
      <c r="D752" s="100"/>
      <c r="E752" s="100"/>
      <c r="F752" s="100"/>
      <c r="G752" s="100"/>
      <c r="H752" s="100"/>
    </row>
    <row r="753" spans="3:8">
      <c r="C753" s="100"/>
      <c r="D753" s="100"/>
      <c r="E753" s="100"/>
      <c r="F753" s="100"/>
      <c r="G753" s="100"/>
      <c r="H753" s="100"/>
    </row>
    <row r="754" spans="3:8">
      <c r="C754" s="100"/>
      <c r="D754" s="100"/>
      <c r="E754" s="100"/>
      <c r="F754" s="100"/>
      <c r="G754" s="100"/>
      <c r="H754" s="100"/>
    </row>
    <row r="755" spans="3:8">
      <c r="C755" s="100"/>
      <c r="D755" s="100"/>
      <c r="E755" s="100"/>
      <c r="F755" s="100"/>
      <c r="G755" s="100"/>
      <c r="H755" s="100"/>
    </row>
    <row r="756" spans="3:8">
      <c r="C756" s="100"/>
      <c r="D756" s="100"/>
      <c r="E756" s="100"/>
      <c r="F756" s="100"/>
      <c r="G756" s="100"/>
      <c r="H756" s="100"/>
    </row>
    <row r="757" spans="3:8">
      <c r="C757" s="100"/>
      <c r="D757" s="100"/>
      <c r="E757" s="100"/>
      <c r="F757" s="100"/>
      <c r="G757" s="100"/>
      <c r="H757" s="100"/>
    </row>
    <row r="758" spans="3:8">
      <c r="C758" s="100"/>
      <c r="D758" s="100"/>
      <c r="E758" s="100"/>
      <c r="F758" s="100"/>
      <c r="G758" s="100"/>
      <c r="H758" s="100"/>
    </row>
    <row r="759" spans="3:8">
      <c r="C759" s="100"/>
      <c r="D759" s="100"/>
      <c r="E759" s="100"/>
      <c r="F759" s="100"/>
      <c r="G759" s="100"/>
      <c r="H759" s="100"/>
    </row>
    <row r="760" spans="3:8">
      <c r="C760" s="100"/>
      <c r="D760" s="100"/>
      <c r="E760" s="100"/>
      <c r="F760" s="100"/>
      <c r="G760" s="100"/>
      <c r="H760" s="100"/>
    </row>
    <row r="761" spans="3:8">
      <c r="C761" s="100"/>
      <c r="D761" s="100"/>
      <c r="E761" s="100"/>
      <c r="F761" s="100"/>
      <c r="G761" s="100"/>
      <c r="H761" s="100"/>
    </row>
    <row r="762" spans="3:8">
      <c r="C762" s="100"/>
      <c r="D762" s="100"/>
      <c r="E762" s="100"/>
      <c r="F762" s="100"/>
      <c r="G762" s="100"/>
      <c r="H762" s="100"/>
    </row>
    <row r="763" spans="3:8">
      <c r="C763" s="100"/>
      <c r="D763" s="100"/>
      <c r="E763" s="100"/>
      <c r="F763" s="100"/>
      <c r="G763" s="100"/>
      <c r="H763" s="100"/>
    </row>
    <row r="764" spans="3:8">
      <c r="C764" s="100"/>
      <c r="D764" s="100"/>
      <c r="E764" s="100"/>
      <c r="F764" s="100"/>
      <c r="G764" s="100"/>
      <c r="H764" s="100"/>
    </row>
    <row r="765" spans="3:8">
      <c r="C765" s="100"/>
      <c r="D765" s="100"/>
      <c r="E765" s="100"/>
      <c r="F765" s="100"/>
      <c r="G765" s="100"/>
      <c r="H765" s="100"/>
    </row>
    <row r="766" spans="3:8">
      <c r="C766" s="100"/>
      <c r="D766" s="100"/>
      <c r="E766" s="100"/>
      <c r="F766" s="100"/>
      <c r="G766" s="100"/>
      <c r="H766" s="100"/>
    </row>
    <row r="767" spans="3:8">
      <c r="C767" s="100"/>
      <c r="D767" s="100"/>
      <c r="E767" s="100"/>
      <c r="F767" s="100"/>
      <c r="G767" s="100"/>
      <c r="H767" s="100"/>
    </row>
    <row r="768" spans="3:8">
      <c r="C768" s="100"/>
      <c r="D768" s="100"/>
      <c r="E768" s="100"/>
      <c r="F768" s="100"/>
      <c r="G768" s="100"/>
      <c r="H768" s="100"/>
    </row>
    <row r="769" spans="3:8">
      <c r="C769" s="100"/>
      <c r="D769" s="100"/>
      <c r="E769" s="100"/>
      <c r="F769" s="100"/>
      <c r="G769" s="100"/>
      <c r="H769" s="100"/>
    </row>
    <row r="770" spans="3:8">
      <c r="C770" s="100"/>
      <c r="D770" s="100"/>
      <c r="E770" s="100"/>
      <c r="F770" s="100"/>
      <c r="G770" s="100"/>
      <c r="H770" s="100"/>
    </row>
    <row r="771" spans="3:8">
      <c r="C771" s="100"/>
      <c r="D771" s="100"/>
      <c r="E771" s="100"/>
      <c r="F771" s="100"/>
      <c r="G771" s="100"/>
      <c r="H771" s="100"/>
    </row>
    <row r="772" spans="3:8">
      <c r="C772" s="100"/>
      <c r="D772" s="100"/>
      <c r="E772" s="100"/>
      <c r="F772" s="100"/>
      <c r="G772" s="100"/>
      <c r="H772" s="100"/>
    </row>
    <row r="773" spans="3:8">
      <c r="C773" s="100"/>
      <c r="D773" s="100"/>
      <c r="E773" s="100"/>
      <c r="F773" s="100"/>
      <c r="G773" s="100"/>
      <c r="H773" s="100"/>
    </row>
    <row r="774" spans="3:8">
      <c r="C774" s="100"/>
      <c r="D774" s="100"/>
      <c r="E774" s="100"/>
      <c r="F774" s="100"/>
      <c r="G774" s="100"/>
      <c r="H774" s="100"/>
    </row>
    <row r="775" spans="3:8">
      <c r="C775" s="100"/>
      <c r="D775" s="100"/>
      <c r="E775" s="100"/>
      <c r="F775" s="100"/>
      <c r="G775" s="100"/>
      <c r="H775" s="100"/>
    </row>
    <row r="776" spans="3:8">
      <c r="C776" s="100"/>
      <c r="D776" s="100"/>
      <c r="E776" s="100"/>
      <c r="F776" s="100"/>
      <c r="G776" s="100"/>
      <c r="H776" s="100"/>
    </row>
    <row r="777" spans="3:8">
      <c r="C777" s="100"/>
      <c r="D777" s="100"/>
      <c r="E777" s="100"/>
      <c r="F777" s="100"/>
      <c r="G777" s="100"/>
      <c r="H777" s="100"/>
    </row>
    <row r="778" spans="3:8">
      <c r="C778" s="100"/>
      <c r="D778" s="100"/>
      <c r="E778" s="100"/>
      <c r="F778" s="100"/>
      <c r="G778" s="100"/>
      <c r="H778" s="100"/>
    </row>
    <row r="779" spans="3:8">
      <c r="C779" s="100"/>
      <c r="D779" s="100"/>
      <c r="E779" s="100"/>
      <c r="F779" s="100"/>
      <c r="G779" s="100"/>
      <c r="H779" s="100"/>
    </row>
    <row r="780" spans="3:8">
      <c r="C780" s="100"/>
      <c r="D780" s="100"/>
      <c r="E780" s="100"/>
      <c r="F780" s="100"/>
      <c r="G780" s="100"/>
      <c r="H780" s="100"/>
    </row>
    <row r="781" spans="3:8">
      <c r="C781" s="100"/>
      <c r="D781" s="100"/>
      <c r="E781" s="100"/>
      <c r="F781" s="100"/>
      <c r="G781" s="100"/>
      <c r="H781" s="100"/>
    </row>
    <row r="782" spans="3:8">
      <c r="C782" s="100"/>
      <c r="D782" s="100"/>
      <c r="E782" s="100"/>
      <c r="F782" s="100"/>
      <c r="G782" s="100"/>
      <c r="H782" s="100"/>
    </row>
    <row r="783" spans="3:8">
      <c r="C783" s="100"/>
      <c r="D783" s="100"/>
      <c r="E783" s="100"/>
      <c r="F783" s="100"/>
      <c r="G783" s="100"/>
      <c r="H783" s="100"/>
    </row>
    <row r="784" spans="3:8">
      <c r="C784" s="100"/>
      <c r="D784" s="100"/>
      <c r="E784" s="100"/>
      <c r="F784" s="100"/>
      <c r="G784" s="100"/>
      <c r="H784" s="100"/>
    </row>
    <row r="785" spans="3:8">
      <c r="C785" s="100"/>
      <c r="D785" s="100"/>
      <c r="E785" s="100"/>
      <c r="F785" s="100"/>
      <c r="G785" s="100"/>
      <c r="H785" s="100"/>
    </row>
    <row r="786" spans="3:8">
      <c r="C786" s="100"/>
      <c r="D786" s="100"/>
      <c r="E786" s="100"/>
      <c r="F786" s="100"/>
      <c r="G786" s="100"/>
      <c r="H786" s="100"/>
    </row>
    <row r="787" spans="3:8">
      <c r="C787" s="100"/>
      <c r="D787" s="100"/>
      <c r="E787" s="100"/>
      <c r="F787" s="100"/>
      <c r="G787" s="100"/>
      <c r="H787" s="100"/>
    </row>
    <row r="788" spans="3:8">
      <c r="C788" s="100"/>
      <c r="D788" s="100"/>
      <c r="E788" s="100"/>
      <c r="F788" s="100"/>
      <c r="G788" s="100"/>
      <c r="H788" s="100"/>
    </row>
    <row r="789" spans="3:8">
      <c r="C789" s="100"/>
      <c r="D789" s="100"/>
      <c r="E789" s="100"/>
      <c r="F789" s="100"/>
      <c r="G789" s="100"/>
      <c r="H789" s="100"/>
    </row>
    <row r="790" spans="3:8">
      <c r="C790" s="100"/>
      <c r="D790" s="100"/>
      <c r="E790" s="100"/>
      <c r="F790" s="100"/>
      <c r="G790" s="100"/>
      <c r="H790" s="100"/>
    </row>
    <row r="791" spans="3:8">
      <c r="C791" s="100"/>
      <c r="D791" s="100"/>
      <c r="E791" s="100"/>
      <c r="F791" s="100"/>
      <c r="G791" s="100"/>
      <c r="H791" s="100"/>
    </row>
    <row r="792" spans="3:8">
      <c r="C792" s="100"/>
      <c r="D792" s="100"/>
      <c r="E792" s="100"/>
      <c r="F792" s="100"/>
      <c r="G792" s="100"/>
      <c r="H792" s="100"/>
    </row>
    <row r="793" spans="3:8">
      <c r="C793" s="100"/>
      <c r="D793" s="100"/>
      <c r="E793" s="100"/>
      <c r="F793" s="100"/>
      <c r="G793" s="100"/>
      <c r="H793" s="100"/>
    </row>
    <row r="794" spans="3:8">
      <c r="C794" s="100"/>
      <c r="D794" s="100"/>
      <c r="E794" s="100"/>
      <c r="F794" s="100"/>
      <c r="G794" s="100"/>
      <c r="H794" s="100"/>
    </row>
    <row r="795" spans="3:8">
      <c r="C795" s="100"/>
      <c r="D795" s="100"/>
      <c r="E795" s="100"/>
      <c r="F795" s="100"/>
      <c r="G795" s="100"/>
      <c r="H795" s="100"/>
    </row>
    <row r="796" spans="3:8">
      <c r="C796" s="100"/>
      <c r="D796" s="100"/>
      <c r="E796" s="100"/>
      <c r="F796" s="100"/>
      <c r="G796" s="100"/>
      <c r="H796" s="100"/>
    </row>
    <row r="797" spans="3:8">
      <c r="C797" s="100"/>
      <c r="D797" s="100"/>
      <c r="E797" s="100"/>
      <c r="F797" s="100"/>
      <c r="G797" s="100"/>
      <c r="H797" s="100"/>
    </row>
    <row r="798" spans="3:8">
      <c r="C798" s="100"/>
      <c r="D798" s="100"/>
      <c r="E798" s="100"/>
      <c r="F798" s="100"/>
      <c r="G798" s="100"/>
      <c r="H798" s="100"/>
    </row>
    <row r="799" spans="3:8">
      <c r="C799" s="100"/>
      <c r="D799" s="100"/>
      <c r="E799" s="100"/>
      <c r="F799" s="100"/>
      <c r="G799" s="100"/>
      <c r="H799" s="100"/>
    </row>
    <row r="800" spans="3:8">
      <c r="C800" s="100"/>
      <c r="D800" s="100"/>
      <c r="E800" s="100"/>
      <c r="F800" s="100"/>
      <c r="G800" s="100"/>
      <c r="H800" s="100"/>
    </row>
    <row r="801" spans="3:8">
      <c r="C801" s="100"/>
      <c r="D801" s="100"/>
      <c r="E801" s="100"/>
      <c r="F801" s="100"/>
      <c r="G801" s="100"/>
      <c r="H801" s="100"/>
    </row>
    <row r="802" spans="3:8">
      <c r="C802" s="100"/>
      <c r="D802" s="100"/>
      <c r="E802" s="100"/>
      <c r="F802" s="100"/>
      <c r="G802" s="100"/>
      <c r="H802" s="100"/>
    </row>
    <row r="803" spans="3:8">
      <c r="C803" s="100"/>
      <c r="D803" s="100"/>
      <c r="E803" s="100"/>
      <c r="F803" s="100"/>
      <c r="G803" s="100"/>
      <c r="H803" s="100"/>
    </row>
    <row r="804" spans="3:8">
      <c r="C804" s="100"/>
      <c r="D804" s="100"/>
      <c r="E804" s="100"/>
      <c r="F804" s="100"/>
      <c r="G804" s="100"/>
      <c r="H804" s="100"/>
    </row>
    <row r="805" spans="3:8">
      <c r="C805" s="100"/>
      <c r="D805" s="100"/>
      <c r="E805" s="100"/>
      <c r="F805" s="100"/>
      <c r="G805" s="100"/>
      <c r="H805" s="100"/>
    </row>
    <row r="806" spans="3:8">
      <c r="C806" s="100"/>
      <c r="D806" s="100"/>
      <c r="E806" s="100"/>
      <c r="F806" s="100"/>
      <c r="G806" s="100"/>
      <c r="H806" s="100"/>
    </row>
    <row r="807" spans="3:8">
      <c r="C807" s="100"/>
      <c r="D807" s="100"/>
      <c r="E807" s="100"/>
      <c r="F807" s="100"/>
      <c r="G807" s="100"/>
      <c r="H807" s="100"/>
    </row>
    <row r="808" spans="3:8">
      <c r="C808" s="100"/>
      <c r="D808" s="100"/>
      <c r="E808" s="100"/>
      <c r="F808" s="100"/>
      <c r="G808" s="100"/>
      <c r="H808" s="100"/>
    </row>
    <row r="809" spans="3:8">
      <c r="C809" s="100"/>
      <c r="D809" s="100"/>
      <c r="E809" s="100"/>
      <c r="F809" s="100"/>
      <c r="G809" s="100"/>
      <c r="H809" s="100"/>
    </row>
    <row r="810" spans="3:8">
      <c r="C810" s="100"/>
      <c r="D810" s="100"/>
      <c r="E810" s="100"/>
      <c r="F810" s="100"/>
      <c r="G810" s="100"/>
      <c r="H810" s="100"/>
    </row>
    <row r="811" spans="3:8">
      <c r="C811" s="100"/>
      <c r="D811" s="100"/>
      <c r="E811" s="100"/>
      <c r="F811" s="100"/>
      <c r="G811" s="100"/>
      <c r="H811" s="100"/>
    </row>
    <row r="812" spans="3:8">
      <c r="C812" s="100"/>
      <c r="D812" s="100"/>
      <c r="E812" s="100"/>
      <c r="F812" s="100"/>
      <c r="G812" s="100"/>
      <c r="H812" s="100"/>
    </row>
    <row r="813" spans="3:8">
      <c r="C813" s="100"/>
      <c r="D813" s="100"/>
      <c r="E813" s="100"/>
      <c r="F813" s="100"/>
      <c r="G813" s="100"/>
      <c r="H813" s="100"/>
    </row>
    <row r="814" spans="3:8">
      <c r="C814" s="100"/>
      <c r="D814" s="100"/>
      <c r="E814" s="100"/>
      <c r="F814" s="100"/>
      <c r="G814" s="100"/>
      <c r="H814" s="100"/>
    </row>
    <row r="815" spans="3:8">
      <c r="C815" s="100"/>
      <c r="D815" s="100"/>
      <c r="E815" s="100"/>
      <c r="F815" s="100"/>
      <c r="G815" s="100"/>
      <c r="H815" s="100"/>
    </row>
    <row r="816" spans="3:8">
      <c r="C816" s="100"/>
      <c r="D816" s="100"/>
      <c r="E816" s="100"/>
      <c r="F816" s="100"/>
      <c r="G816" s="100"/>
      <c r="H816" s="100"/>
    </row>
    <row r="817" spans="3:8">
      <c r="C817" s="100"/>
      <c r="D817" s="100"/>
      <c r="E817" s="100"/>
      <c r="F817" s="100"/>
      <c r="G817" s="100"/>
      <c r="H817" s="100"/>
    </row>
    <row r="818" spans="3:8">
      <c r="C818" s="100"/>
      <c r="D818" s="100"/>
      <c r="E818" s="100"/>
      <c r="F818" s="100"/>
      <c r="G818" s="100"/>
      <c r="H818" s="100"/>
    </row>
    <row r="819" spans="3:8">
      <c r="C819" s="100"/>
      <c r="D819" s="100"/>
      <c r="E819" s="100"/>
      <c r="F819" s="100"/>
      <c r="G819" s="100"/>
      <c r="H819" s="100"/>
    </row>
    <row r="820" spans="3:8">
      <c r="C820" s="100"/>
      <c r="D820" s="100"/>
      <c r="E820" s="100"/>
      <c r="F820" s="100"/>
      <c r="G820" s="100"/>
      <c r="H820" s="100"/>
    </row>
    <row r="821" spans="3:8">
      <c r="C821" s="100"/>
      <c r="D821" s="100"/>
      <c r="E821" s="100"/>
      <c r="F821" s="100"/>
      <c r="G821" s="100"/>
      <c r="H821" s="100"/>
    </row>
    <row r="822" spans="3:8">
      <c r="C822" s="100"/>
      <c r="D822" s="100"/>
      <c r="E822" s="100"/>
      <c r="F822" s="100"/>
      <c r="G822" s="100"/>
      <c r="H822" s="100"/>
    </row>
    <row r="823" spans="3:8">
      <c r="C823" s="100"/>
      <c r="D823" s="100"/>
      <c r="E823" s="100"/>
      <c r="F823" s="100"/>
      <c r="G823" s="100"/>
      <c r="H823" s="100"/>
    </row>
    <row r="824" spans="3:8">
      <c r="C824" s="100"/>
      <c r="D824" s="100"/>
      <c r="E824" s="100"/>
      <c r="F824" s="100"/>
      <c r="G824" s="100"/>
      <c r="H824" s="100"/>
    </row>
    <row r="825" spans="3:8">
      <c r="C825" s="100"/>
      <c r="D825" s="100"/>
      <c r="E825" s="100"/>
      <c r="F825" s="100"/>
      <c r="G825" s="100"/>
      <c r="H825" s="100"/>
    </row>
    <row r="826" spans="3:8">
      <c r="C826" s="100"/>
      <c r="D826" s="100"/>
      <c r="E826" s="100"/>
      <c r="F826" s="100"/>
      <c r="G826" s="100"/>
      <c r="H826" s="100"/>
    </row>
    <row r="827" spans="3:8">
      <c r="C827" s="100"/>
      <c r="D827" s="100"/>
      <c r="E827" s="100"/>
      <c r="F827" s="100"/>
      <c r="G827" s="100"/>
      <c r="H827" s="100"/>
    </row>
    <row r="828" spans="3:8">
      <c r="C828" s="100"/>
      <c r="D828" s="100"/>
      <c r="E828" s="100"/>
      <c r="F828" s="100"/>
      <c r="G828" s="100"/>
      <c r="H828" s="100"/>
    </row>
    <row r="829" spans="3:8">
      <c r="C829" s="100"/>
      <c r="D829" s="100"/>
      <c r="E829" s="100"/>
      <c r="F829" s="100"/>
      <c r="G829" s="100"/>
      <c r="H829" s="100"/>
    </row>
    <row r="830" spans="3:8">
      <c r="C830" s="100"/>
      <c r="D830" s="100"/>
      <c r="E830" s="100"/>
      <c r="F830" s="100"/>
      <c r="G830" s="100"/>
      <c r="H830" s="100"/>
    </row>
    <row r="831" spans="3:8">
      <c r="C831" s="100"/>
      <c r="D831" s="100"/>
      <c r="E831" s="100"/>
      <c r="F831" s="100"/>
      <c r="G831" s="100"/>
      <c r="H831" s="100"/>
    </row>
    <row r="832" spans="3:8">
      <c r="C832" s="100"/>
      <c r="D832" s="100"/>
      <c r="E832" s="100"/>
      <c r="F832" s="100"/>
      <c r="G832" s="100"/>
      <c r="H832" s="100"/>
    </row>
    <row r="833" spans="3:8">
      <c r="C833" s="100"/>
      <c r="D833" s="100"/>
      <c r="E833" s="100"/>
      <c r="F833" s="100"/>
      <c r="G833" s="100"/>
      <c r="H833" s="100"/>
    </row>
    <row r="834" spans="3:8">
      <c r="C834" s="100"/>
      <c r="D834" s="100"/>
      <c r="E834" s="100"/>
      <c r="F834" s="100"/>
      <c r="G834" s="100"/>
      <c r="H834" s="100"/>
    </row>
    <row r="835" spans="3:8">
      <c r="C835" s="100"/>
      <c r="D835" s="100"/>
      <c r="E835" s="100"/>
      <c r="F835" s="100"/>
      <c r="G835" s="100"/>
      <c r="H835" s="100"/>
    </row>
    <row r="836" spans="3:8">
      <c r="C836" s="100"/>
      <c r="D836" s="100"/>
      <c r="E836" s="100"/>
      <c r="F836" s="100"/>
      <c r="G836" s="100"/>
      <c r="H836" s="100"/>
    </row>
    <row r="837" spans="3:8">
      <c r="C837" s="100"/>
      <c r="D837" s="100"/>
      <c r="E837" s="100"/>
      <c r="F837" s="100"/>
      <c r="G837" s="100"/>
      <c r="H837" s="100"/>
    </row>
    <row r="838" spans="3:8">
      <c r="C838" s="100"/>
      <c r="D838" s="100"/>
      <c r="E838" s="100"/>
      <c r="F838" s="100"/>
      <c r="G838" s="100"/>
      <c r="H838" s="100"/>
    </row>
    <row r="839" spans="3:8">
      <c r="C839" s="100"/>
      <c r="D839" s="100"/>
      <c r="E839" s="100"/>
      <c r="F839" s="100"/>
      <c r="G839" s="100"/>
      <c r="H839" s="100"/>
    </row>
    <row r="840" spans="3:8">
      <c r="C840" s="100"/>
      <c r="D840" s="100"/>
      <c r="E840" s="100"/>
      <c r="F840" s="100"/>
      <c r="G840" s="100"/>
      <c r="H840" s="100"/>
    </row>
    <row r="841" spans="3:8">
      <c r="C841" s="100"/>
      <c r="D841" s="100"/>
      <c r="E841" s="100"/>
      <c r="F841" s="100"/>
      <c r="G841" s="100"/>
      <c r="H841" s="100"/>
    </row>
    <row r="842" spans="3:8">
      <c r="C842" s="100"/>
      <c r="D842" s="100"/>
      <c r="E842" s="100"/>
      <c r="F842" s="100"/>
      <c r="G842" s="100"/>
      <c r="H842" s="100"/>
    </row>
    <row r="843" spans="3:8">
      <c r="C843" s="100"/>
      <c r="D843" s="100"/>
      <c r="E843" s="100"/>
      <c r="F843" s="100"/>
      <c r="G843" s="100"/>
      <c r="H843" s="100"/>
    </row>
    <row r="844" spans="3:8">
      <c r="C844" s="100"/>
      <c r="D844" s="100"/>
      <c r="E844" s="100"/>
      <c r="F844" s="100"/>
      <c r="G844" s="100"/>
      <c r="H844" s="100"/>
    </row>
    <row r="845" spans="3:8">
      <c r="C845" s="100"/>
      <c r="D845" s="100"/>
      <c r="E845" s="100"/>
      <c r="F845" s="100"/>
      <c r="G845" s="100"/>
      <c r="H845" s="100"/>
    </row>
    <row r="846" spans="3:8">
      <c r="C846" s="100"/>
      <c r="D846" s="100"/>
      <c r="E846" s="100"/>
      <c r="F846" s="100"/>
      <c r="G846" s="100"/>
      <c r="H846" s="100"/>
    </row>
    <row r="847" spans="3:8">
      <c r="C847" s="100"/>
      <c r="D847" s="100"/>
      <c r="E847" s="100"/>
      <c r="F847" s="100"/>
      <c r="G847" s="100"/>
      <c r="H847" s="100"/>
    </row>
    <row r="848" spans="3:8">
      <c r="C848" s="100"/>
      <c r="D848" s="100"/>
      <c r="E848" s="100"/>
      <c r="F848" s="100"/>
      <c r="G848" s="100"/>
      <c r="H848" s="100"/>
    </row>
    <row r="849" spans="3:8">
      <c r="C849" s="100"/>
      <c r="D849" s="100"/>
      <c r="E849" s="100"/>
      <c r="F849" s="100"/>
      <c r="G849" s="100"/>
      <c r="H849" s="100"/>
    </row>
    <row r="850" spans="3:8">
      <c r="C850" s="100"/>
      <c r="D850" s="100"/>
      <c r="E850" s="100"/>
      <c r="F850" s="100"/>
      <c r="G850" s="100"/>
      <c r="H850" s="100"/>
    </row>
    <row r="851" spans="3:8">
      <c r="C851" s="100"/>
      <c r="D851" s="100"/>
      <c r="E851" s="100"/>
      <c r="F851" s="100"/>
      <c r="G851" s="100"/>
      <c r="H851" s="100"/>
    </row>
    <row r="852" spans="3:8">
      <c r="C852" s="100"/>
      <c r="D852" s="100"/>
      <c r="E852" s="100"/>
      <c r="F852" s="100"/>
      <c r="G852" s="100"/>
      <c r="H852" s="100"/>
    </row>
    <row r="853" spans="3:8">
      <c r="C853" s="100"/>
      <c r="D853" s="100"/>
      <c r="E853" s="100"/>
      <c r="F853" s="100"/>
      <c r="G853" s="100"/>
      <c r="H853" s="100"/>
    </row>
    <row r="854" spans="3:8">
      <c r="C854" s="100"/>
      <c r="D854" s="100"/>
      <c r="E854" s="100"/>
      <c r="F854" s="100"/>
      <c r="G854" s="100"/>
      <c r="H854" s="100"/>
    </row>
    <row r="855" spans="3:8">
      <c r="C855" s="100"/>
      <c r="D855" s="100"/>
      <c r="E855" s="100"/>
      <c r="F855" s="100"/>
      <c r="G855" s="100"/>
      <c r="H855" s="100"/>
    </row>
    <row r="856" spans="3:8">
      <c r="C856" s="100"/>
      <c r="D856" s="100"/>
      <c r="E856" s="100"/>
      <c r="F856" s="100"/>
      <c r="G856" s="100"/>
      <c r="H856" s="100"/>
    </row>
    <row r="857" spans="3:8">
      <c r="C857" s="100"/>
      <c r="D857" s="100"/>
      <c r="E857" s="100"/>
      <c r="F857" s="100"/>
      <c r="G857" s="100"/>
      <c r="H857" s="100"/>
    </row>
    <row r="858" spans="3:8">
      <c r="C858" s="100"/>
      <c r="D858" s="100"/>
      <c r="E858" s="100"/>
      <c r="F858" s="100"/>
      <c r="G858" s="100"/>
      <c r="H858" s="100"/>
    </row>
    <row r="859" spans="3:8">
      <c r="C859" s="100"/>
      <c r="D859" s="100"/>
      <c r="E859" s="100"/>
      <c r="F859" s="100"/>
      <c r="G859" s="100"/>
      <c r="H859" s="100"/>
    </row>
    <row r="860" spans="3:8">
      <c r="C860" s="100"/>
      <c r="D860" s="100"/>
      <c r="E860" s="100"/>
      <c r="F860" s="100"/>
      <c r="G860" s="100"/>
      <c r="H860" s="100"/>
    </row>
    <row r="861" spans="3:8">
      <c r="C861" s="100"/>
      <c r="D861" s="100"/>
      <c r="E861" s="100"/>
      <c r="F861" s="100"/>
      <c r="G861" s="100"/>
      <c r="H861" s="100"/>
    </row>
    <row r="862" spans="3:8">
      <c r="C862" s="100"/>
      <c r="D862" s="100"/>
      <c r="E862" s="100"/>
      <c r="F862" s="100"/>
      <c r="G862" s="100"/>
      <c r="H862" s="100"/>
    </row>
    <row r="863" spans="3:8">
      <c r="C863" s="100"/>
      <c r="D863" s="100"/>
      <c r="E863" s="100"/>
      <c r="F863" s="100"/>
      <c r="G863" s="100"/>
      <c r="H863" s="100"/>
    </row>
    <row r="864" spans="3:8">
      <c r="C864" s="100"/>
      <c r="D864" s="100"/>
      <c r="E864" s="100"/>
      <c r="F864" s="100"/>
      <c r="G864" s="100"/>
      <c r="H864" s="100"/>
    </row>
    <row r="865" spans="3:8">
      <c r="C865" s="100"/>
      <c r="D865" s="100"/>
      <c r="E865" s="100"/>
      <c r="F865" s="100"/>
      <c r="G865" s="100"/>
      <c r="H865" s="100"/>
    </row>
    <row r="866" spans="3:8">
      <c r="C866" s="100"/>
      <c r="D866" s="100"/>
      <c r="E866" s="100"/>
      <c r="F866" s="100"/>
      <c r="G866" s="100"/>
      <c r="H866" s="100"/>
    </row>
    <row r="867" spans="3:8">
      <c r="C867" s="100"/>
      <c r="D867" s="100"/>
      <c r="E867" s="100"/>
      <c r="F867" s="100"/>
      <c r="G867" s="100"/>
      <c r="H867" s="100"/>
    </row>
    <row r="868" spans="3:8">
      <c r="C868" s="100"/>
      <c r="D868" s="100"/>
      <c r="E868" s="100"/>
      <c r="F868" s="100"/>
      <c r="G868" s="100"/>
      <c r="H868" s="100"/>
    </row>
    <row r="869" spans="3:8">
      <c r="C869" s="100"/>
      <c r="D869" s="100"/>
      <c r="E869" s="100"/>
      <c r="F869" s="100"/>
      <c r="G869" s="100"/>
      <c r="H869" s="100"/>
    </row>
    <row r="870" spans="3:8">
      <c r="C870" s="100"/>
      <c r="D870" s="100"/>
      <c r="E870" s="100"/>
      <c r="F870" s="100"/>
      <c r="G870" s="100"/>
      <c r="H870" s="100"/>
    </row>
    <row r="871" spans="3:8">
      <c r="C871" s="100"/>
      <c r="D871" s="100"/>
      <c r="E871" s="100"/>
      <c r="F871" s="100"/>
      <c r="G871" s="100"/>
      <c r="H871" s="100"/>
    </row>
    <row r="872" spans="3:8">
      <c r="C872" s="100"/>
      <c r="D872" s="100"/>
      <c r="E872" s="100"/>
      <c r="F872" s="100"/>
      <c r="G872" s="100"/>
      <c r="H872" s="100"/>
    </row>
    <row r="873" spans="3:8">
      <c r="C873" s="100"/>
      <c r="D873" s="100"/>
      <c r="E873" s="100"/>
      <c r="F873" s="100"/>
      <c r="G873" s="100"/>
      <c r="H873" s="100"/>
    </row>
    <row r="874" spans="3:8">
      <c r="C874" s="100"/>
      <c r="D874" s="100"/>
      <c r="E874" s="100"/>
      <c r="F874" s="100"/>
      <c r="G874" s="100"/>
      <c r="H874" s="100"/>
    </row>
    <row r="875" spans="3:8">
      <c r="C875" s="100"/>
      <c r="D875" s="100"/>
      <c r="E875" s="100"/>
      <c r="F875" s="100"/>
      <c r="G875" s="100"/>
      <c r="H875" s="100"/>
    </row>
    <row r="876" spans="3:8">
      <c r="C876" s="100"/>
      <c r="D876" s="100"/>
      <c r="E876" s="100"/>
      <c r="F876" s="100"/>
      <c r="G876" s="100"/>
      <c r="H876" s="100"/>
    </row>
    <row r="877" spans="3:8">
      <c r="C877" s="100"/>
      <c r="D877" s="100"/>
      <c r="E877" s="100"/>
      <c r="F877" s="100"/>
      <c r="G877" s="100"/>
      <c r="H877" s="100"/>
    </row>
    <row r="878" spans="3:8">
      <c r="C878" s="100"/>
      <c r="D878" s="100"/>
      <c r="E878" s="100"/>
      <c r="F878" s="100"/>
      <c r="G878" s="100"/>
      <c r="H878" s="100"/>
    </row>
    <row r="879" spans="3:8">
      <c r="C879" s="100"/>
      <c r="D879" s="100"/>
      <c r="E879" s="100"/>
      <c r="F879" s="100"/>
      <c r="G879" s="100"/>
      <c r="H879" s="100"/>
    </row>
    <row r="880" spans="3:8">
      <c r="C880" s="100"/>
      <c r="D880" s="100"/>
      <c r="E880" s="100"/>
      <c r="F880" s="100"/>
      <c r="G880" s="100"/>
      <c r="H880" s="100"/>
    </row>
    <row r="881" spans="3:8">
      <c r="C881" s="100"/>
      <c r="D881" s="100"/>
      <c r="E881" s="100"/>
      <c r="F881" s="100"/>
      <c r="G881" s="100"/>
      <c r="H881" s="100"/>
    </row>
    <row r="882" spans="3:8">
      <c r="C882" s="100"/>
      <c r="D882" s="100"/>
      <c r="E882" s="100"/>
      <c r="F882" s="100"/>
      <c r="G882" s="100"/>
      <c r="H882" s="100"/>
    </row>
    <row r="883" spans="3:8">
      <c r="C883" s="100"/>
      <c r="D883" s="100"/>
      <c r="E883" s="100"/>
      <c r="F883" s="100"/>
      <c r="G883" s="100"/>
      <c r="H883" s="100"/>
    </row>
    <row r="884" spans="3:8">
      <c r="C884" s="100"/>
      <c r="D884" s="100"/>
      <c r="E884" s="100"/>
      <c r="F884" s="100"/>
      <c r="G884" s="100"/>
      <c r="H884" s="100"/>
    </row>
    <row r="885" spans="3:8">
      <c r="C885" s="100"/>
      <c r="D885" s="100"/>
      <c r="E885" s="100"/>
      <c r="F885" s="100"/>
      <c r="G885" s="100"/>
      <c r="H885" s="100"/>
    </row>
    <row r="886" spans="3:8">
      <c r="C886" s="100"/>
      <c r="D886" s="100"/>
      <c r="E886" s="100"/>
      <c r="F886" s="100"/>
      <c r="G886" s="100"/>
      <c r="H886" s="100"/>
    </row>
    <row r="887" spans="3:8">
      <c r="C887" s="100"/>
      <c r="D887" s="100"/>
      <c r="E887" s="100"/>
      <c r="F887" s="100"/>
      <c r="G887" s="100"/>
      <c r="H887" s="100"/>
    </row>
    <row r="888" spans="3:8">
      <c r="C888" s="100"/>
      <c r="D888" s="100"/>
      <c r="E888" s="100"/>
      <c r="F888" s="100"/>
      <c r="G888" s="100"/>
      <c r="H888" s="100"/>
    </row>
    <row r="889" spans="3:8">
      <c r="C889" s="100"/>
      <c r="D889" s="100"/>
      <c r="E889" s="100"/>
      <c r="F889" s="100"/>
      <c r="G889" s="100"/>
      <c r="H889" s="100"/>
    </row>
    <row r="890" spans="3:8">
      <c r="C890" s="100"/>
      <c r="D890" s="100"/>
      <c r="E890" s="100"/>
      <c r="F890" s="100"/>
      <c r="G890" s="100"/>
      <c r="H890" s="100"/>
    </row>
    <row r="891" spans="3:8">
      <c r="C891" s="100"/>
      <c r="D891" s="100"/>
      <c r="E891" s="100"/>
      <c r="F891" s="100"/>
      <c r="G891" s="100"/>
      <c r="H891" s="100"/>
    </row>
    <row r="892" spans="3:8">
      <c r="C892" s="100"/>
      <c r="D892" s="100"/>
      <c r="E892" s="100"/>
      <c r="F892" s="100"/>
      <c r="G892" s="100"/>
      <c r="H892" s="100"/>
    </row>
    <row r="893" spans="3:8">
      <c r="C893" s="100"/>
      <c r="D893" s="100"/>
      <c r="E893" s="100"/>
      <c r="F893" s="100"/>
      <c r="G893" s="100"/>
      <c r="H893" s="100"/>
    </row>
    <row r="894" spans="3:8">
      <c r="C894" s="100"/>
      <c r="D894" s="100"/>
      <c r="E894" s="100"/>
      <c r="F894" s="100"/>
      <c r="G894" s="100"/>
      <c r="H894" s="100"/>
    </row>
    <row r="895" spans="3:8">
      <c r="C895" s="100"/>
      <c r="D895" s="100"/>
      <c r="E895" s="100"/>
      <c r="F895" s="100"/>
      <c r="G895" s="100"/>
      <c r="H895" s="100"/>
    </row>
    <row r="896" spans="3:8">
      <c r="C896" s="100"/>
      <c r="D896" s="100"/>
      <c r="E896" s="100"/>
      <c r="F896" s="100"/>
      <c r="G896" s="100"/>
      <c r="H896" s="100"/>
    </row>
    <row r="897" spans="3:8">
      <c r="C897" s="100"/>
      <c r="D897" s="100"/>
      <c r="E897" s="100"/>
      <c r="F897" s="100"/>
      <c r="G897" s="100"/>
      <c r="H897" s="100"/>
    </row>
    <row r="898" spans="3:8">
      <c r="C898" s="100"/>
      <c r="D898" s="100"/>
      <c r="E898" s="100"/>
      <c r="F898" s="100"/>
      <c r="G898" s="100"/>
      <c r="H898" s="100"/>
    </row>
    <row r="899" spans="3:8">
      <c r="C899" s="100"/>
      <c r="D899" s="100"/>
      <c r="E899" s="100"/>
      <c r="F899" s="100"/>
      <c r="G899" s="100"/>
      <c r="H899" s="100"/>
    </row>
    <row r="900" spans="3:8">
      <c r="C900" s="100"/>
      <c r="D900" s="100"/>
      <c r="E900" s="100"/>
      <c r="F900" s="100"/>
      <c r="G900" s="100"/>
      <c r="H900" s="100"/>
    </row>
    <row r="901" spans="3:8">
      <c r="C901" s="100"/>
      <c r="D901" s="100"/>
      <c r="E901" s="100"/>
      <c r="F901" s="100"/>
      <c r="G901" s="100"/>
      <c r="H901" s="100"/>
    </row>
    <row r="902" spans="3:8">
      <c r="C902" s="100"/>
      <c r="D902" s="100"/>
      <c r="E902" s="100"/>
      <c r="F902" s="100"/>
      <c r="G902" s="100"/>
      <c r="H902" s="100"/>
    </row>
    <row r="903" spans="3:8">
      <c r="C903" s="100"/>
      <c r="D903" s="100"/>
      <c r="E903" s="100"/>
      <c r="F903" s="100"/>
      <c r="G903" s="100"/>
      <c r="H903" s="100"/>
    </row>
    <row r="904" spans="3:8">
      <c r="C904" s="100"/>
      <c r="D904" s="100"/>
      <c r="E904" s="100"/>
      <c r="F904" s="100"/>
      <c r="G904" s="100"/>
      <c r="H904" s="100"/>
    </row>
    <row r="905" spans="3:8">
      <c r="C905" s="100"/>
      <c r="D905" s="100"/>
      <c r="E905" s="100"/>
      <c r="F905" s="100"/>
      <c r="G905" s="100"/>
      <c r="H905" s="100"/>
    </row>
    <row r="906" spans="3:8">
      <c r="C906" s="100"/>
      <c r="D906" s="100"/>
      <c r="E906" s="100"/>
      <c r="F906" s="100"/>
      <c r="G906" s="100"/>
      <c r="H906" s="100"/>
    </row>
    <row r="907" spans="3:8">
      <c r="C907" s="100"/>
      <c r="D907" s="100"/>
      <c r="E907" s="100"/>
      <c r="F907" s="100"/>
      <c r="G907" s="100"/>
      <c r="H907" s="100"/>
    </row>
    <row r="908" spans="3:8">
      <c r="C908" s="100"/>
      <c r="D908" s="100"/>
      <c r="E908" s="100"/>
      <c r="F908" s="100"/>
      <c r="G908" s="100"/>
      <c r="H908" s="100"/>
    </row>
    <row r="909" spans="3:8">
      <c r="C909" s="100"/>
      <c r="D909" s="100"/>
      <c r="E909" s="100"/>
      <c r="F909" s="100"/>
      <c r="G909" s="100"/>
      <c r="H909" s="100"/>
    </row>
    <row r="910" spans="3:8">
      <c r="C910" s="100"/>
      <c r="D910" s="100"/>
      <c r="E910" s="100"/>
      <c r="F910" s="100"/>
      <c r="G910" s="100"/>
      <c r="H910" s="100"/>
    </row>
    <row r="911" spans="3:8">
      <c r="C911" s="100"/>
      <c r="D911" s="100"/>
      <c r="E911" s="100"/>
      <c r="F911" s="100"/>
      <c r="G911" s="100"/>
      <c r="H911" s="100"/>
    </row>
    <row r="912" spans="3:8">
      <c r="C912" s="100"/>
      <c r="D912" s="100"/>
      <c r="E912" s="100"/>
      <c r="F912" s="100"/>
      <c r="G912" s="100"/>
      <c r="H912" s="100"/>
    </row>
    <row r="913" spans="3:8">
      <c r="C913" s="100"/>
      <c r="D913" s="100"/>
      <c r="E913" s="100"/>
      <c r="F913" s="100"/>
      <c r="G913" s="100"/>
      <c r="H913" s="100"/>
    </row>
    <row r="914" spans="3:8">
      <c r="C914" s="100"/>
      <c r="D914" s="100"/>
      <c r="E914" s="100"/>
      <c r="F914" s="100"/>
      <c r="G914" s="100"/>
      <c r="H914" s="100"/>
    </row>
    <row r="915" spans="3:8">
      <c r="C915" s="100"/>
      <c r="D915" s="100"/>
      <c r="E915" s="100"/>
      <c r="F915" s="100"/>
      <c r="G915" s="100"/>
      <c r="H915" s="100"/>
    </row>
    <row r="916" spans="3:8">
      <c r="C916" s="100"/>
      <c r="D916" s="100"/>
      <c r="E916" s="100"/>
      <c r="F916" s="100"/>
      <c r="G916" s="100"/>
      <c r="H916" s="100"/>
    </row>
    <row r="917" spans="3:8">
      <c r="C917" s="100"/>
      <c r="D917" s="100"/>
      <c r="E917" s="100"/>
      <c r="F917" s="100"/>
      <c r="G917" s="100"/>
      <c r="H917" s="100"/>
    </row>
    <row r="918" spans="3:8">
      <c r="C918" s="100"/>
      <c r="D918" s="100"/>
      <c r="E918" s="100"/>
      <c r="F918" s="100"/>
      <c r="G918" s="100"/>
      <c r="H918" s="100"/>
    </row>
    <row r="919" spans="3:8">
      <c r="C919" s="100"/>
      <c r="D919" s="100"/>
      <c r="E919" s="100"/>
      <c r="F919" s="100"/>
      <c r="G919" s="100"/>
      <c r="H919" s="100"/>
    </row>
    <row r="920" spans="3:8">
      <c r="C920" s="100"/>
      <c r="D920" s="100"/>
      <c r="E920" s="100"/>
      <c r="F920" s="100"/>
      <c r="G920" s="100"/>
      <c r="H920" s="100"/>
    </row>
    <row r="921" spans="3:8">
      <c r="C921" s="100"/>
      <c r="D921" s="100"/>
      <c r="E921" s="100"/>
      <c r="F921" s="100"/>
      <c r="G921" s="100"/>
      <c r="H921" s="100"/>
    </row>
    <row r="922" spans="3:8">
      <c r="C922" s="100"/>
      <c r="D922" s="100"/>
      <c r="E922" s="100"/>
      <c r="F922" s="100"/>
      <c r="G922" s="100"/>
      <c r="H922" s="100"/>
    </row>
    <row r="923" spans="3:8">
      <c r="C923" s="100"/>
      <c r="D923" s="100"/>
      <c r="E923" s="100"/>
      <c r="F923" s="100"/>
      <c r="G923" s="100"/>
      <c r="H923" s="100"/>
    </row>
    <row r="924" spans="3:8">
      <c r="C924" s="100"/>
      <c r="D924" s="100"/>
      <c r="E924" s="100"/>
      <c r="F924" s="100"/>
      <c r="G924" s="100"/>
      <c r="H924" s="100"/>
    </row>
    <row r="925" spans="3:8">
      <c r="C925" s="100"/>
      <c r="D925" s="100"/>
      <c r="E925" s="100"/>
      <c r="F925" s="100"/>
      <c r="G925" s="100"/>
      <c r="H925" s="100"/>
    </row>
    <row r="926" spans="3:8">
      <c r="C926" s="100"/>
      <c r="D926" s="100"/>
      <c r="E926" s="100"/>
      <c r="F926" s="100"/>
      <c r="G926" s="100"/>
      <c r="H926" s="100"/>
    </row>
    <row r="927" spans="3:8">
      <c r="C927" s="100"/>
      <c r="D927" s="100"/>
      <c r="E927" s="100"/>
      <c r="F927" s="100"/>
      <c r="G927" s="100"/>
      <c r="H927" s="100"/>
    </row>
    <row r="928" spans="3:8">
      <c r="C928" s="100"/>
      <c r="D928" s="100"/>
      <c r="E928" s="100"/>
      <c r="F928" s="100"/>
      <c r="G928" s="100"/>
      <c r="H928" s="100"/>
    </row>
    <row r="929" spans="3:8">
      <c r="C929" s="100"/>
      <c r="D929" s="100"/>
      <c r="E929" s="100"/>
      <c r="F929" s="100"/>
      <c r="G929" s="100"/>
      <c r="H929" s="100"/>
    </row>
    <row r="930" spans="3:8">
      <c r="C930" s="100"/>
      <c r="D930" s="100"/>
      <c r="E930" s="100"/>
      <c r="F930" s="100"/>
      <c r="G930" s="100"/>
      <c r="H930" s="100"/>
    </row>
    <row r="931" spans="3:8">
      <c r="C931" s="100"/>
      <c r="D931" s="100"/>
      <c r="E931" s="100"/>
      <c r="F931" s="100"/>
      <c r="G931" s="100"/>
      <c r="H931" s="100"/>
    </row>
    <row r="932" spans="3:8">
      <c r="C932" s="100"/>
      <c r="D932" s="100"/>
      <c r="E932" s="100"/>
      <c r="F932" s="100"/>
      <c r="G932" s="100"/>
      <c r="H932" s="100"/>
    </row>
    <row r="933" spans="3:8">
      <c r="C933" s="100"/>
      <c r="D933" s="100"/>
      <c r="E933" s="100"/>
      <c r="F933" s="100"/>
      <c r="G933" s="100"/>
      <c r="H933" s="100"/>
    </row>
    <row r="934" spans="3:8">
      <c r="C934" s="100"/>
      <c r="D934" s="100"/>
      <c r="E934" s="100"/>
      <c r="F934" s="100"/>
      <c r="G934" s="100"/>
      <c r="H934" s="100"/>
    </row>
    <row r="935" spans="3:8">
      <c r="C935" s="100"/>
      <c r="D935" s="100"/>
      <c r="E935" s="100"/>
      <c r="F935" s="100"/>
      <c r="G935" s="100"/>
      <c r="H935" s="100"/>
    </row>
    <row r="936" spans="3:8">
      <c r="C936" s="100"/>
      <c r="D936" s="100"/>
      <c r="E936" s="100"/>
      <c r="F936" s="100"/>
      <c r="G936" s="100"/>
      <c r="H936" s="100"/>
    </row>
    <row r="937" spans="3:8">
      <c r="C937" s="100"/>
      <c r="D937" s="100"/>
      <c r="E937" s="100"/>
      <c r="F937" s="100"/>
      <c r="G937" s="100"/>
      <c r="H937" s="100"/>
    </row>
    <row r="938" spans="3:8">
      <c r="C938" s="100"/>
      <c r="D938" s="100"/>
      <c r="E938" s="100"/>
      <c r="F938" s="100"/>
      <c r="G938" s="100"/>
      <c r="H938" s="100"/>
    </row>
    <row r="939" spans="3:8">
      <c r="C939" s="100"/>
      <c r="D939" s="100"/>
      <c r="E939" s="100"/>
      <c r="F939" s="100"/>
      <c r="G939" s="100"/>
      <c r="H939" s="100"/>
    </row>
    <row r="940" spans="3:8">
      <c r="C940" s="100"/>
      <c r="D940" s="100"/>
      <c r="E940" s="100"/>
      <c r="F940" s="100"/>
      <c r="G940" s="100"/>
      <c r="H940" s="100"/>
    </row>
    <row r="941" spans="3:8">
      <c r="C941" s="100"/>
      <c r="D941" s="100"/>
      <c r="E941" s="100"/>
      <c r="F941" s="100"/>
      <c r="G941" s="100"/>
      <c r="H941" s="100"/>
    </row>
    <row r="942" spans="3:8">
      <c r="C942" s="100"/>
      <c r="D942" s="100"/>
      <c r="E942" s="100"/>
      <c r="F942" s="100"/>
      <c r="G942" s="100"/>
      <c r="H942" s="100"/>
    </row>
    <row r="943" spans="3:8">
      <c r="C943" s="100"/>
      <c r="D943" s="100"/>
      <c r="E943" s="100"/>
      <c r="F943" s="100"/>
      <c r="G943" s="100"/>
      <c r="H943" s="100"/>
    </row>
    <row r="944" spans="3:8">
      <c r="C944" s="100"/>
      <c r="D944" s="100"/>
      <c r="E944" s="100"/>
      <c r="F944" s="100"/>
      <c r="G944" s="100"/>
      <c r="H944" s="100"/>
    </row>
    <row r="945" spans="3:8">
      <c r="C945" s="100"/>
      <c r="D945" s="100"/>
      <c r="E945" s="100"/>
      <c r="F945" s="100"/>
      <c r="G945" s="100"/>
      <c r="H945" s="100"/>
    </row>
    <row r="946" spans="3:8">
      <c r="C946" s="100"/>
      <c r="D946" s="100"/>
      <c r="E946" s="100"/>
      <c r="F946" s="100"/>
      <c r="G946" s="100"/>
      <c r="H946" s="100"/>
    </row>
    <row r="947" spans="3:8">
      <c r="C947" s="100"/>
      <c r="D947" s="100"/>
      <c r="E947" s="100"/>
      <c r="F947" s="100"/>
      <c r="G947" s="100"/>
      <c r="H947" s="100"/>
    </row>
    <row r="948" spans="3:8">
      <c r="C948" s="100"/>
      <c r="D948" s="100"/>
      <c r="E948" s="100"/>
      <c r="F948" s="100"/>
      <c r="G948" s="100"/>
      <c r="H948" s="100"/>
    </row>
    <row r="949" spans="3:8">
      <c r="C949" s="100"/>
      <c r="D949" s="100"/>
      <c r="E949" s="100"/>
      <c r="F949" s="100"/>
      <c r="G949" s="100"/>
      <c r="H949" s="100"/>
    </row>
    <row r="950" spans="3:8">
      <c r="C950" s="100"/>
      <c r="D950" s="100"/>
      <c r="E950" s="100"/>
      <c r="F950" s="100"/>
      <c r="G950" s="100"/>
      <c r="H950" s="100"/>
    </row>
    <row r="951" spans="3:8">
      <c r="C951" s="100"/>
      <c r="D951" s="100"/>
      <c r="E951" s="100"/>
      <c r="F951" s="100"/>
      <c r="G951" s="100"/>
      <c r="H951" s="100"/>
    </row>
    <row r="952" spans="3:8">
      <c r="C952" s="100"/>
      <c r="D952" s="100"/>
      <c r="E952" s="100"/>
      <c r="F952" s="100"/>
      <c r="G952" s="100"/>
      <c r="H952" s="100"/>
    </row>
    <row r="953" spans="3:8">
      <c r="C953" s="100"/>
      <c r="D953" s="100"/>
      <c r="E953" s="100"/>
      <c r="F953" s="100"/>
      <c r="G953" s="100"/>
      <c r="H953" s="100"/>
    </row>
    <row r="954" spans="3:8">
      <c r="C954" s="100"/>
      <c r="D954" s="100"/>
      <c r="E954" s="100"/>
      <c r="F954" s="100"/>
      <c r="G954" s="100"/>
      <c r="H954" s="100"/>
    </row>
    <row r="955" spans="3:8">
      <c r="C955" s="100"/>
      <c r="D955" s="100"/>
      <c r="E955" s="100"/>
      <c r="F955" s="100"/>
      <c r="G955" s="100"/>
      <c r="H955" s="100"/>
    </row>
    <row r="956" spans="3:8">
      <c r="C956" s="100"/>
      <c r="D956" s="100"/>
      <c r="E956" s="100"/>
      <c r="F956" s="100"/>
      <c r="G956" s="100"/>
      <c r="H956" s="100"/>
    </row>
    <row r="957" spans="3:8">
      <c r="C957" s="100"/>
      <c r="D957" s="100"/>
      <c r="E957" s="100"/>
      <c r="F957" s="100"/>
      <c r="G957" s="100"/>
      <c r="H957" s="100"/>
    </row>
    <row r="958" spans="3:8">
      <c r="C958" s="100"/>
      <c r="D958" s="100"/>
      <c r="E958" s="100"/>
      <c r="F958" s="100"/>
      <c r="G958" s="100"/>
      <c r="H958" s="100"/>
    </row>
    <row r="959" spans="3:8">
      <c r="C959" s="100"/>
      <c r="D959" s="100"/>
      <c r="E959" s="100"/>
      <c r="F959" s="100"/>
      <c r="G959" s="100"/>
      <c r="H959" s="100"/>
    </row>
    <row r="960" spans="3:8">
      <c r="C960" s="100"/>
      <c r="D960" s="100"/>
      <c r="E960" s="100"/>
      <c r="F960" s="100"/>
      <c r="G960" s="100"/>
      <c r="H960" s="100"/>
    </row>
    <row r="961" spans="3:8">
      <c r="C961" s="100"/>
      <c r="D961" s="100"/>
      <c r="E961" s="100"/>
      <c r="F961" s="100"/>
      <c r="G961" s="100"/>
      <c r="H961" s="100"/>
    </row>
    <row r="962" spans="3:8">
      <c r="C962" s="100"/>
      <c r="D962" s="100"/>
      <c r="E962" s="100"/>
      <c r="F962" s="100"/>
      <c r="G962" s="100"/>
      <c r="H962" s="100"/>
    </row>
    <row r="963" spans="3:8">
      <c r="C963" s="100"/>
      <c r="D963" s="100"/>
      <c r="E963" s="100"/>
      <c r="F963" s="100"/>
      <c r="G963" s="100"/>
      <c r="H963" s="100"/>
    </row>
    <row r="964" spans="3:8">
      <c r="C964" s="100"/>
      <c r="D964" s="100"/>
      <c r="E964" s="100"/>
      <c r="F964" s="100"/>
      <c r="G964" s="100"/>
      <c r="H964" s="100"/>
    </row>
    <row r="965" spans="3:8">
      <c r="C965" s="100"/>
      <c r="D965" s="100"/>
      <c r="E965" s="100"/>
      <c r="F965" s="100"/>
      <c r="G965" s="100"/>
      <c r="H965" s="100"/>
    </row>
    <row r="966" spans="3:8">
      <c r="C966" s="100"/>
      <c r="D966" s="100"/>
      <c r="E966" s="100"/>
      <c r="F966" s="100"/>
      <c r="G966" s="100"/>
      <c r="H966" s="100"/>
    </row>
    <row r="967" spans="3:8">
      <c r="C967" s="100"/>
      <c r="D967" s="100"/>
      <c r="E967" s="100"/>
      <c r="F967" s="100"/>
      <c r="G967" s="100"/>
      <c r="H967" s="100"/>
    </row>
    <row r="968" spans="3:8">
      <c r="C968" s="100"/>
      <c r="D968" s="100"/>
      <c r="E968" s="100"/>
      <c r="F968" s="100"/>
      <c r="G968" s="100"/>
      <c r="H968" s="100"/>
    </row>
    <row r="969" spans="3:8">
      <c r="C969" s="100"/>
      <c r="D969" s="100"/>
      <c r="E969" s="100"/>
      <c r="F969" s="100"/>
      <c r="G969" s="100"/>
      <c r="H969" s="100"/>
    </row>
    <row r="970" spans="3:8">
      <c r="C970" s="100"/>
      <c r="D970" s="100"/>
      <c r="E970" s="100"/>
      <c r="F970" s="100"/>
      <c r="G970" s="100"/>
      <c r="H970" s="100"/>
    </row>
    <row r="971" spans="3:8">
      <c r="C971" s="100"/>
      <c r="D971" s="100"/>
      <c r="E971" s="100"/>
      <c r="F971" s="100"/>
      <c r="G971" s="100"/>
      <c r="H971" s="100"/>
    </row>
    <row r="972" spans="3:8">
      <c r="C972" s="100"/>
      <c r="D972" s="100"/>
      <c r="E972" s="100"/>
      <c r="F972" s="100"/>
      <c r="G972" s="100"/>
      <c r="H972" s="100"/>
    </row>
    <row r="973" spans="3:8">
      <c r="C973" s="100"/>
      <c r="D973" s="100"/>
      <c r="E973" s="100"/>
      <c r="F973" s="100"/>
      <c r="G973" s="100"/>
      <c r="H973" s="100"/>
    </row>
    <row r="974" spans="3:8">
      <c r="C974" s="100"/>
      <c r="D974" s="100"/>
      <c r="E974" s="100"/>
      <c r="F974" s="100"/>
      <c r="G974" s="100"/>
      <c r="H974" s="100"/>
    </row>
    <row r="975" spans="3:8">
      <c r="C975" s="100"/>
      <c r="D975" s="100"/>
      <c r="E975" s="100"/>
      <c r="F975" s="100"/>
      <c r="G975" s="100"/>
      <c r="H975" s="100"/>
    </row>
    <row r="976" spans="3:8">
      <c r="C976" s="100"/>
      <c r="D976" s="100"/>
      <c r="E976" s="100"/>
      <c r="F976" s="100"/>
      <c r="G976" s="100"/>
      <c r="H976" s="100"/>
    </row>
    <row r="977" spans="3:8">
      <c r="C977" s="100"/>
      <c r="D977" s="100"/>
      <c r="E977" s="100"/>
      <c r="F977" s="100"/>
      <c r="G977" s="100"/>
      <c r="H977" s="100"/>
    </row>
    <row r="978" spans="3:8">
      <c r="C978" s="100"/>
      <c r="D978" s="100"/>
      <c r="E978" s="100"/>
      <c r="F978" s="100"/>
      <c r="G978" s="100"/>
      <c r="H978" s="100"/>
    </row>
    <row r="979" spans="3:8">
      <c r="C979" s="100"/>
      <c r="D979" s="100"/>
      <c r="E979" s="100"/>
      <c r="F979" s="100"/>
      <c r="G979" s="100"/>
      <c r="H979" s="100"/>
    </row>
    <row r="980" spans="3:8">
      <c r="C980" s="100"/>
      <c r="D980" s="100"/>
      <c r="E980" s="100"/>
      <c r="F980" s="100"/>
      <c r="G980" s="100"/>
      <c r="H980" s="100"/>
    </row>
    <row r="981" spans="3:8">
      <c r="C981" s="100"/>
      <c r="D981" s="100"/>
      <c r="E981" s="100"/>
      <c r="F981" s="100"/>
      <c r="G981" s="100"/>
      <c r="H981" s="100"/>
    </row>
    <row r="982" spans="3:8">
      <c r="C982" s="100"/>
      <c r="D982" s="100"/>
      <c r="E982" s="100"/>
      <c r="F982" s="100"/>
      <c r="G982" s="100"/>
      <c r="H982" s="100"/>
    </row>
    <row r="983" spans="3:8">
      <c r="C983" s="100"/>
      <c r="D983" s="100"/>
      <c r="E983" s="100"/>
      <c r="F983" s="100"/>
      <c r="G983" s="100"/>
      <c r="H983" s="100"/>
    </row>
    <row r="984" spans="3:8">
      <c r="C984" s="100"/>
      <c r="D984" s="100"/>
      <c r="E984" s="100"/>
      <c r="F984" s="100"/>
      <c r="G984" s="100"/>
      <c r="H984" s="100"/>
    </row>
    <row r="985" spans="3:8">
      <c r="C985" s="100"/>
      <c r="D985" s="100"/>
      <c r="E985" s="100"/>
      <c r="F985" s="100"/>
      <c r="G985" s="100"/>
      <c r="H985" s="100"/>
    </row>
    <row r="986" spans="3:8">
      <c r="C986" s="100"/>
      <c r="D986" s="100"/>
      <c r="E986" s="100"/>
      <c r="F986" s="100"/>
      <c r="G986" s="100"/>
      <c r="H986" s="100"/>
    </row>
    <row r="987" spans="3:8">
      <c r="C987" s="100"/>
      <c r="D987" s="100"/>
      <c r="E987" s="100"/>
      <c r="F987" s="100"/>
      <c r="G987" s="100"/>
      <c r="H987" s="100"/>
    </row>
    <row r="988" spans="3:8">
      <c r="C988" s="100"/>
      <c r="D988" s="100"/>
      <c r="E988" s="100"/>
      <c r="F988" s="100"/>
      <c r="G988" s="100"/>
      <c r="H988" s="100"/>
    </row>
    <row r="989" spans="3:8">
      <c r="C989" s="100"/>
      <c r="D989" s="100"/>
      <c r="E989" s="100"/>
      <c r="F989" s="100"/>
      <c r="G989" s="100"/>
      <c r="H989" s="100"/>
    </row>
    <row r="990" spans="3:8">
      <c r="C990" s="100"/>
      <c r="D990" s="100"/>
      <c r="E990" s="100"/>
      <c r="F990" s="100"/>
      <c r="G990" s="100"/>
      <c r="H990" s="100"/>
    </row>
    <row r="991" spans="3:8">
      <c r="C991" s="100"/>
      <c r="D991" s="100"/>
      <c r="E991" s="100"/>
      <c r="F991" s="100"/>
      <c r="G991" s="100"/>
      <c r="H991" s="100"/>
    </row>
    <row r="992" spans="3:8">
      <c r="C992" s="100"/>
      <c r="D992" s="100"/>
      <c r="E992" s="100"/>
      <c r="F992" s="100"/>
      <c r="G992" s="100"/>
      <c r="H992" s="100"/>
    </row>
    <row r="993" spans="3:8">
      <c r="C993" s="100"/>
      <c r="D993" s="100"/>
      <c r="E993" s="100"/>
      <c r="F993" s="100"/>
      <c r="G993" s="100"/>
      <c r="H993" s="100"/>
    </row>
    <row r="994" spans="3:8">
      <c r="C994" s="100"/>
      <c r="D994" s="100"/>
      <c r="E994" s="100"/>
      <c r="F994" s="100"/>
      <c r="G994" s="100"/>
      <c r="H994" s="100"/>
    </row>
    <row r="995" spans="3:8">
      <c r="C995" s="100"/>
      <c r="D995" s="100"/>
      <c r="E995" s="100"/>
      <c r="F995" s="100"/>
      <c r="G995" s="100"/>
      <c r="H995" s="100"/>
    </row>
    <row r="996" spans="3:8">
      <c r="C996" s="100"/>
      <c r="D996" s="100"/>
      <c r="E996" s="100"/>
      <c r="F996" s="100"/>
      <c r="G996" s="100"/>
      <c r="H996" s="100"/>
    </row>
    <row r="997" spans="3:8">
      <c r="C997" s="100"/>
      <c r="D997" s="100"/>
      <c r="E997" s="100"/>
      <c r="F997" s="100"/>
      <c r="G997" s="100"/>
      <c r="H997" s="100"/>
    </row>
    <row r="998" spans="3:8">
      <c r="C998" s="100"/>
      <c r="D998" s="100"/>
      <c r="E998" s="100"/>
      <c r="F998" s="100"/>
      <c r="G998" s="100"/>
      <c r="H998" s="100"/>
    </row>
    <row r="999" spans="3:8">
      <c r="C999" s="100"/>
      <c r="D999" s="100"/>
      <c r="E999" s="100"/>
      <c r="F999" s="100"/>
      <c r="G999" s="100"/>
      <c r="H999" s="100"/>
    </row>
    <row r="1000" spans="3:8">
      <c r="C1000" s="100"/>
      <c r="D1000" s="100"/>
      <c r="E1000" s="100"/>
      <c r="F1000" s="100"/>
      <c r="G1000" s="100"/>
      <c r="H1000" s="100"/>
    </row>
    <row r="1001" spans="3:8">
      <c r="C1001" s="100"/>
      <c r="D1001" s="100"/>
      <c r="E1001" s="100"/>
      <c r="F1001" s="100"/>
      <c r="G1001" s="100"/>
      <c r="H1001" s="100"/>
    </row>
    <row r="1002" spans="3:8">
      <c r="C1002" s="100"/>
      <c r="D1002" s="100"/>
      <c r="E1002" s="100"/>
      <c r="F1002" s="100"/>
      <c r="G1002" s="100"/>
      <c r="H1002" s="100"/>
    </row>
    <row r="1003" spans="3:8">
      <c r="C1003" s="100"/>
      <c r="D1003" s="100"/>
      <c r="E1003" s="100"/>
      <c r="F1003" s="100"/>
      <c r="G1003" s="100"/>
      <c r="H1003" s="100"/>
    </row>
    <row r="1004" spans="3:8">
      <c r="C1004" s="100"/>
      <c r="D1004" s="100"/>
      <c r="E1004" s="100"/>
      <c r="F1004" s="100"/>
      <c r="G1004" s="100"/>
      <c r="H1004" s="100"/>
    </row>
    <row r="1005" spans="3:8">
      <c r="C1005" s="100"/>
      <c r="D1005" s="100"/>
      <c r="E1005" s="100"/>
      <c r="F1005" s="100"/>
      <c r="G1005" s="100"/>
      <c r="H1005" s="100"/>
    </row>
    <row r="1006" spans="3:8">
      <c r="C1006" s="100"/>
      <c r="D1006" s="100"/>
      <c r="E1006" s="100"/>
      <c r="F1006" s="100"/>
      <c r="G1006" s="100"/>
      <c r="H1006" s="100"/>
    </row>
    <row r="1007" spans="3:8">
      <c r="C1007" s="100"/>
      <c r="D1007" s="100"/>
      <c r="E1007" s="100"/>
      <c r="F1007" s="100"/>
      <c r="G1007" s="100"/>
      <c r="H1007" s="100"/>
    </row>
    <row r="1008" spans="3:8">
      <c r="C1008" s="100"/>
      <c r="D1008" s="100"/>
      <c r="E1008" s="100"/>
      <c r="F1008" s="100"/>
      <c r="G1008" s="100"/>
      <c r="H1008" s="100"/>
    </row>
    <row r="1009" spans="3:8">
      <c r="C1009" s="100"/>
      <c r="D1009" s="100"/>
      <c r="E1009" s="100"/>
      <c r="F1009" s="100"/>
      <c r="G1009" s="100"/>
      <c r="H1009" s="100"/>
    </row>
    <row r="1010" spans="3:8">
      <c r="C1010" s="100"/>
      <c r="D1010" s="100"/>
      <c r="E1010" s="100"/>
      <c r="F1010" s="100"/>
      <c r="G1010" s="100"/>
      <c r="H1010" s="100"/>
    </row>
    <row r="1011" spans="3:8">
      <c r="C1011" s="100"/>
      <c r="D1011" s="100"/>
      <c r="E1011" s="100"/>
      <c r="F1011" s="100"/>
      <c r="G1011" s="100"/>
      <c r="H1011" s="100"/>
    </row>
    <row r="1012" spans="3:8">
      <c r="C1012" s="100"/>
      <c r="D1012" s="100"/>
      <c r="E1012" s="100"/>
      <c r="F1012" s="100"/>
      <c r="G1012" s="100"/>
      <c r="H1012" s="100"/>
    </row>
    <row r="1013" spans="3:8">
      <c r="C1013" s="100"/>
      <c r="D1013" s="100"/>
      <c r="E1013" s="100"/>
      <c r="F1013" s="100"/>
      <c r="G1013" s="100"/>
      <c r="H1013" s="100"/>
    </row>
    <row r="1014" spans="3:8">
      <c r="C1014" s="100"/>
      <c r="D1014" s="100"/>
      <c r="E1014" s="100"/>
      <c r="F1014" s="100"/>
      <c r="G1014" s="100"/>
      <c r="H1014" s="100"/>
    </row>
    <row r="1015" spans="3:8">
      <c r="C1015" s="100"/>
      <c r="D1015" s="100"/>
      <c r="E1015" s="100"/>
      <c r="F1015" s="100"/>
      <c r="G1015" s="100"/>
      <c r="H1015" s="100"/>
    </row>
    <row r="1016" spans="3:8">
      <c r="C1016" s="100"/>
      <c r="D1016" s="100"/>
      <c r="E1016" s="100"/>
      <c r="F1016" s="100"/>
      <c r="G1016" s="100"/>
      <c r="H1016" s="100"/>
    </row>
    <row r="1017" spans="3:8">
      <c r="C1017" s="100"/>
      <c r="D1017" s="100"/>
      <c r="E1017" s="100"/>
      <c r="F1017" s="100"/>
      <c r="G1017" s="100"/>
      <c r="H1017" s="100"/>
    </row>
    <row r="1018" spans="3:8">
      <c r="C1018" s="100"/>
      <c r="D1018" s="100"/>
      <c r="E1018" s="100"/>
      <c r="F1018" s="100"/>
      <c r="G1018" s="100"/>
      <c r="H1018" s="100"/>
    </row>
    <row r="1019" spans="3:8">
      <c r="C1019" s="100"/>
      <c r="D1019" s="100"/>
      <c r="E1019" s="100"/>
      <c r="F1019" s="100"/>
      <c r="G1019" s="100"/>
      <c r="H1019" s="100"/>
    </row>
    <row r="1020" spans="3:8">
      <c r="C1020" s="100"/>
      <c r="D1020" s="100"/>
      <c r="E1020" s="100"/>
      <c r="F1020" s="100"/>
      <c r="G1020" s="100"/>
      <c r="H1020" s="100"/>
    </row>
    <row r="1021" spans="3:8">
      <c r="C1021" s="100"/>
      <c r="D1021" s="100"/>
      <c r="E1021" s="100"/>
      <c r="F1021" s="100"/>
      <c r="G1021" s="100"/>
      <c r="H1021" s="100"/>
    </row>
    <row r="1022" spans="3:8">
      <c r="C1022" s="100"/>
      <c r="D1022" s="100"/>
      <c r="E1022" s="100"/>
      <c r="F1022" s="100"/>
      <c r="G1022" s="100"/>
      <c r="H1022" s="100"/>
    </row>
    <row r="1023" spans="3:8">
      <c r="C1023" s="100"/>
      <c r="D1023" s="100"/>
      <c r="E1023" s="100"/>
      <c r="F1023" s="100"/>
      <c r="G1023" s="100"/>
      <c r="H1023" s="100"/>
    </row>
    <row r="1024" spans="3:8">
      <c r="C1024" s="100"/>
      <c r="D1024" s="100"/>
      <c r="E1024" s="100"/>
      <c r="F1024" s="100"/>
      <c r="G1024" s="100"/>
      <c r="H1024" s="100"/>
    </row>
    <row r="1025" spans="3:8">
      <c r="C1025" s="100"/>
      <c r="D1025" s="100"/>
      <c r="E1025" s="100"/>
      <c r="F1025" s="100"/>
      <c r="G1025" s="100"/>
      <c r="H1025" s="100"/>
    </row>
    <row r="1026" spans="3:8">
      <c r="C1026" s="100"/>
      <c r="D1026" s="100"/>
      <c r="E1026" s="100"/>
      <c r="F1026" s="100"/>
      <c r="G1026" s="100"/>
      <c r="H1026" s="100"/>
    </row>
    <row r="1027" spans="3:8">
      <c r="C1027" s="100"/>
      <c r="D1027" s="100"/>
      <c r="E1027" s="100"/>
      <c r="F1027" s="100"/>
      <c r="G1027" s="100"/>
      <c r="H1027" s="100"/>
    </row>
    <row r="1028" spans="3:8">
      <c r="C1028" s="100"/>
      <c r="D1028" s="100"/>
      <c r="E1028" s="100"/>
      <c r="F1028" s="100"/>
      <c r="G1028" s="100"/>
      <c r="H1028" s="100"/>
    </row>
    <row r="1029" spans="3:8">
      <c r="C1029" s="100"/>
      <c r="D1029" s="100"/>
      <c r="E1029" s="100"/>
      <c r="F1029" s="100"/>
      <c r="G1029" s="100"/>
      <c r="H1029" s="100"/>
    </row>
    <row r="1030" spans="3:8">
      <c r="C1030" s="100"/>
      <c r="D1030" s="100"/>
      <c r="E1030" s="100"/>
      <c r="F1030" s="100"/>
      <c r="G1030" s="100"/>
      <c r="H1030" s="100"/>
    </row>
    <row r="1031" spans="3:8">
      <c r="C1031" s="100"/>
      <c r="D1031" s="100"/>
      <c r="E1031" s="100"/>
      <c r="F1031" s="100"/>
      <c r="G1031" s="100"/>
      <c r="H1031" s="100"/>
    </row>
    <row r="1032" spans="3:8">
      <c r="C1032" s="100"/>
      <c r="D1032" s="100"/>
      <c r="E1032" s="100"/>
      <c r="F1032" s="100"/>
      <c r="G1032" s="100"/>
      <c r="H1032" s="100"/>
    </row>
    <row r="1033" spans="3:8">
      <c r="C1033" s="100"/>
      <c r="D1033" s="100"/>
      <c r="E1033" s="100"/>
      <c r="F1033" s="100"/>
      <c r="G1033" s="100"/>
      <c r="H1033" s="100"/>
    </row>
    <row r="1034" spans="3:8">
      <c r="C1034" s="100"/>
      <c r="D1034" s="100"/>
      <c r="E1034" s="100"/>
      <c r="F1034" s="100"/>
      <c r="G1034" s="100"/>
      <c r="H1034" s="100"/>
    </row>
    <row r="1035" spans="3:8">
      <c r="C1035" s="100"/>
      <c r="D1035" s="100"/>
      <c r="E1035" s="100"/>
      <c r="F1035" s="100"/>
      <c r="G1035" s="100"/>
      <c r="H1035" s="100"/>
    </row>
    <row r="1036" spans="3:8">
      <c r="C1036" s="100"/>
      <c r="D1036" s="100"/>
      <c r="E1036" s="100"/>
      <c r="F1036" s="100"/>
      <c r="G1036" s="100"/>
      <c r="H1036" s="100"/>
    </row>
    <row r="1037" spans="3:8">
      <c r="C1037" s="100"/>
      <c r="D1037" s="100"/>
      <c r="E1037" s="100"/>
      <c r="F1037" s="100"/>
      <c r="G1037" s="100"/>
      <c r="H1037" s="100"/>
    </row>
    <row r="1038" spans="3:8">
      <c r="C1038" s="100"/>
      <c r="D1038" s="100"/>
      <c r="E1038" s="100"/>
      <c r="F1038" s="100"/>
      <c r="G1038" s="100"/>
      <c r="H1038" s="100"/>
    </row>
    <row r="1039" spans="3:8">
      <c r="C1039" s="100"/>
      <c r="D1039" s="100"/>
      <c r="E1039" s="100"/>
      <c r="F1039" s="100"/>
      <c r="G1039" s="100"/>
      <c r="H1039" s="100"/>
    </row>
    <row r="1040" spans="3:8">
      <c r="C1040" s="100"/>
      <c r="D1040" s="100"/>
      <c r="E1040" s="100"/>
      <c r="F1040" s="100"/>
      <c r="G1040" s="100"/>
      <c r="H1040" s="100"/>
    </row>
    <row r="1041" spans="3:8">
      <c r="C1041" s="100"/>
      <c r="D1041" s="100"/>
      <c r="E1041" s="100"/>
      <c r="F1041" s="100"/>
      <c r="G1041" s="100"/>
      <c r="H1041" s="100"/>
    </row>
    <row r="1042" spans="3:8">
      <c r="C1042" s="100"/>
      <c r="D1042" s="100"/>
      <c r="E1042" s="100"/>
      <c r="F1042" s="100"/>
      <c r="G1042" s="100"/>
      <c r="H1042" s="100"/>
    </row>
    <row r="1043" spans="3:8">
      <c r="C1043" s="100"/>
      <c r="D1043" s="100"/>
      <c r="E1043" s="100"/>
      <c r="F1043" s="100"/>
      <c r="G1043" s="100"/>
      <c r="H1043" s="100"/>
    </row>
    <row r="1044" spans="3:8">
      <c r="C1044" s="100"/>
      <c r="D1044" s="100"/>
      <c r="E1044" s="100"/>
      <c r="F1044" s="100"/>
      <c r="G1044" s="100"/>
      <c r="H1044" s="100"/>
    </row>
    <row r="1045" spans="3:8">
      <c r="C1045" s="100"/>
      <c r="D1045" s="100"/>
      <c r="E1045" s="100"/>
      <c r="F1045" s="100"/>
      <c r="G1045" s="100"/>
      <c r="H1045" s="100"/>
    </row>
    <row r="1046" spans="3:8">
      <c r="C1046" s="100"/>
      <c r="D1046" s="100"/>
      <c r="E1046" s="100"/>
      <c r="F1046" s="100"/>
      <c r="G1046" s="100"/>
      <c r="H1046" s="100"/>
    </row>
    <row r="1047" spans="3:8">
      <c r="C1047" s="100"/>
      <c r="D1047" s="100"/>
      <c r="E1047" s="100"/>
      <c r="F1047" s="100"/>
      <c r="G1047" s="100"/>
      <c r="H1047" s="100"/>
    </row>
    <row r="1048" spans="3:8">
      <c r="C1048" s="100"/>
      <c r="D1048" s="100"/>
      <c r="E1048" s="100"/>
      <c r="F1048" s="100"/>
      <c r="G1048" s="100"/>
      <c r="H1048" s="100"/>
    </row>
    <row r="1049" spans="3:8">
      <c r="C1049" s="100"/>
      <c r="D1049" s="100"/>
      <c r="E1049" s="100"/>
      <c r="F1049" s="100"/>
      <c r="G1049" s="100"/>
      <c r="H1049" s="100"/>
    </row>
    <row r="1050" spans="3:8">
      <c r="C1050" s="100"/>
      <c r="D1050" s="100"/>
      <c r="E1050" s="100"/>
      <c r="F1050" s="100"/>
      <c r="G1050" s="100"/>
      <c r="H1050" s="100"/>
    </row>
    <row r="1051" spans="3:8">
      <c r="C1051" s="100"/>
      <c r="D1051" s="100"/>
      <c r="E1051" s="100"/>
      <c r="F1051" s="100"/>
      <c r="G1051" s="100"/>
      <c r="H1051" s="100"/>
    </row>
    <row r="1052" spans="3:8">
      <c r="C1052" s="100"/>
      <c r="D1052" s="100"/>
      <c r="E1052" s="100"/>
      <c r="F1052" s="100"/>
      <c r="G1052" s="100"/>
      <c r="H1052" s="100"/>
    </row>
    <row r="1053" spans="3:8">
      <c r="C1053" s="100"/>
      <c r="D1053" s="100"/>
      <c r="E1053" s="100"/>
      <c r="F1053" s="100"/>
      <c r="G1053" s="100"/>
      <c r="H1053" s="100"/>
    </row>
    <row r="1054" spans="3:8">
      <c r="C1054" s="100"/>
      <c r="D1054" s="100"/>
      <c r="E1054" s="100"/>
      <c r="F1054" s="100"/>
      <c r="G1054" s="100"/>
      <c r="H1054" s="100"/>
    </row>
    <row r="1055" spans="3:8">
      <c r="C1055" s="100"/>
      <c r="D1055" s="100"/>
      <c r="E1055" s="100"/>
      <c r="F1055" s="100"/>
      <c r="G1055" s="100"/>
      <c r="H1055" s="100"/>
    </row>
    <row r="1056" spans="3:8">
      <c r="C1056" s="100"/>
      <c r="D1056" s="100"/>
      <c r="E1056" s="100"/>
      <c r="F1056" s="100"/>
      <c r="G1056" s="100"/>
      <c r="H1056" s="100"/>
    </row>
    <row r="1057" spans="3:8">
      <c r="C1057" s="100"/>
      <c r="D1057" s="100"/>
      <c r="E1057" s="100"/>
      <c r="F1057" s="100"/>
      <c r="G1057" s="100"/>
      <c r="H1057" s="100"/>
    </row>
    <row r="1058" spans="3:8">
      <c r="C1058" s="100"/>
      <c r="D1058" s="100"/>
      <c r="E1058" s="100"/>
      <c r="F1058" s="100"/>
      <c r="G1058" s="100"/>
      <c r="H1058" s="100"/>
    </row>
    <row r="1059" spans="3:8">
      <c r="C1059" s="100"/>
      <c r="D1059" s="100"/>
      <c r="E1059" s="100"/>
      <c r="F1059" s="100"/>
      <c r="G1059" s="100"/>
      <c r="H1059" s="100"/>
    </row>
    <row r="1060" spans="3:8">
      <c r="C1060" s="100"/>
      <c r="D1060" s="100"/>
      <c r="E1060" s="100"/>
      <c r="F1060" s="100"/>
      <c r="G1060" s="100"/>
      <c r="H1060" s="100"/>
    </row>
    <row r="1061" spans="3:8">
      <c r="C1061" s="100"/>
      <c r="D1061" s="100"/>
      <c r="E1061" s="100"/>
      <c r="F1061" s="100"/>
      <c r="G1061" s="100"/>
      <c r="H1061" s="100"/>
    </row>
    <row r="1062" spans="3:8">
      <c r="C1062" s="100"/>
      <c r="D1062" s="100"/>
      <c r="E1062" s="100"/>
      <c r="F1062" s="100"/>
      <c r="G1062" s="100"/>
      <c r="H1062" s="100"/>
    </row>
    <row r="1063" spans="3:8">
      <c r="C1063" s="100"/>
      <c r="D1063" s="100"/>
      <c r="E1063" s="100"/>
      <c r="F1063" s="100"/>
      <c r="G1063" s="100"/>
      <c r="H1063" s="100"/>
    </row>
    <row r="1064" spans="3:8">
      <c r="C1064" s="100"/>
      <c r="D1064" s="100"/>
      <c r="E1064" s="100"/>
      <c r="F1064" s="100"/>
      <c r="G1064" s="100"/>
      <c r="H1064" s="100"/>
    </row>
    <row r="1065" spans="3:8">
      <c r="C1065" s="100"/>
      <c r="D1065" s="100"/>
      <c r="E1065" s="100"/>
      <c r="F1065" s="100"/>
      <c r="G1065" s="100"/>
      <c r="H1065" s="100"/>
    </row>
    <row r="1066" spans="3:8">
      <c r="C1066" s="100"/>
      <c r="D1066" s="100"/>
      <c r="E1066" s="100"/>
      <c r="F1066" s="100"/>
      <c r="G1066" s="100"/>
      <c r="H1066" s="100"/>
    </row>
    <row r="1067" spans="3:8">
      <c r="C1067" s="100"/>
      <c r="D1067" s="100"/>
      <c r="E1067" s="100"/>
      <c r="F1067" s="100"/>
      <c r="G1067" s="100"/>
      <c r="H1067" s="100"/>
    </row>
    <row r="1068" spans="3:8">
      <c r="C1068" s="100"/>
      <c r="D1068" s="100"/>
      <c r="E1068" s="100"/>
      <c r="F1068" s="100"/>
      <c r="G1068" s="100"/>
      <c r="H1068" s="100"/>
    </row>
    <row r="1069" spans="3:8">
      <c r="C1069" s="100"/>
      <c r="D1069" s="100"/>
      <c r="E1069" s="100"/>
      <c r="F1069" s="100"/>
      <c r="G1069" s="100"/>
      <c r="H1069" s="100"/>
    </row>
    <row r="1070" spans="3:8">
      <c r="C1070" s="100"/>
      <c r="D1070" s="100"/>
      <c r="E1070" s="100"/>
      <c r="F1070" s="100"/>
      <c r="G1070" s="100"/>
      <c r="H1070" s="100"/>
    </row>
    <row r="1071" spans="3:8">
      <c r="C1071" s="100"/>
      <c r="D1071" s="100"/>
      <c r="E1071" s="100"/>
      <c r="F1071" s="100"/>
      <c r="G1071" s="100"/>
      <c r="H1071" s="100"/>
    </row>
    <row r="1072" spans="3:8">
      <c r="C1072" s="100"/>
      <c r="D1072" s="100"/>
      <c r="E1072" s="100"/>
      <c r="F1072" s="100"/>
      <c r="G1072" s="100"/>
      <c r="H1072" s="100"/>
    </row>
    <row r="1073" spans="3:8">
      <c r="C1073" s="100"/>
      <c r="D1073" s="100"/>
      <c r="E1073" s="100"/>
      <c r="F1073" s="100"/>
      <c r="G1073" s="100"/>
      <c r="H1073" s="100"/>
    </row>
    <row r="1074" spans="3:8">
      <c r="C1074" s="100"/>
      <c r="D1074" s="100"/>
      <c r="E1074" s="100"/>
      <c r="F1074" s="100"/>
      <c r="G1074" s="100"/>
      <c r="H1074" s="100"/>
    </row>
    <row r="1075" spans="3:8">
      <c r="C1075" s="100"/>
      <c r="D1075" s="100"/>
      <c r="E1075" s="100"/>
      <c r="F1075" s="100"/>
      <c r="G1075" s="100"/>
      <c r="H1075" s="100"/>
    </row>
    <row r="1076" spans="3:8">
      <c r="C1076" s="100"/>
      <c r="D1076" s="100"/>
      <c r="E1076" s="100"/>
      <c r="F1076" s="100"/>
      <c r="G1076" s="100"/>
      <c r="H1076" s="100"/>
    </row>
    <row r="1077" spans="3:8">
      <c r="C1077" s="100"/>
      <c r="D1077" s="100"/>
      <c r="E1077" s="100"/>
      <c r="F1077" s="100"/>
      <c r="G1077" s="100"/>
      <c r="H1077" s="100"/>
    </row>
    <row r="1078" spans="3:8">
      <c r="C1078" s="100"/>
      <c r="D1078" s="100"/>
      <c r="E1078" s="100"/>
      <c r="F1078" s="100"/>
      <c r="G1078" s="100"/>
      <c r="H1078" s="100"/>
    </row>
    <row r="1079" spans="3:8">
      <c r="C1079" s="100"/>
      <c r="D1079" s="100"/>
      <c r="E1079" s="100"/>
      <c r="F1079" s="100"/>
      <c r="G1079" s="100"/>
      <c r="H1079" s="100"/>
    </row>
    <row r="1080" spans="3:8">
      <c r="C1080" s="100"/>
      <c r="D1080" s="100"/>
      <c r="E1080" s="100"/>
      <c r="F1080" s="100"/>
      <c r="G1080" s="100"/>
      <c r="H1080" s="100"/>
    </row>
    <row r="1081" spans="3:8">
      <c r="C1081" s="100"/>
      <c r="D1081" s="100"/>
      <c r="E1081" s="100"/>
      <c r="F1081" s="100"/>
      <c r="G1081" s="100"/>
      <c r="H1081" s="100"/>
    </row>
    <row r="1082" spans="3:8">
      <c r="C1082" s="100"/>
      <c r="D1082" s="100"/>
      <c r="E1082" s="100"/>
      <c r="F1082" s="100"/>
      <c r="G1082" s="100"/>
      <c r="H1082" s="100"/>
    </row>
    <row r="1083" spans="3:8">
      <c r="C1083" s="100"/>
      <c r="D1083" s="100"/>
      <c r="E1083" s="100"/>
      <c r="F1083" s="100"/>
      <c r="G1083" s="100"/>
      <c r="H1083" s="100"/>
    </row>
    <row r="1084" spans="3:8">
      <c r="C1084" s="100"/>
      <c r="D1084" s="100"/>
      <c r="E1084" s="100"/>
      <c r="F1084" s="100"/>
      <c r="G1084" s="100"/>
      <c r="H1084" s="100"/>
    </row>
    <row r="1085" spans="3:8">
      <c r="C1085" s="100"/>
      <c r="D1085" s="100"/>
      <c r="E1085" s="100"/>
      <c r="F1085" s="100"/>
      <c r="G1085" s="100"/>
      <c r="H1085" s="100"/>
    </row>
    <row r="1086" spans="3:8">
      <c r="C1086" s="100"/>
      <c r="D1086" s="100"/>
      <c r="E1086" s="100"/>
      <c r="F1086" s="100"/>
      <c r="G1086" s="100"/>
      <c r="H1086" s="100"/>
    </row>
    <row r="1087" spans="3:8">
      <c r="C1087" s="100"/>
      <c r="D1087" s="100"/>
      <c r="E1087" s="100"/>
      <c r="F1087" s="100"/>
      <c r="G1087" s="100"/>
      <c r="H1087" s="100"/>
    </row>
    <row r="1088" spans="3:8">
      <c r="C1088" s="100"/>
      <c r="D1088" s="100"/>
      <c r="E1088" s="100"/>
      <c r="F1088" s="100"/>
      <c r="G1088" s="100"/>
      <c r="H1088" s="100"/>
    </row>
    <row r="1089" spans="3:8">
      <c r="C1089" s="100"/>
      <c r="D1089" s="100"/>
      <c r="E1089" s="100"/>
      <c r="F1089" s="100"/>
      <c r="G1089" s="100"/>
      <c r="H1089" s="100"/>
    </row>
    <row r="1090" spans="3:8">
      <c r="C1090" s="100"/>
      <c r="D1090" s="100"/>
      <c r="E1090" s="100"/>
      <c r="F1090" s="100"/>
      <c r="G1090" s="100"/>
      <c r="H1090" s="100"/>
    </row>
    <row r="1091" spans="3:8">
      <c r="C1091" s="100"/>
      <c r="D1091" s="100"/>
      <c r="E1091" s="100"/>
      <c r="F1091" s="100"/>
      <c r="G1091" s="100"/>
      <c r="H1091" s="100"/>
    </row>
    <row r="1092" spans="3:8">
      <c r="C1092" s="100"/>
      <c r="D1092" s="100"/>
      <c r="E1092" s="100"/>
      <c r="F1092" s="100"/>
      <c r="G1092" s="100"/>
      <c r="H1092" s="100"/>
    </row>
    <row r="1093" spans="3:8">
      <c r="C1093" s="100"/>
      <c r="D1093" s="100"/>
      <c r="E1093" s="100"/>
      <c r="F1093" s="100"/>
      <c r="G1093" s="100"/>
      <c r="H1093" s="100"/>
    </row>
    <row r="1094" spans="3:8">
      <c r="C1094" s="100"/>
      <c r="D1094" s="100"/>
      <c r="E1094" s="100"/>
      <c r="F1094" s="100"/>
      <c r="G1094" s="100"/>
      <c r="H1094" s="100"/>
    </row>
    <row r="1095" spans="3:8">
      <c r="C1095" s="100"/>
      <c r="D1095" s="100"/>
      <c r="E1095" s="100"/>
      <c r="F1095" s="100"/>
      <c r="G1095" s="100"/>
      <c r="H1095" s="100"/>
    </row>
    <row r="1096" spans="3:8">
      <c r="C1096" s="100"/>
      <c r="D1096" s="100"/>
      <c r="E1096" s="100"/>
      <c r="F1096" s="100"/>
      <c r="G1096" s="100"/>
      <c r="H1096" s="100"/>
    </row>
    <row r="1097" spans="3:8">
      <c r="C1097" s="100"/>
      <c r="D1097" s="100"/>
      <c r="E1097" s="100"/>
      <c r="F1097" s="100"/>
      <c r="G1097" s="100"/>
      <c r="H1097" s="100"/>
    </row>
    <row r="1098" spans="3:8">
      <c r="C1098" s="100"/>
      <c r="D1098" s="100"/>
      <c r="E1098" s="100"/>
      <c r="F1098" s="100"/>
      <c r="G1098" s="100"/>
      <c r="H1098" s="100"/>
    </row>
    <row r="1099" spans="3:8">
      <c r="C1099" s="100"/>
      <c r="D1099" s="100"/>
      <c r="E1099" s="100"/>
      <c r="F1099" s="100"/>
      <c r="G1099" s="100"/>
      <c r="H1099" s="100"/>
    </row>
    <row r="1100" spans="3:8">
      <c r="C1100" s="100"/>
      <c r="D1100" s="100"/>
      <c r="E1100" s="100"/>
      <c r="F1100" s="100"/>
      <c r="G1100" s="100"/>
      <c r="H1100" s="100"/>
    </row>
    <row r="1101" spans="3:8">
      <c r="C1101" s="100"/>
      <c r="D1101" s="100"/>
      <c r="E1101" s="100"/>
      <c r="F1101" s="100"/>
      <c r="G1101" s="100"/>
      <c r="H1101" s="100"/>
    </row>
    <row r="1102" spans="3:8">
      <c r="C1102" s="100"/>
      <c r="D1102" s="100"/>
      <c r="E1102" s="100"/>
      <c r="F1102" s="100"/>
      <c r="G1102" s="100"/>
      <c r="H1102" s="100"/>
    </row>
    <row r="1103" spans="3:8">
      <c r="C1103" s="100"/>
      <c r="D1103" s="100"/>
      <c r="E1103" s="100"/>
      <c r="F1103" s="100"/>
      <c r="G1103" s="100"/>
      <c r="H1103" s="100"/>
    </row>
    <row r="1104" spans="3:8">
      <c r="C1104" s="100"/>
      <c r="D1104" s="100"/>
      <c r="E1104" s="100"/>
      <c r="F1104" s="100"/>
      <c r="G1104" s="100"/>
      <c r="H1104" s="100"/>
    </row>
    <row r="1105" spans="3:8">
      <c r="C1105" s="100"/>
      <c r="D1105" s="100"/>
      <c r="E1105" s="100"/>
      <c r="F1105" s="100"/>
      <c r="G1105" s="100"/>
      <c r="H1105" s="100"/>
    </row>
    <row r="1106" spans="3:8">
      <c r="C1106" s="100"/>
      <c r="D1106" s="100"/>
      <c r="E1106" s="100"/>
      <c r="F1106" s="100"/>
      <c r="G1106" s="100"/>
      <c r="H1106" s="100"/>
    </row>
    <row r="1107" spans="3:8">
      <c r="C1107" s="100"/>
      <c r="D1107" s="100"/>
      <c r="E1107" s="100"/>
      <c r="F1107" s="100"/>
      <c r="G1107" s="100"/>
      <c r="H1107" s="100"/>
    </row>
    <row r="1108" spans="3:8">
      <c r="C1108" s="100"/>
      <c r="D1108" s="100"/>
      <c r="E1108" s="100"/>
      <c r="F1108" s="100"/>
      <c r="G1108" s="100"/>
      <c r="H1108" s="100"/>
    </row>
    <row r="1109" spans="3:8">
      <c r="C1109" s="100"/>
      <c r="D1109" s="100"/>
      <c r="E1109" s="100"/>
      <c r="F1109" s="100"/>
      <c r="G1109" s="100"/>
      <c r="H1109" s="100"/>
    </row>
    <row r="1110" spans="3:8">
      <c r="C1110" s="100"/>
      <c r="D1110" s="100"/>
      <c r="E1110" s="100"/>
      <c r="F1110" s="100"/>
      <c r="G1110" s="100"/>
      <c r="H1110" s="100"/>
    </row>
    <row r="1111" spans="3:8">
      <c r="C1111" s="100"/>
      <c r="D1111" s="100"/>
      <c r="E1111" s="100"/>
      <c r="F1111" s="100"/>
      <c r="G1111" s="100"/>
      <c r="H1111" s="100"/>
    </row>
    <row r="1112" spans="3:8">
      <c r="C1112" s="100"/>
      <c r="D1112" s="100"/>
      <c r="E1112" s="100"/>
      <c r="F1112" s="100"/>
      <c r="G1112" s="100"/>
      <c r="H1112" s="100"/>
    </row>
    <row r="1113" spans="3:8">
      <c r="C1113" s="100"/>
      <c r="D1113" s="100"/>
      <c r="E1113" s="100"/>
      <c r="F1113" s="100"/>
      <c r="G1113" s="100"/>
      <c r="H1113" s="100"/>
    </row>
    <row r="1114" spans="3:8">
      <c r="C1114" s="100"/>
      <c r="D1114" s="100"/>
      <c r="E1114" s="100"/>
      <c r="F1114" s="100"/>
      <c r="G1114" s="100"/>
      <c r="H1114" s="100"/>
    </row>
    <row r="1115" spans="3:8">
      <c r="C1115" s="100"/>
      <c r="D1115" s="100"/>
      <c r="E1115" s="100"/>
      <c r="F1115" s="100"/>
      <c r="G1115" s="100"/>
      <c r="H1115" s="100"/>
    </row>
    <row r="1116" spans="3:8">
      <c r="C1116" s="100"/>
      <c r="D1116" s="100"/>
      <c r="E1116" s="100"/>
      <c r="F1116" s="100"/>
      <c r="G1116" s="100"/>
      <c r="H1116" s="100"/>
    </row>
    <row r="1117" spans="3:8">
      <c r="C1117" s="100"/>
      <c r="D1117" s="100"/>
      <c r="E1117" s="100"/>
      <c r="F1117" s="100"/>
      <c r="G1117" s="100"/>
      <c r="H1117" s="100"/>
    </row>
    <row r="1118" spans="3:8">
      <c r="C1118" s="100"/>
      <c r="D1118" s="100"/>
      <c r="E1118" s="100"/>
      <c r="F1118" s="100"/>
      <c r="G1118" s="100"/>
      <c r="H1118" s="100"/>
    </row>
    <row r="1119" spans="3:8">
      <c r="C1119" s="100"/>
      <c r="D1119" s="100"/>
      <c r="E1119" s="100"/>
      <c r="F1119" s="100"/>
      <c r="G1119" s="100"/>
      <c r="H1119" s="100"/>
    </row>
    <row r="1120" spans="3:8">
      <c r="C1120" s="100"/>
      <c r="D1120" s="100"/>
      <c r="E1120" s="100"/>
      <c r="F1120" s="100"/>
      <c r="G1120" s="100"/>
      <c r="H1120" s="100"/>
    </row>
    <row r="1121" spans="3:8">
      <c r="C1121" s="100"/>
      <c r="D1121" s="100"/>
      <c r="E1121" s="100"/>
      <c r="F1121" s="100"/>
      <c r="G1121" s="100"/>
      <c r="H1121" s="100"/>
    </row>
    <row r="1122" spans="3:8">
      <c r="C1122" s="100"/>
      <c r="D1122" s="100"/>
      <c r="E1122" s="100"/>
      <c r="F1122" s="100"/>
      <c r="G1122" s="100"/>
      <c r="H1122" s="100"/>
    </row>
    <row r="1123" spans="3:8">
      <c r="C1123" s="100"/>
      <c r="D1123" s="100"/>
      <c r="E1123" s="100"/>
      <c r="F1123" s="100"/>
      <c r="G1123" s="100"/>
      <c r="H1123" s="100"/>
    </row>
    <row r="1124" spans="3:8">
      <c r="C1124" s="100"/>
      <c r="D1124" s="100"/>
      <c r="E1124" s="100"/>
      <c r="F1124" s="100"/>
      <c r="G1124" s="100"/>
      <c r="H1124" s="100"/>
    </row>
    <row r="1125" spans="3:8">
      <c r="C1125" s="100"/>
      <c r="D1125" s="100"/>
      <c r="E1125" s="100"/>
      <c r="F1125" s="100"/>
      <c r="G1125" s="100"/>
      <c r="H1125" s="100"/>
    </row>
    <row r="1126" spans="3:8">
      <c r="C1126" s="100"/>
      <c r="D1126" s="100"/>
      <c r="E1126" s="100"/>
      <c r="F1126" s="100"/>
      <c r="G1126" s="100"/>
      <c r="H1126" s="100"/>
    </row>
    <row r="1127" spans="3:8">
      <c r="C1127" s="100"/>
      <c r="D1127" s="100"/>
      <c r="E1127" s="100"/>
      <c r="F1127" s="100"/>
      <c r="G1127" s="100"/>
      <c r="H1127" s="100"/>
    </row>
    <row r="1128" spans="3:8">
      <c r="C1128" s="100"/>
      <c r="D1128" s="100"/>
      <c r="E1128" s="100"/>
      <c r="F1128" s="100"/>
      <c r="G1128" s="100"/>
      <c r="H1128" s="100"/>
    </row>
    <row r="1129" spans="3:8">
      <c r="C1129" s="100"/>
      <c r="D1129" s="100"/>
      <c r="E1129" s="100"/>
      <c r="F1129" s="100"/>
      <c r="G1129" s="100"/>
      <c r="H1129" s="100"/>
    </row>
    <row r="1130" spans="3:8">
      <c r="C1130" s="100"/>
      <c r="D1130" s="100"/>
      <c r="E1130" s="100"/>
      <c r="F1130" s="100"/>
      <c r="G1130" s="100"/>
      <c r="H1130" s="100"/>
    </row>
    <row r="1131" spans="3:8">
      <c r="C1131" s="100"/>
      <c r="D1131" s="100"/>
      <c r="E1131" s="100"/>
      <c r="F1131" s="100"/>
      <c r="G1131" s="100"/>
      <c r="H1131" s="100"/>
    </row>
    <row r="1132" spans="3:8">
      <c r="C1132" s="100"/>
      <c r="D1132" s="100"/>
      <c r="E1132" s="100"/>
      <c r="F1132" s="100"/>
      <c r="G1132" s="100"/>
      <c r="H1132" s="100"/>
    </row>
    <row r="1133" spans="3:8">
      <c r="C1133" s="100"/>
      <c r="D1133" s="100"/>
      <c r="E1133" s="100"/>
      <c r="F1133" s="100"/>
      <c r="G1133" s="100"/>
      <c r="H1133" s="100"/>
    </row>
    <row r="1134" spans="3:8">
      <c r="C1134" s="100"/>
      <c r="D1134" s="100"/>
      <c r="E1134" s="100"/>
      <c r="F1134" s="100"/>
      <c r="G1134" s="100"/>
      <c r="H1134" s="100"/>
    </row>
    <row r="1135" spans="3:8">
      <c r="C1135" s="100"/>
      <c r="D1135" s="100"/>
      <c r="E1135" s="100"/>
      <c r="F1135" s="100"/>
      <c r="G1135" s="100"/>
      <c r="H1135" s="100"/>
    </row>
    <row r="1136" spans="3:8">
      <c r="C1136" s="100"/>
      <c r="D1136" s="100"/>
      <c r="E1136" s="100"/>
      <c r="F1136" s="100"/>
      <c r="G1136" s="100"/>
      <c r="H1136" s="100"/>
    </row>
    <row r="1137" spans="3:8">
      <c r="C1137" s="100"/>
      <c r="D1137" s="100"/>
      <c r="E1137" s="100"/>
      <c r="F1137" s="100"/>
      <c r="G1137" s="100"/>
      <c r="H1137" s="100"/>
    </row>
    <row r="1138" spans="3:8">
      <c r="C1138" s="100"/>
      <c r="D1138" s="100"/>
      <c r="E1138" s="100"/>
      <c r="F1138" s="100"/>
      <c r="G1138" s="100"/>
      <c r="H1138" s="100"/>
    </row>
    <row r="1139" spans="3:8">
      <c r="C1139" s="100"/>
      <c r="D1139" s="100"/>
      <c r="E1139" s="100"/>
      <c r="F1139" s="100"/>
      <c r="G1139" s="100"/>
      <c r="H1139" s="100"/>
    </row>
    <row r="1140" spans="3:8">
      <c r="C1140" s="100"/>
      <c r="D1140" s="100"/>
      <c r="E1140" s="100"/>
      <c r="F1140" s="100"/>
      <c r="G1140" s="100"/>
      <c r="H1140" s="100"/>
    </row>
    <row r="1141" spans="3:8">
      <c r="C1141" s="100"/>
      <c r="D1141" s="100"/>
      <c r="E1141" s="100"/>
      <c r="F1141" s="100"/>
      <c r="G1141" s="100"/>
      <c r="H1141" s="100"/>
    </row>
    <row r="1142" spans="3:8">
      <c r="C1142" s="100"/>
      <c r="D1142" s="100"/>
      <c r="E1142" s="100"/>
      <c r="F1142" s="100"/>
      <c r="G1142" s="100"/>
      <c r="H1142" s="100"/>
    </row>
    <row r="1143" spans="3:8">
      <c r="C1143" s="100"/>
      <c r="D1143" s="100"/>
      <c r="E1143" s="100"/>
      <c r="F1143" s="100"/>
      <c r="G1143" s="100"/>
      <c r="H1143" s="100"/>
    </row>
    <row r="1144" spans="3:8">
      <c r="C1144" s="100"/>
      <c r="D1144" s="100"/>
      <c r="E1144" s="100"/>
      <c r="F1144" s="100"/>
      <c r="G1144" s="100"/>
      <c r="H1144" s="100"/>
    </row>
    <row r="1145" spans="3:8">
      <c r="C1145" s="100"/>
      <c r="D1145" s="100"/>
      <c r="E1145" s="100"/>
      <c r="F1145" s="100"/>
      <c r="G1145" s="100"/>
      <c r="H1145" s="100"/>
    </row>
    <row r="1146" spans="3:8">
      <c r="C1146" s="100"/>
      <c r="D1146" s="100"/>
      <c r="E1146" s="100"/>
      <c r="F1146" s="100"/>
      <c r="G1146" s="100"/>
      <c r="H1146" s="100"/>
    </row>
    <row r="1147" spans="3:8">
      <c r="C1147" s="100"/>
      <c r="D1147" s="100"/>
      <c r="E1147" s="100"/>
      <c r="F1147" s="100"/>
      <c r="G1147" s="100"/>
      <c r="H1147" s="100"/>
    </row>
    <row r="1148" spans="3:8">
      <c r="C1148" s="100"/>
      <c r="D1148" s="100"/>
      <c r="E1148" s="100"/>
      <c r="F1148" s="100"/>
      <c r="G1148" s="100"/>
      <c r="H1148" s="100"/>
    </row>
    <row r="1149" spans="3:8">
      <c r="C1149" s="100"/>
      <c r="D1149" s="100"/>
      <c r="E1149" s="100"/>
      <c r="F1149" s="100"/>
      <c r="G1149" s="100"/>
      <c r="H1149" s="100"/>
    </row>
    <row r="1150" spans="3:8">
      <c r="C1150" s="100"/>
      <c r="D1150" s="100"/>
      <c r="E1150" s="100"/>
      <c r="F1150" s="100"/>
      <c r="G1150" s="100"/>
      <c r="H1150" s="100"/>
    </row>
    <row r="1151" spans="3:8">
      <c r="C1151" s="100"/>
      <c r="D1151" s="100"/>
      <c r="E1151" s="100"/>
      <c r="F1151" s="100"/>
      <c r="G1151" s="100"/>
      <c r="H1151" s="100"/>
    </row>
    <row r="1152" spans="3:8">
      <c r="C1152" s="100"/>
      <c r="D1152" s="100"/>
      <c r="E1152" s="100"/>
      <c r="F1152" s="100"/>
      <c r="G1152" s="100"/>
      <c r="H1152" s="100"/>
    </row>
    <row r="1153" spans="3:8">
      <c r="C1153" s="100"/>
      <c r="D1153" s="100"/>
      <c r="E1153" s="100"/>
      <c r="F1153" s="100"/>
      <c r="G1153" s="100"/>
      <c r="H1153" s="100"/>
    </row>
    <row r="1154" spans="3:8">
      <c r="C1154" s="100"/>
      <c r="D1154" s="100"/>
      <c r="E1154" s="100"/>
      <c r="F1154" s="100"/>
      <c r="G1154" s="100"/>
      <c r="H1154" s="100"/>
    </row>
    <row r="1155" spans="3:8">
      <c r="C1155" s="100"/>
      <c r="D1155" s="100"/>
      <c r="E1155" s="100"/>
      <c r="F1155" s="100"/>
      <c r="G1155" s="100"/>
      <c r="H1155" s="100"/>
    </row>
    <row r="1156" spans="3:8">
      <c r="C1156" s="100"/>
      <c r="D1156" s="100"/>
      <c r="E1156" s="100"/>
      <c r="F1156" s="100"/>
      <c r="G1156" s="100"/>
      <c r="H1156" s="100"/>
    </row>
    <row r="1157" spans="3:8">
      <c r="C1157" s="100"/>
      <c r="D1157" s="100"/>
      <c r="E1157" s="100"/>
      <c r="F1157" s="100"/>
      <c r="G1157" s="100"/>
      <c r="H1157" s="100"/>
    </row>
    <row r="1158" spans="3:8">
      <c r="C1158" s="100"/>
      <c r="D1158" s="100"/>
      <c r="E1158" s="100"/>
      <c r="F1158" s="100"/>
      <c r="G1158" s="100"/>
      <c r="H1158" s="100"/>
    </row>
    <row r="1159" spans="3:8">
      <c r="C1159" s="100"/>
      <c r="D1159" s="100"/>
      <c r="E1159" s="100"/>
      <c r="F1159" s="100"/>
      <c r="G1159" s="100"/>
      <c r="H1159" s="100"/>
    </row>
    <row r="1160" spans="3:8">
      <c r="C1160" s="100"/>
      <c r="D1160" s="100"/>
      <c r="E1160" s="100"/>
      <c r="F1160" s="100"/>
      <c r="G1160" s="100"/>
      <c r="H1160" s="100"/>
    </row>
    <row r="1161" spans="3:8">
      <c r="C1161" s="100"/>
      <c r="D1161" s="100"/>
      <c r="E1161" s="100"/>
      <c r="F1161" s="100"/>
      <c r="G1161" s="100"/>
      <c r="H1161" s="100"/>
    </row>
    <row r="1162" spans="3:8">
      <c r="C1162" s="100"/>
      <c r="D1162" s="100"/>
      <c r="E1162" s="100"/>
      <c r="F1162" s="100"/>
      <c r="G1162" s="100"/>
      <c r="H1162" s="100"/>
    </row>
    <row r="1163" spans="3:8">
      <c r="C1163" s="100"/>
      <c r="D1163" s="100"/>
      <c r="E1163" s="100"/>
      <c r="F1163" s="100"/>
      <c r="G1163" s="100"/>
      <c r="H1163" s="100"/>
    </row>
    <row r="1164" spans="3:8">
      <c r="C1164" s="100"/>
      <c r="D1164" s="100"/>
      <c r="E1164" s="100"/>
      <c r="F1164" s="100"/>
      <c r="G1164" s="100"/>
      <c r="H1164" s="100"/>
    </row>
    <row r="1165" spans="3:8">
      <c r="C1165" s="100"/>
      <c r="D1165" s="100"/>
      <c r="E1165" s="100"/>
      <c r="F1165" s="100"/>
      <c r="G1165" s="100"/>
      <c r="H1165" s="100"/>
    </row>
    <row r="1166" spans="3:8">
      <c r="C1166" s="100"/>
      <c r="D1166" s="100"/>
      <c r="E1166" s="100"/>
      <c r="F1166" s="100"/>
      <c r="G1166" s="100"/>
      <c r="H1166" s="100"/>
    </row>
    <row r="1167" spans="3:8">
      <c r="C1167" s="100"/>
      <c r="D1167" s="100"/>
      <c r="E1167" s="100"/>
      <c r="F1167" s="100"/>
      <c r="G1167" s="100"/>
      <c r="H1167" s="100"/>
    </row>
    <row r="1168" spans="3:8">
      <c r="C1168" s="100"/>
      <c r="D1168" s="100"/>
      <c r="E1168" s="100"/>
      <c r="F1168" s="100"/>
      <c r="G1168" s="100"/>
      <c r="H1168" s="100"/>
    </row>
    <row r="1169" spans="3:8">
      <c r="C1169" s="100"/>
      <c r="D1169" s="100"/>
      <c r="E1169" s="100"/>
      <c r="F1169" s="100"/>
      <c r="G1169" s="100"/>
      <c r="H1169" s="100"/>
    </row>
    <row r="1170" spans="3:8">
      <c r="C1170" s="100"/>
      <c r="D1170" s="100"/>
      <c r="E1170" s="100"/>
      <c r="F1170" s="100"/>
      <c r="G1170" s="100"/>
      <c r="H1170" s="100"/>
    </row>
    <row r="1171" spans="3:8">
      <c r="C1171" s="100"/>
      <c r="D1171" s="100"/>
      <c r="E1171" s="100"/>
      <c r="F1171" s="100"/>
      <c r="G1171" s="100"/>
      <c r="H1171" s="100"/>
    </row>
    <row r="1172" spans="3:8">
      <c r="C1172" s="100"/>
      <c r="D1172" s="100"/>
      <c r="E1172" s="100"/>
      <c r="F1172" s="100"/>
      <c r="G1172" s="100"/>
      <c r="H1172" s="100"/>
    </row>
    <row r="1173" spans="3:8">
      <c r="C1173" s="100"/>
      <c r="D1173" s="100"/>
      <c r="E1173" s="100"/>
      <c r="F1173" s="100"/>
      <c r="G1173" s="100"/>
      <c r="H1173" s="100"/>
    </row>
    <row r="1174" spans="3:8">
      <c r="C1174" s="100"/>
      <c r="D1174" s="100"/>
      <c r="E1174" s="100"/>
      <c r="F1174" s="100"/>
      <c r="G1174" s="100"/>
      <c r="H1174" s="100"/>
    </row>
    <row r="1175" spans="3:8">
      <c r="C1175" s="100"/>
      <c r="D1175" s="100"/>
      <c r="E1175" s="100"/>
      <c r="F1175" s="100"/>
      <c r="G1175" s="100"/>
      <c r="H1175" s="100"/>
    </row>
    <row r="1176" spans="3:8">
      <c r="C1176" s="100"/>
      <c r="D1176" s="100"/>
      <c r="E1176" s="100"/>
      <c r="F1176" s="100"/>
      <c r="G1176" s="100"/>
      <c r="H1176" s="100"/>
    </row>
    <row r="1177" spans="3:8">
      <c r="C1177" s="100"/>
      <c r="D1177" s="100"/>
      <c r="E1177" s="100"/>
      <c r="F1177" s="100"/>
      <c r="G1177" s="100"/>
      <c r="H1177" s="100"/>
    </row>
    <row r="1178" spans="3:8">
      <c r="C1178" s="100"/>
      <c r="D1178" s="100"/>
      <c r="E1178" s="100"/>
      <c r="F1178" s="100"/>
      <c r="G1178" s="100"/>
      <c r="H1178" s="100"/>
    </row>
    <row r="1179" spans="3:8">
      <c r="C1179" s="100"/>
      <c r="D1179" s="100"/>
      <c r="E1179" s="100"/>
      <c r="F1179" s="100"/>
      <c r="G1179" s="100"/>
      <c r="H1179" s="100"/>
    </row>
    <row r="1180" spans="3:8">
      <c r="C1180" s="100"/>
      <c r="D1180" s="100"/>
      <c r="E1180" s="100"/>
      <c r="F1180" s="100"/>
      <c r="G1180" s="100"/>
      <c r="H1180" s="100"/>
    </row>
    <row r="1181" spans="3:8">
      <c r="C1181" s="100"/>
      <c r="D1181" s="100"/>
      <c r="E1181" s="100"/>
      <c r="F1181" s="100"/>
      <c r="G1181" s="100"/>
      <c r="H1181" s="100"/>
    </row>
    <row r="1182" spans="3:8">
      <c r="C1182" s="100"/>
      <c r="D1182" s="100"/>
      <c r="E1182" s="100"/>
      <c r="F1182" s="100"/>
      <c r="G1182" s="100"/>
      <c r="H1182" s="100"/>
    </row>
    <row r="1183" spans="3:8">
      <c r="C1183" s="100"/>
      <c r="D1183" s="100"/>
      <c r="E1183" s="100"/>
      <c r="F1183" s="100"/>
      <c r="G1183" s="100"/>
      <c r="H1183" s="100"/>
    </row>
    <row r="1184" spans="3:8">
      <c r="C1184" s="100"/>
      <c r="D1184" s="100"/>
      <c r="E1184" s="100"/>
      <c r="F1184" s="100"/>
      <c r="G1184" s="100"/>
      <c r="H1184" s="100"/>
    </row>
    <row r="1185" spans="3:8">
      <c r="C1185" s="100"/>
      <c r="D1185" s="100"/>
      <c r="E1185" s="100"/>
      <c r="F1185" s="100"/>
      <c r="G1185" s="100"/>
      <c r="H1185" s="100"/>
    </row>
    <row r="1186" spans="3:8">
      <c r="C1186" s="100"/>
      <c r="D1186" s="100"/>
      <c r="E1186" s="100"/>
      <c r="F1186" s="100"/>
      <c r="G1186" s="100"/>
      <c r="H1186" s="100"/>
    </row>
    <row r="1187" spans="3:8">
      <c r="C1187" s="100"/>
      <c r="D1187" s="100"/>
      <c r="E1187" s="100"/>
      <c r="F1187" s="100"/>
      <c r="G1187" s="100"/>
      <c r="H1187" s="100"/>
    </row>
    <row r="1188" spans="3:8">
      <c r="C1188" s="100"/>
      <c r="D1188" s="100"/>
      <c r="E1188" s="100"/>
      <c r="F1188" s="100"/>
      <c r="G1188" s="100"/>
      <c r="H1188" s="100"/>
    </row>
    <row r="1189" spans="3:8">
      <c r="C1189" s="100"/>
      <c r="D1189" s="100"/>
      <c r="E1189" s="100"/>
      <c r="F1189" s="100"/>
      <c r="G1189" s="100"/>
      <c r="H1189" s="100"/>
    </row>
    <row r="1190" spans="3:8">
      <c r="C1190" s="100"/>
      <c r="D1190" s="100"/>
      <c r="E1190" s="100"/>
      <c r="F1190" s="100"/>
      <c r="G1190" s="100"/>
      <c r="H1190" s="100"/>
    </row>
    <row r="1191" spans="3:8">
      <c r="C1191" s="100"/>
      <c r="D1191" s="100"/>
      <c r="E1191" s="100"/>
      <c r="F1191" s="100"/>
      <c r="G1191" s="100"/>
      <c r="H1191" s="100"/>
    </row>
    <row r="1192" spans="3:8">
      <c r="C1192" s="100"/>
      <c r="D1192" s="100"/>
      <c r="E1192" s="100"/>
      <c r="F1192" s="100"/>
      <c r="G1192" s="100"/>
      <c r="H1192" s="100"/>
    </row>
    <row r="1193" spans="3:8">
      <c r="C1193" s="100"/>
      <c r="D1193" s="100"/>
      <c r="E1193" s="100"/>
      <c r="F1193" s="100"/>
      <c r="G1193" s="100"/>
      <c r="H1193" s="100"/>
    </row>
    <row r="1194" spans="3:8">
      <c r="C1194" s="100"/>
      <c r="D1194" s="100"/>
      <c r="E1194" s="100"/>
      <c r="F1194" s="100"/>
      <c r="G1194" s="100"/>
      <c r="H1194" s="100"/>
    </row>
    <row r="1195" spans="3:8">
      <c r="C1195" s="100"/>
      <c r="D1195" s="100"/>
      <c r="E1195" s="100"/>
      <c r="F1195" s="100"/>
      <c r="G1195" s="100"/>
      <c r="H1195" s="100"/>
    </row>
    <row r="1196" spans="3:8">
      <c r="C1196" s="100"/>
      <c r="D1196" s="100"/>
      <c r="E1196" s="100"/>
      <c r="F1196" s="100"/>
      <c r="G1196" s="100"/>
      <c r="H1196" s="100"/>
    </row>
    <row r="1197" spans="3:8">
      <c r="C1197" s="100"/>
      <c r="D1197" s="100"/>
      <c r="E1197" s="100"/>
      <c r="F1197" s="100"/>
      <c r="G1197" s="100"/>
      <c r="H1197" s="100"/>
    </row>
    <row r="1198" spans="3:8">
      <c r="C1198" s="100"/>
      <c r="D1198" s="100"/>
      <c r="E1198" s="100"/>
      <c r="F1198" s="100"/>
      <c r="G1198" s="100"/>
      <c r="H1198" s="100"/>
    </row>
    <row r="1199" spans="3:8">
      <c r="C1199" s="100"/>
      <c r="D1199" s="100"/>
      <c r="E1199" s="100"/>
      <c r="F1199" s="100"/>
      <c r="G1199" s="100"/>
      <c r="H1199" s="100"/>
    </row>
    <row r="1200" spans="3:8">
      <c r="C1200" s="100"/>
      <c r="D1200" s="100"/>
      <c r="E1200" s="100"/>
      <c r="F1200" s="100"/>
      <c r="G1200" s="100"/>
      <c r="H1200" s="100"/>
    </row>
    <row r="1201" spans="3:8">
      <c r="C1201" s="100"/>
      <c r="D1201" s="100"/>
      <c r="E1201" s="100"/>
      <c r="F1201" s="100"/>
      <c r="G1201" s="100"/>
      <c r="H1201" s="100"/>
    </row>
    <row r="1202" spans="3:8">
      <c r="C1202" s="100"/>
      <c r="D1202" s="100"/>
      <c r="E1202" s="100"/>
      <c r="F1202" s="100"/>
      <c r="G1202" s="100"/>
      <c r="H1202" s="100"/>
    </row>
    <row r="1203" spans="3:8">
      <c r="C1203" s="100"/>
      <c r="D1203" s="100"/>
      <c r="E1203" s="100"/>
      <c r="F1203" s="100"/>
      <c r="G1203" s="100"/>
      <c r="H1203" s="100"/>
    </row>
    <row r="1204" spans="3:8">
      <c r="C1204" s="100"/>
      <c r="D1204" s="100"/>
      <c r="E1204" s="100"/>
      <c r="F1204" s="100"/>
      <c r="G1204" s="100"/>
      <c r="H1204" s="100"/>
    </row>
    <row r="1205" spans="3:8">
      <c r="C1205" s="100"/>
      <c r="D1205" s="100"/>
      <c r="E1205" s="100"/>
      <c r="F1205" s="100"/>
      <c r="G1205" s="100"/>
      <c r="H1205" s="100"/>
    </row>
    <row r="1206" spans="3:8">
      <c r="C1206" s="100"/>
      <c r="D1206" s="100"/>
      <c r="E1206" s="100"/>
      <c r="F1206" s="100"/>
      <c r="G1206" s="100"/>
      <c r="H1206" s="100"/>
    </row>
    <row r="1207" spans="3:8">
      <c r="C1207" s="100"/>
      <c r="D1207" s="100"/>
      <c r="E1207" s="100"/>
      <c r="F1207" s="100"/>
      <c r="G1207" s="100"/>
      <c r="H1207" s="100"/>
    </row>
    <row r="1208" spans="3:8">
      <c r="C1208" s="100"/>
      <c r="D1208" s="100"/>
      <c r="E1208" s="100"/>
      <c r="F1208" s="100"/>
      <c r="G1208" s="100"/>
      <c r="H1208" s="100"/>
    </row>
    <row r="1209" spans="3:8">
      <c r="C1209" s="100"/>
      <c r="D1209" s="100"/>
      <c r="E1209" s="100"/>
      <c r="F1209" s="100"/>
      <c r="G1209" s="100"/>
      <c r="H1209" s="100"/>
    </row>
    <row r="1210" spans="3:8">
      <c r="C1210" s="100"/>
      <c r="D1210" s="100"/>
      <c r="E1210" s="100"/>
      <c r="F1210" s="100"/>
      <c r="G1210" s="100"/>
      <c r="H1210" s="100"/>
    </row>
    <row r="1211" spans="3:8">
      <c r="C1211" s="100"/>
      <c r="D1211" s="100"/>
      <c r="E1211" s="100"/>
      <c r="F1211" s="100"/>
      <c r="G1211" s="100"/>
      <c r="H1211" s="100"/>
    </row>
    <row r="1212" spans="3:8">
      <c r="C1212" s="100"/>
      <c r="D1212" s="100"/>
      <c r="E1212" s="100"/>
      <c r="F1212" s="100"/>
      <c r="G1212" s="100"/>
      <c r="H1212" s="100"/>
    </row>
    <row r="1213" spans="3:8">
      <c r="C1213" s="100"/>
      <c r="D1213" s="100"/>
      <c r="E1213" s="100"/>
      <c r="F1213" s="100"/>
      <c r="G1213" s="100"/>
      <c r="H1213" s="100"/>
    </row>
    <row r="1214" spans="3:8">
      <c r="C1214" s="100"/>
      <c r="D1214" s="100"/>
      <c r="E1214" s="100"/>
      <c r="F1214" s="100"/>
      <c r="G1214" s="100"/>
      <c r="H1214" s="100"/>
    </row>
    <row r="1215" spans="3:8">
      <c r="C1215" s="100"/>
      <c r="D1215" s="100"/>
      <c r="E1215" s="100"/>
      <c r="F1215" s="100"/>
      <c r="G1215" s="100"/>
      <c r="H1215" s="100"/>
    </row>
    <row r="1216" spans="3:8">
      <c r="C1216" s="100"/>
      <c r="D1216" s="100"/>
      <c r="E1216" s="100"/>
      <c r="F1216" s="100"/>
      <c r="G1216" s="100"/>
      <c r="H1216" s="100"/>
    </row>
    <row r="1217" spans="3:8">
      <c r="C1217" s="100"/>
      <c r="D1217" s="100"/>
      <c r="E1217" s="100"/>
      <c r="F1217" s="100"/>
      <c r="G1217" s="100"/>
      <c r="H1217" s="100"/>
    </row>
    <row r="1218" spans="3:8">
      <c r="C1218" s="100"/>
      <c r="D1218" s="100"/>
      <c r="E1218" s="100"/>
      <c r="F1218" s="100"/>
      <c r="G1218" s="100"/>
      <c r="H1218" s="100"/>
    </row>
    <row r="1219" spans="3:8">
      <c r="C1219" s="100"/>
      <c r="D1219" s="100"/>
      <c r="E1219" s="100"/>
      <c r="F1219" s="100"/>
      <c r="G1219" s="100"/>
      <c r="H1219" s="100"/>
    </row>
    <row r="1220" spans="3:8">
      <c r="C1220" s="100"/>
      <c r="D1220" s="100"/>
      <c r="E1220" s="100"/>
      <c r="F1220" s="100"/>
      <c r="G1220" s="100"/>
      <c r="H1220" s="100"/>
    </row>
    <row r="1221" spans="3:8">
      <c r="C1221" s="100"/>
      <c r="D1221" s="100"/>
      <c r="E1221" s="100"/>
      <c r="F1221" s="100"/>
      <c r="G1221" s="100"/>
      <c r="H1221" s="100"/>
    </row>
    <row r="1222" spans="3:8">
      <c r="C1222" s="100"/>
      <c r="D1222" s="100"/>
      <c r="E1222" s="100"/>
      <c r="F1222" s="100"/>
      <c r="G1222" s="100"/>
      <c r="H1222" s="100"/>
    </row>
    <row r="1223" spans="3:8">
      <c r="C1223" s="100"/>
      <c r="D1223" s="100"/>
      <c r="E1223" s="100"/>
      <c r="F1223" s="100"/>
      <c r="G1223" s="100"/>
      <c r="H1223" s="100"/>
    </row>
    <row r="1224" spans="3:8">
      <c r="C1224" s="100"/>
      <c r="D1224" s="100"/>
      <c r="E1224" s="100"/>
      <c r="F1224" s="100"/>
      <c r="G1224" s="100"/>
      <c r="H1224" s="100"/>
    </row>
    <row r="1225" spans="3:8">
      <c r="C1225" s="100"/>
      <c r="D1225" s="100"/>
      <c r="E1225" s="100"/>
      <c r="F1225" s="100"/>
      <c r="G1225" s="100"/>
      <c r="H1225" s="100"/>
    </row>
    <row r="1226" spans="3:8">
      <c r="C1226" s="100"/>
      <c r="D1226" s="100"/>
      <c r="E1226" s="100"/>
      <c r="F1226" s="100"/>
      <c r="G1226" s="100"/>
      <c r="H1226" s="100"/>
    </row>
    <row r="1227" spans="3:8">
      <c r="C1227" s="100"/>
      <c r="D1227" s="100"/>
      <c r="E1227" s="100"/>
      <c r="F1227" s="100"/>
      <c r="G1227" s="100"/>
      <c r="H1227" s="100"/>
    </row>
    <row r="1228" spans="3:8">
      <c r="C1228" s="100"/>
      <c r="D1228" s="100"/>
      <c r="E1228" s="100"/>
      <c r="F1228" s="100"/>
      <c r="G1228" s="100"/>
      <c r="H1228" s="100"/>
    </row>
    <row r="1229" spans="3:8">
      <c r="C1229" s="100"/>
      <c r="D1229" s="100"/>
      <c r="E1229" s="100"/>
      <c r="F1229" s="100"/>
      <c r="G1229" s="100"/>
      <c r="H1229" s="100"/>
    </row>
    <row r="1230" spans="3:8">
      <c r="C1230" s="100"/>
      <c r="D1230" s="100"/>
      <c r="E1230" s="100"/>
      <c r="F1230" s="100"/>
      <c r="G1230" s="100"/>
      <c r="H1230" s="100"/>
    </row>
    <row r="1231" spans="3:8">
      <c r="C1231" s="100"/>
      <c r="D1231" s="100"/>
      <c r="E1231" s="100"/>
      <c r="F1231" s="100"/>
      <c r="G1231" s="100"/>
      <c r="H1231" s="100"/>
    </row>
    <row r="1232" spans="3:8">
      <c r="C1232" s="100"/>
      <c r="D1232" s="100"/>
      <c r="E1232" s="100"/>
      <c r="F1232" s="100"/>
      <c r="G1232" s="100"/>
      <c r="H1232" s="100"/>
    </row>
    <row r="1233" spans="3:8">
      <c r="C1233" s="100"/>
      <c r="D1233" s="100"/>
      <c r="E1233" s="100"/>
      <c r="F1233" s="100"/>
      <c r="G1233" s="100"/>
      <c r="H1233" s="100"/>
    </row>
    <row r="1234" spans="3:8">
      <c r="C1234" s="100"/>
      <c r="D1234" s="100"/>
      <c r="E1234" s="100"/>
      <c r="F1234" s="100"/>
      <c r="G1234" s="100"/>
      <c r="H1234" s="100"/>
    </row>
    <row r="1235" spans="3:8">
      <c r="C1235" s="100"/>
      <c r="D1235" s="100"/>
      <c r="E1235" s="100"/>
      <c r="F1235" s="100"/>
      <c r="G1235" s="100"/>
      <c r="H1235" s="100"/>
    </row>
    <row r="1236" spans="3:8">
      <c r="C1236" s="100"/>
      <c r="D1236" s="100"/>
      <c r="E1236" s="100"/>
      <c r="F1236" s="100"/>
      <c r="G1236" s="100"/>
      <c r="H1236" s="100"/>
    </row>
    <row r="1237" spans="3:8">
      <c r="C1237" s="100"/>
      <c r="D1237" s="100"/>
      <c r="E1237" s="100"/>
      <c r="F1237" s="100"/>
      <c r="G1237" s="100"/>
      <c r="H1237" s="100"/>
    </row>
    <row r="1238" spans="3:8">
      <c r="C1238" s="100"/>
      <c r="D1238" s="100"/>
      <c r="E1238" s="100"/>
      <c r="F1238" s="100"/>
      <c r="G1238" s="100"/>
      <c r="H1238" s="100"/>
    </row>
    <row r="1239" spans="3:8">
      <c r="C1239" s="100"/>
      <c r="D1239" s="100"/>
      <c r="E1239" s="100"/>
      <c r="F1239" s="100"/>
      <c r="G1239" s="100"/>
      <c r="H1239" s="100"/>
    </row>
    <row r="1240" spans="3:8">
      <c r="C1240" s="100"/>
      <c r="D1240" s="100"/>
      <c r="E1240" s="100"/>
      <c r="F1240" s="100"/>
      <c r="G1240" s="100"/>
      <c r="H1240" s="100"/>
    </row>
    <row r="1241" spans="3:8">
      <c r="C1241" s="100"/>
      <c r="D1241" s="100"/>
      <c r="E1241" s="100"/>
      <c r="F1241" s="100"/>
      <c r="G1241" s="100"/>
      <c r="H1241" s="100"/>
    </row>
    <row r="1242" spans="3:8">
      <c r="C1242" s="100"/>
      <c r="D1242" s="100"/>
      <c r="E1242" s="100"/>
      <c r="F1242" s="100"/>
      <c r="G1242" s="100"/>
      <c r="H1242" s="100"/>
    </row>
    <row r="1243" spans="3:8">
      <c r="C1243" s="100"/>
      <c r="D1243" s="100"/>
      <c r="E1243" s="100"/>
      <c r="F1243" s="100"/>
      <c r="G1243" s="100"/>
      <c r="H1243" s="100"/>
    </row>
    <row r="1244" spans="3:8">
      <c r="C1244" s="100"/>
      <c r="D1244" s="100"/>
      <c r="E1244" s="100"/>
      <c r="F1244" s="100"/>
      <c r="G1244" s="100"/>
      <c r="H1244" s="100"/>
    </row>
    <row r="1245" spans="3:8">
      <c r="C1245" s="100"/>
      <c r="D1245" s="100"/>
      <c r="E1245" s="100"/>
      <c r="F1245" s="100"/>
      <c r="G1245" s="100"/>
      <c r="H1245" s="100"/>
    </row>
    <row r="1246" spans="3:8">
      <c r="C1246" s="100"/>
      <c r="D1246" s="100"/>
      <c r="E1246" s="100"/>
      <c r="F1246" s="100"/>
      <c r="G1246" s="100"/>
      <c r="H1246" s="100"/>
    </row>
    <row r="1247" spans="3:8">
      <c r="C1247" s="100"/>
      <c r="D1247" s="100"/>
      <c r="E1247" s="100"/>
      <c r="F1247" s="100"/>
      <c r="G1247" s="100"/>
      <c r="H1247" s="100"/>
    </row>
    <row r="1248" spans="3:8">
      <c r="C1248" s="100"/>
      <c r="D1248" s="100"/>
      <c r="E1248" s="100"/>
      <c r="F1248" s="100"/>
      <c r="G1248" s="100"/>
      <c r="H1248" s="100"/>
    </row>
    <row r="1249" spans="3:8">
      <c r="C1249" s="100"/>
      <c r="D1249" s="100"/>
      <c r="E1249" s="100"/>
      <c r="F1249" s="100"/>
      <c r="G1249" s="100"/>
      <c r="H1249" s="100"/>
    </row>
    <row r="1250" spans="3:8">
      <c r="C1250" s="100"/>
      <c r="D1250" s="100"/>
      <c r="E1250" s="100"/>
      <c r="F1250" s="100"/>
      <c r="G1250" s="100"/>
      <c r="H1250" s="100"/>
    </row>
    <row r="1251" spans="3:8">
      <c r="C1251" s="100"/>
      <c r="D1251" s="100"/>
      <c r="E1251" s="100"/>
      <c r="F1251" s="100"/>
      <c r="G1251" s="100"/>
      <c r="H1251" s="100"/>
    </row>
    <row r="1252" spans="3:8">
      <c r="C1252" s="100"/>
      <c r="D1252" s="100"/>
      <c r="E1252" s="100"/>
      <c r="F1252" s="100"/>
      <c r="G1252" s="100"/>
      <c r="H1252" s="100"/>
    </row>
    <row r="1253" spans="3:8">
      <c r="C1253" s="100"/>
      <c r="D1253" s="100"/>
      <c r="E1253" s="100"/>
      <c r="F1253" s="100"/>
      <c r="G1253" s="100"/>
      <c r="H1253" s="100"/>
    </row>
    <row r="1254" spans="3:8">
      <c r="C1254" s="100"/>
      <c r="D1254" s="100"/>
      <c r="E1254" s="100"/>
      <c r="F1254" s="100"/>
      <c r="G1254" s="100"/>
      <c r="H1254" s="100"/>
    </row>
    <row r="1255" spans="3:8">
      <c r="C1255" s="100"/>
      <c r="D1255" s="100"/>
      <c r="E1255" s="100"/>
      <c r="F1255" s="100"/>
      <c r="G1255" s="100"/>
      <c r="H1255" s="100"/>
    </row>
    <row r="1256" spans="3:8">
      <c r="C1256" s="100"/>
      <c r="D1256" s="100"/>
      <c r="E1256" s="100"/>
      <c r="F1256" s="100"/>
      <c r="G1256" s="100"/>
      <c r="H1256" s="100"/>
    </row>
    <row r="1257" spans="3:8">
      <c r="C1257" s="100"/>
      <c r="D1257" s="100"/>
      <c r="E1257" s="100"/>
      <c r="F1257" s="100"/>
      <c r="G1257" s="100"/>
      <c r="H1257" s="100"/>
    </row>
    <row r="1258" spans="3:8">
      <c r="C1258" s="100"/>
      <c r="D1258" s="100"/>
      <c r="E1258" s="100"/>
      <c r="F1258" s="100"/>
      <c r="G1258" s="100"/>
      <c r="H1258" s="100"/>
    </row>
    <row r="1259" spans="3:8">
      <c r="C1259" s="100"/>
      <c r="D1259" s="100"/>
      <c r="E1259" s="100"/>
      <c r="F1259" s="100"/>
      <c r="G1259" s="100"/>
      <c r="H1259" s="100"/>
    </row>
    <row r="1260" spans="3:8">
      <c r="C1260" s="100"/>
      <c r="D1260" s="100"/>
      <c r="E1260" s="100"/>
      <c r="F1260" s="100"/>
      <c r="G1260" s="100"/>
      <c r="H1260" s="100"/>
    </row>
    <row r="1261" spans="3:8">
      <c r="C1261" s="100"/>
      <c r="D1261" s="100"/>
      <c r="E1261" s="100"/>
      <c r="F1261" s="100"/>
      <c r="G1261" s="100"/>
      <c r="H1261" s="100"/>
    </row>
    <row r="1262" spans="3:8">
      <c r="C1262" s="100"/>
      <c r="D1262" s="100"/>
      <c r="E1262" s="100"/>
      <c r="F1262" s="100"/>
      <c r="G1262" s="100"/>
      <c r="H1262" s="100"/>
    </row>
    <row r="1263" spans="3:8">
      <c r="C1263" s="100"/>
      <c r="D1263" s="100"/>
      <c r="E1263" s="100"/>
      <c r="F1263" s="100"/>
      <c r="G1263" s="100"/>
      <c r="H1263" s="100"/>
    </row>
    <row r="1264" spans="3:8">
      <c r="C1264" s="100"/>
      <c r="D1264" s="100"/>
      <c r="E1264" s="100"/>
      <c r="F1264" s="100"/>
      <c r="G1264" s="100"/>
      <c r="H1264" s="100"/>
    </row>
    <row r="1265" spans="3:8">
      <c r="C1265" s="100"/>
      <c r="D1265" s="100"/>
      <c r="E1265" s="100"/>
      <c r="F1265" s="100"/>
      <c r="G1265" s="100"/>
      <c r="H1265" s="100"/>
    </row>
    <row r="1266" spans="3:8">
      <c r="C1266" s="100"/>
      <c r="D1266" s="100"/>
      <c r="E1266" s="100"/>
      <c r="F1266" s="100"/>
      <c r="G1266" s="100"/>
      <c r="H1266" s="100"/>
    </row>
    <row r="1267" spans="3:8">
      <c r="C1267" s="100"/>
      <c r="D1267" s="100"/>
      <c r="E1267" s="100"/>
      <c r="F1267" s="100"/>
      <c r="G1267" s="100"/>
      <c r="H1267" s="100"/>
    </row>
    <row r="1268" spans="3:8">
      <c r="C1268" s="100"/>
      <c r="D1268" s="100"/>
      <c r="E1268" s="100"/>
      <c r="F1268" s="100"/>
      <c r="G1268" s="100"/>
      <c r="H1268" s="100"/>
    </row>
    <row r="1269" spans="3:8">
      <c r="C1269" s="100"/>
      <c r="D1269" s="100"/>
      <c r="E1269" s="100"/>
      <c r="F1269" s="100"/>
      <c r="G1269" s="100"/>
      <c r="H1269" s="100"/>
    </row>
    <row r="1270" spans="3:8">
      <c r="C1270" s="100"/>
      <c r="D1270" s="100"/>
      <c r="E1270" s="100"/>
      <c r="F1270" s="100"/>
      <c r="G1270" s="100"/>
      <c r="H1270" s="100"/>
    </row>
    <row r="1271" spans="3:8">
      <c r="C1271" s="100"/>
      <c r="D1271" s="100"/>
      <c r="E1271" s="100"/>
      <c r="F1271" s="100"/>
      <c r="G1271" s="100"/>
      <c r="H1271" s="100"/>
    </row>
    <row r="1272" spans="3:8">
      <c r="C1272" s="100"/>
      <c r="D1272" s="100"/>
      <c r="E1272" s="100"/>
      <c r="F1272" s="100"/>
      <c r="G1272" s="100"/>
      <c r="H1272" s="100"/>
    </row>
    <row r="1273" spans="3:8">
      <c r="C1273" s="100"/>
      <c r="D1273" s="100"/>
      <c r="E1273" s="100"/>
      <c r="F1273" s="100"/>
      <c r="G1273" s="100"/>
      <c r="H1273" s="100"/>
    </row>
    <row r="1274" spans="3:8">
      <c r="C1274" s="100"/>
      <c r="D1274" s="100"/>
      <c r="E1274" s="100"/>
      <c r="F1274" s="100"/>
      <c r="G1274" s="100"/>
      <c r="H1274" s="100"/>
    </row>
    <row r="1275" spans="3:8">
      <c r="C1275" s="100"/>
      <c r="D1275" s="100"/>
      <c r="E1275" s="100"/>
      <c r="F1275" s="100"/>
      <c r="G1275" s="100"/>
      <c r="H1275" s="100"/>
    </row>
    <row r="1276" spans="3:8">
      <c r="C1276" s="100"/>
      <c r="D1276" s="100"/>
      <c r="E1276" s="100"/>
      <c r="F1276" s="100"/>
      <c r="G1276" s="100"/>
      <c r="H1276" s="100"/>
    </row>
    <row r="1277" spans="3:8">
      <c r="C1277" s="100"/>
      <c r="D1277" s="100"/>
      <c r="E1277" s="100"/>
      <c r="F1277" s="100"/>
      <c r="G1277" s="100"/>
      <c r="H1277" s="100"/>
    </row>
    <row r="1278" spans="3:8">
      <c r="C1278" s="100"/>
      <c r="D1278" s="100"/>
      <c r="E1278" s="100"/>
      <c r="F1278" s="100"/>
      <c r="G1278" s="100"/>
      <c r="H1278" s="100"/>
    </row>
    <row r="1279" spans="3:8">
      <c r="C1279" s="100"/>
      <c r="D1279" s="100"/>
      <c r="E1279" s="100"/>
      <c r="F1279" s="100"/>
      <c r="G1279" s="100"/>
      <c r="H1279" s="100"/>
    </row>
    <row r="1280" spans="3:8">
      <c r="C1280" s="100"/>
      <c r="D1280" s="100"/>
      <c r="E1280" s="100"/>
      <c r="F1280" s="100"/>
      <c r="G1280" s="100"/>
      <c r="H1280" s="100"/>
    </row>
    <row r="1281" spans="3:8">
      <c r="C1281" s="100"/>
      <c r="D1281" s="100"/>
      <c r="E1281" s="100"/>
      <c r="F1281" s="100"/>
      <c r="G1281" s="100"/>
      <c r="H1281" s="100"/>
    </row>
    <row r="1282" spans="3:8">
      <c r="C1282" s="100"/>
      <c r="D1282" s="100"/>
      <c r="E1282" s="100"/>
      <c r="F1282" s="100"/>
      <c r="G1282" s="100"/>
      <c r="H1282" s="100"/>
    </row>
    <row r="1283" spans="3:8">
      <c r="C1283" s="100"/>
      <c r="D1283" s="100"/>
      <c r="E1283" s="100"/>
      <c r="F1283" s="100"/>
      <c r="G1283" s="100"/>
      <c r="H1283" s="100"/>
    </row>
    <row r="1284" spans="3:8">
      <c r="C1284" s="100"/>
      <c r="D1284" s="100"/>
      <c r="E1284" s="100"/>
      <c r="F1284" s="100"/>
      <c r="G1284" s="100"/>
      <c r="H1284" s="100"/>
    </row>
    <row r="1285" spans="3:8">
      <c r="C1285" s="100"/>
      <c r="D1285" s="100"/>
      <c r="E1285" s="100"/>
      <c r="F1285" s="100"/>
      <c r="G1285" s="100"/>
      <c r="H1285" s="100"/>
    </row>
    <row r="1286" spans="3:8">
      <c r="C1286" s="100"/>
      <c r="D1286" s="100"/>
      <c r="E1286" s="100"/>
      <c r="F1286" s="100"/>
      <c r="G1286" s="100"/>
      <c r="H1286" s="100"/>
    </row>
    <row r="1287" spans="3:8">
      <c r="C1287" s="100"/>
      <c r="D1287" s="100"/>
      <c r="E1287" s="100"/>
      <c r="F1287" s="100"/>
      <c r="G1287" s="100"/>
      <c r="H1287" s="100"/>
    </row>
    <row r="1288" spans="3:8">
      <c r="C1288" s="100"/>
      <c r="D1288" s="100"/>
      <c r="E1288" s="100"/>
      <c r="F1288" s="100"/>
      <c r="G1288" s="100"/>
      <c r="H1288" s="100"/>
    </row>
    <row r="1289" spans="3:8">
      <c r="C1289" s="100"/>
      <c r="D1289" s="100"/>
      <c r="E1289" s="100"/>
      <c r="F1289" s="100"/>
      <c r="G1289" s="100"/>
      <c r="H1289" s="100"/>
    </row>
    <row r="1290" spans="3:8">
      <c r="C1290" s="100"/>
      <c r="D1290" s="100"/>
      <c r="E1290" s="100"/>
      <c r="F1290" s="100"/>
      <c r="G1290" s="100"/>
      <c r="H1290" s="100"/>
    </row>
    <row r="1291" spans="3:8">
      <c r="C1291" s="100"/>
      <c r="D1291" s="100"/>
      <c r="E1291" s="100"/>
      <c r="F1291" s="100"/>
      <c r="G1291" s="100"/>
      <c r="H1291" s="100"/>
    </row>
    <row r="1292" spans="3:8">
      <c r="C1292" s="100"/>
      <c r="D1292" s="100"/>
      <c r="E1292" s="100"/>
      <c r="F1292" s="100"/>
      <c r="G1292" s="100"/>
      <c r="H1292" s="100"/>
    </row>
    <row r="1293" spans="3:8">
      <c r="C1293" s="100"/>
      <c r="D1293" s="100"/>
      <c r="E1293" s="100"/>
      <c r="F1293" s="100"/>
      <c r="G1293" s="100"/>
      <c r="H1293" s="100"/>
    </row>
    <row r="1294" spans="3:8">
      <c r="C1294" s="100"/>
      <c r="D1294" s="100"/>
      <c r="E1294" s="100"/>
      <c r="F1294" s="100"/>
      <c r="G1294" s="100"/>
      <c r="H1294" s="100"/>
    </row>
    <row r="1295" spans="3:8">
      <c r="C1295" s="100"/>
      <c r="D1295" s="100"/>
      <c r="E1295" s="100"/>
      <c r="F1295" s="100"/>
      <c r="G1295" s="100"/>
      <c r="H1295" s="100"/>
    </row>
    <row r="1296" spans="3:8">
      <c r="C1296" s="100"/>
      <c r="D1296" s="100"/>
      <c r="E1296" s="100"/>
      <c r="F1296" s="100"/>
      <c r="G1296" s="100"/>
      <c r="H1296" s="100"/>
    </row>
    <row r="1297" spans="3:8">
      <c r="C1297" s="100"/>
      <c r="D1297" s="100"/>
      <c r="E1297" s="100"/>
      <c r="F1297" s="100"/>
      <c r="G1297" s="100"/>
      <c r="H1297" s="100"/>
    </row>
    <row r="1298" spans="3:8">
      <c r="C1298" s="100"/>
      <c r="D1298" s="100"/>
      <c r="E1298" s="100"/>
      <c r="F1298" s="100"/>
      <c r="G1298" s="100"/>
      <c r="H1298" s="100"/>
    </row>
    <row r="1299" spans="3:8">
      <c r="C1299" s="100"/>
      <c r="D1299" s="100"/>
      <c r="E1299" s="100"/>
      <c r="F1299" s="100"/>
      <c r="G1299" s="100"/>
      <c r="H1299" s="100"/>
    </row>
    <row r="1300" spans="3:8">
      <c r="C1300" s="100"/>
      <c r="D1300" s="100"/>
      <c r="E1300" s="100"/>
      <c r="F1300" s="100"/>
      <c r="G1300" s="100"/>
      <c r="H1300" s="100"/>
    </row>
    <row r="1301" spans="3:8">
      <c r="C1301" s="100"/>
      <c r="D1301" s="100"/>
      <c r="E1301" s="100"/>
      <c r="F1301" s="100"/>
      <c r="G1301" s="100"/>
      <c r="H1301" s="100"/>
    </row>
    <row r="1302" spans="3:8">
      <c r="C1302" s="100"/>
      <c r="D1302" s="100"/>
      <c r="E1302" s="100"/>
      <c r="F1302" s="100"/>
      <c r="G1302" s="100"/>
      <c r="H1302" s="100"/>
    </row>
    <row r="1303" spans="3:8">
      <c r="C1303" s="100"/>
      <c r="D1303" s="100"/>
      <c r="E1303" s="100"/>
      <c r="F1303" s="100"/>
      <c r="G1303" s="100"/>
      <c r="H1303" s="100"/>
    </row>
    <row r="1304" spans="3:8">
      <c r="C1304" s="100"/>
      <c r="D1304" s="100"/>
      <c r="E1304" s="100"/>
      <c r="F1304" s="100"/>
      <c r="G1304" s="100"/>
      <c r="H1304" s="100"/>
    </row>
    <row r="1305" spans="3:8">
      <c r="C1305" s="100"/>
      <c r="D1305" s="100"/>
      <c r="E1305" s="100"/>
      <c r="F1305" s="100"/>
      <c r="G1305" s="100"/>
      <c r="H1305" s="100"/>
    </row>
    <row r="1306" spans="3:8">
      <c r="C1306" s="100"/>
      <c r="D1306" s="100"/>
      <c r="E1306" s="100"/>
      <c r="F1306" s="100"/>
      <c r="G1306" s="100"/>
      <c r="H1306" s="100"/>
    </row>
    <row r="1307" spans="3:8">
      <c r="C1307" s="100"/>
      <c r="D1307" s="100"/>
      <c r="E1307" s="100"/>
      <c r="F1307" s="100"/>
      <c r="G1307" s="100"/>
      <c r="H1307" s="100"/>
    </row>
    <row r="1308" spans="3:8">
      <c r="C1308" s="100"/>
      <c r="D1308" s="100"/>
      <c r="E1308" s="100"/>
      <c r="F1308" s="100"/>
      <c r="G1308" s="100"/>
      <c r="H1308" s="100"/>
    </row>
    <row r="1309" spans="3:8">
      <c r="C1309" s="100"/>
      <c r="D1309" s="100"/>
      <c r="E1309" s="100"/>
      <c r="F1309" s="100"/>
      <c r="G1309" s="100"/>
      <c r="H1309" s="100"/>
    </row>
    <row r="1310" spans="3:8">
      <c r="C1310" s="100"/>
      <c r="D1310" s="100"/>
      <c r="E1310" s="100"/>
      <c r="F1310" s="100"/>
      <c r="G1310" s="100"/>
      <c r="H1310" s="100"/>
    </row>
    <row r="1311" spans="3:8">
      <c r="C1311" s="100"/>
      <c r="D1311" s="100"/>
      <c r="E1311" s="100"/>
      <c r="F1311" s="100"/>
      <c r="G1311" s="100"/>
      <c r="H1311" s="100"/>
    </row>
    <row r="1312" spans="3:8">
      <c r="C1312" s="100"/>
      <c r="D1312" s="100"/>
      <c r="E1312" s="100"/>
      <c r="F1312" s="100"/>
      <c r="G1312" s="100"/>
      <c r="H1312" s="100"/>
    </row>
    <row r="1313" spans="3:8">
      <c r="C1313" s="100"/>
      <c r="D1313" s="100"/>
      <c r="E1313" s="100"/>
      <c r="F1313" s="100"/>
      <c r="G1313" s="100"/>
      <c r="H1313" s="100"/>
    </row>
    <row r="1314" spans="3:8">
      <c r="C1314" s="100"/>
      <c r="D1314" s="100"/>
      <c r="E1314" s="100"/>
      <c r="F1314" s="100"/>
      <c r="G1314" s="100"/>
      <c r="H1314" s="100"/>
    </row>
    <row r="1315" spans="3:8">
      <c r="C1315" s="100"/>
      <c r="D1315" s="100"/>
      <c r="E1315" s="100"/>
      <c r="F1315" s="100"/>
      <c r="G1315" s="100"/>
      <c r="H1315" s="100"/>
    </row>
    <row r="1316" spans="3:8">
      <c r="C1316" s="100"/>
      <c r="D1316" s="100"/>
      <c r="E1316" s="100"/>
      <c r="F1316" s="100"/>
      <c r="G1316" s="100"/>
      <c r="H1316" s="100"/>
    </row>
    <row r="1317" spans="3:8">
      <c r="C1317" s="100"/>
      <c r="D1317" s="100"/>
      <c r="E1317" s="100"/>
      <c r="F1317" s="100"/>
      <c r="G1317" s="100"/>
      <c r="H1317" s="100"/>
    </row>
    <row r="1318" spans="3:8">
      <c r="C1318" s="100"/>
      <c r="D1318" s="100"/>
      <c r="E1318" s="100"/>
      <c r="F1318" s="100"/>
      <c r="G1318" s="100"/>
      <c r="H1318" s="100"/>
    </row>
    <row r="1319" spans="3:8">
      <c r="C1319" s="100"/>
      <c r="D1319" s="100"/>
      <c r="E1319" s="100"/>
      <c r="F1319" s="100"/>
      <c r="G1319" s="100"/>
      <c r="H1319" s="100"/>
    </row>
    <row r="1320" spans="3:8">
      <c r="C1320" s="100"/>
      <c r="D1320" s="100"/>
      <c r="E1320" s="100"/>
      <c r="F1320" s="100"/>
      <c r="G1320" s="100"/>
      <c r="H1320" s="100"/>
    </row>
    <row r="1321" spans="3:8">
      <c r="C1321" s="100"/>
      <c r="D1321" s="100"/>
      <c r="E1321" s="100"/>
      <c r="F1321" s="100"/>
      <c r="G1321" s="100"/>
      <c r="H1321" s="100"/>
    </row>
    <row r="1322" spans="3:8">
      <c r="C1322" s="100"/>
      <c r="D1322" s="100"/>
      <c r="E1322" s="100"/>
      <c r="F1322" s="100"/>
      <c r="G1322" s="100"/>
      <c r="H1322" s="100"/>
    </row>
    <row r="1323" spans="3:8">
      <c r="C1323" s="100"/>
      <c r="D1323" s="100"/>
      <c r="E1323" s="100"/>
      <c r="F1323" s="100"/>
      <c r="G1323" s="100"/>
      <c r="H1323" s="100"/>
    </row>
    <row r="1324" spans="3:8">
      <c r="C1324" s="100"/>
      <c r="D1324" s="100"/>
      <c r="E1324" s="100"/>
      <c r="F1324" s="100"/>
      <c r="G1324" s="100"/>
      <c r="H1324" s="100"/>
    </row>
    <row r="1325" spans="3:8">
      <c r="C1325" s="100"/>
      <c r="D1325" s="100"/>
      <c r="E1325" s="100"/>
      <c r="F1325" s="100"/>
      <c r="G1325" s="100"/>
      <c r="H1325" s="100"/>
    </row>
    <row r="1326" spans="3:8">
      <c r="C1326" s="100"/>
      <c r="D1326" s="100"/>
      <c r="E1326" s="100"/>
      <c r="F1326" s="100"/>
      <c r="G1326" s="100"/>
      <c r="H1326" s="100"/>
    </row>
    <row r="1327" spans="3:8">
      <c r="C1327" s="100"/>
      <c r="D1327" s="100"/>
      <c r="E1327" s="100"/>
      <c r="F1327" s="100"/>
      <c r="G1327" s="100"/>
      <c r="H1327" s="100"/>
    </row>
    <row r="1328" spans="3:8">
      <c r="C1328" s="100"/>
      <c r="D1328" s="100"/>
      <c r="E1328" s="100"/>
      <c r="F1328" s="100"/>
      <c r="G1328" s="100"/>
      <c r="H1328" s="100"/>
    </row>
    <row r="1329" spans="3:8">
      <c r="C1329" s="100"/>
      <c r="D1329" s="100"/>
      <c r="E1329" s="100"/>
      <c r="F1329" s="100"/>
      <c r="G1329" s="100"/>
      <c r="H1329" s="100"/>
    </row>
    <row r="1330" spans="3:8">
      <c r="C1330" s="100"/>
      <c r="D1330" s="100"/>
      <c r="E1330" s="100"/>
      <c r="F1330" s="100"/>
      <c r="G1330" s="100"/>
      <c r="H1330" s="100"/>
    </row>
    <row r="1331" spans="3:8">
      <c r="C1331" s="100"/>
      <c r="D1331" s="100"/>
      <c r="E1331" s="100"/>
      <c r="F1331" s="100"/>
      <c r="G1331" s="100"/>
      <c r="H1331" s="100"/>
    </row>
    <row r="1332" spans="3:8">
      <c r="C1332" s="100"/>
      <c r="D1332" s="100"/>
      <c r="E1332" s="100"/>
      <c r="F1332" s="100"/>
      <c r="G1332" s="100"/>
      <c r="H1332" s="100"/>
    </row>
    <row r="1333" spans="3:8">
      <c r="C1333" s="100"/>
      <c r="D1333" s="100"/>
      <c r="E1333" s="100"/>
      <c r="F1333" s="100"/>
      <c r="G1333" s="100"/>
      <c r="H1333" s="100"/>
    </row>
    <row r="1334" spans="3:8">
      <c r="C1334" s="100"/>
      <c r="D1334" s="100"/>
      <c r="E1334" s="100"/>
      <c r="F1334" s="100"/>
      <c r="G1334" s="100"/>
      <c r="H1334" s="100"/>
    </row>
    <row r="1335" spans="3:8">
      <c r="C1335" s="100"/>
      <c r="D1335" s="100"/>
      <c r="E1335" s="100"/>
      <c r="F1335" s="100"/>
      <c r="G1335" s="100"/>
      <c r="H1335" s="100"/>
    </row>
    <row r="1336" spans="3:8">
      <c r="C1336" s="100"/>
      <c r="D1336" s="100"/>
      <c r="E1336" s="100"/>
      <c r="F1336" s="100"/>
      <c r="G1336" s="100"/>
      <c r="H1336" s="100"/>
    </row>
    <row r="1337" spans="3:8">
      <c r="C1337" s="100"/>
      <c r="D1337" s="100"/>
      <c r="E1337" s="100"/>
      <c r="F1337" s="100"/>
      <c r="G1337" s="100"/>
      <c r="H1337" s="100"/>
    </row>
    <row r="1338" spans="3:8">
      <c r="C1338" s="100"/>
      <c r="D1338" s="100"/>
      <c r="E1338" s="100"/>
      <c r="F1338" s="100"/>
      <c r="G1338" s="100"/>
      <c r="H1338" s="100"/>
    </row>
    <row r="1339" spans="3:8">
      <c r="C1339" s="100"/>
      <c r="D1339" s="100"/>
      <c r="E1339" s="100"/>
      <c r="F1339" s="100"/>
      <c r="G1339" s="100"/>
      <c r="H1339" s="100"/>
    </row>
    <row r="1340" spans="3:8">
      <c r="C1340" s="100"/>
      <c r="D1340" s="100"/>
      <c r="E1340" s="100"/>
      <c r="F1340" s="100"/>
      <c r="G1340" s="100"/>
      <c r="H1340" s="100"/>
    </row>
    <row r="1341" spans="3:8">
      <c r="C1341" s="100"/>
      <c r="D1341" s="100"/>
      <c r="E1341" s="100"/>
      <c r="F1341" s="100"/>
      <c r="G1341" s="100"/>
      <c r="H1341" s="100"/>
    </row>
    <row r="1342" spans="3:8">
      <c r="C1342" s="100"/>
      <c r="D1342" s="100"/>
      <c r="E1342" s="100"/>
      <c r="F1342" s="100"/>
      <c r="G1342" s="100"/>
      <c r="H1342" s="100"/>
    </row>
    <row r="1343" spans="3:8">
      <c r="C1343" s="100"/>
      <c r="D1343" s="100"/>
      <c r="E1343" s="100"/>
      <c r="F1343" s="100"/>
      <c r="G1343" s="100"/>
      <c r="H1343" s="100"/>
    </row>
    <row r="1344" spans="3:8">
      <c r="C1344" s="100"/>
      <c r="D1344" s="100"/>
      <c r="E1344" s="100"/>
      <c r="F1344" s="100"/>
      <c r="G1344" s="100"/>
      <c r="H1344" s="100"/>
    </row>
    <row r="1345" spans="3:8">
      <c r="C1345" s="100"/>
      <c r="D1345" s="100"/>
      <c r="E1345" s="100"/>
      <c r="F1345" s="100"/>
      <c r="G1345" s="100"/>
      <c r="H1345" s="100"/>
    </row>
    <row r="1346" spans="3:8">
      <c r="C1346" s="100"/>
      <c r="D1346" s="100"/>
      <c r="E1346" s="100"/>
      <c r="F1346" s="100"/>
      <c r="G1346" s="100"/>
      <c r="H1346" s="100"/>
    </row>
    <row r="1347" spans="3:8">
      <c r="C1347" s="100"/>
      <c r="D1347" s="100"/>
      <c r="E1347" s="100"/>
      <c r="F1347" s="100"/>
      <c r="G1347" s="100"/>
      <c r="H1347" s="100"/>
    </row>
    <row r="1348" spans="3:8">
      <c r="C1348" s="100"/>
      <c r="D1348" s="100"/>
      <c r="E1348" s="100"/>
      <c r="F1348" s="100"/>
      <c r="G1348" s="100"/>
      <c r="H1348" s="100"/>
    </row>
    <row r="1349" spans="3:8">
      <c r="C1349" s="100"/>
      <c r="D1349" s="100"/>
      <c r="E1349" s="100"/>
      <c r="F1349" s="100"/>
      <c r="G1349" s="100"/>
      <c r="H1349" s="100"/>
    </row>
    <row r="1350" spans="3:8">
      <c r="C1350" s="100"/>
      <c r="D1350" s="100"/>
      <c r="E1350" s="100"/>
      <c r="F1350" s="100"/>
      <c r="G1350" s="100"/>
      <c r="H1350" s="100"/>
    </row>
    <row r="1351" spans="3:8">
      <c r="C1351" s="100"/>
      <c r="D1351" s="100"/>
      <c r="E1351" s="100"/>
      <c r="F1351" s="100"/>
      <c r="G1351" s="100"/>
      <c r="H1351" s="100"/>
    </row>
    <row r="1352" spans="3:8">
      <c r="C1352" s="100"/>
      <c r="D1352" s="100"/>
      <c r="E1352" s="100"/>
      <c r="F1352" s="100"/>
      <c r="G1352" s="100"/>
      <c r="H1352" s="100"/>
    </row>
    <row r="1353" spans="3:8">
      <c r="C1353" s="100"/>
      <c r="D1353" s="100"/>
      <c r="E1353" s="100"/>
      <c r="F1353" s="100"/>
      <c r="G1353" s="100"/>
      <c r="H1353" s="100"/>
    </row>
    <row r="1354" spans="3:8">
      <c r="C1354" s="100"/>
      <c r="D1354" s="100"/>
      <c r="E1354" s="100"/>
      <c r="F1354" s="100"/>
      <c r="G1354" s="100"/>
      <c r="H1354" s="100"/>
    </row>
    <row r="1355" spans="3:8">
      <c r="C1355" s="100"/>
      <c r="D1355" s="100"/>
      <c r="E1355" s="100"/>
      <c r="F1355" s="100"/>
      <c r="G1355" s="100"/>
      <c r="H1355" s="100"/>
    </row>
    <row r="1356" spans="3:8">
      <c r="C1356" s="100"/>
      <c r="D1356" s="100"/>
      <c r="E1356" s="100"/>
      <c r="F1356" s="100"/>
      <c r="G1356" s="100"/>
      <c r="H1356" s="100"/>
    </row>
    <row r="1357" spans="3:8">
      <c r="C1357" s="100"/>
      <c r="D1357" s="100"/>
      <c r="E1357" s="100"/>
      <c r="F1357" s="100"/>
      <c r="G1357" s="100"/>
      <c r="H1357" s="100"/>
    </row>
    <row r="1358" spans="3:8">
      <c r="C1358" s="100"/>
      <c r="D1358" s="100"/>
      <c r="E1358" s="100"/>
      <c r="F1358" s="100"/>
      <c r="G1358" s="100"/>
      <c r="H1358" s="100"/>
    </row>
    <row r="1359" spans="3:8">
      <c r="C1359" s="100"/>
      <c r="D1359" s="100"/>
      <c r="E1359" s="100"/>
      <c r="F1359" s="100"/>
      <c r="G1359" s="100"/>
      <c r="H1359" s="100"/>
    </row>
    <row r="1360" spans="3:8">
      <c r="C1360" s="100"/>
      <c r="D1360" s="100"/>
      <c r="E1360" s="100"/>
      <c r="F1360" s="100"/>
      <c r="G1360" s="100"/>
      <c r="H1360" s="100"/>
    </row>
    <row r="1361" spans="3:8">
      <c r="C1361" s="100"/>
      <c r="D1361" s="100"/>
      <c r="E1361" s="100"/>
      <c r="F1361" s="100"/>
      <c r="G1361" s="100"/>
      <c r="H1361" s="100"/>
    </row>
    <row r="1362" spans="3:8">
      <c r="C1362" s="100"/>
      <c r="D1362" s="100"/>
      <c r="E1362" s="100"/>
      <c r="F1362" s="100"/>
      <c r="G1362" s="100"/>
      <c r="H1362" s="100"/>
    </row>
    <row r="1363" spans="3:8">
      <c r="C1363" s="100"/>
      <c r="D1363" s="100"/>
      <c r="E1363" s="100"/>
      <c r="F1363" s="100"/>
      <c r="G1363" s="100"/>
      <c r="H1363" s="100"/>
    </row>
    <row r="1364" spans="3:8">
      <c r="C1364" s="100"/>
      <c r="D1364" s="100"/>
      <c r="E1364" s="100"/>
      <c r="F1364" s="100"/>
      <c r="G1364" s="100"/>
      <c r="H1364" s="100"/>
    </row>
    <row r="1365" spans="3:8">
      <c r="C1365" s="100"/>
      <c r="D1365" s="100"/>
      <c r="E1365" s="100"/>
      <c r="F1365" s="100"/>
      <c r="G1365" s="100"/>
      <c r="H1365" s="100"/>
    </row>
    <row r="1366" spans="3:8">
      <c r="C1366" s="100"/>
      <c r="D1366" s="100"/>
      <c r="E1366" s="100"/>
      <c r="F1366" s="100"/>
      <c r="G1366" s="100"/>
      <c r="H1366" s="100"/>
    </row>
    <row r="1367" spans="3:8">
      <c r="C1367" s="100"/>
      <c r="D1367" s="100"/>
      <c r="E1367" s="100"/>
      <c r="F1367" s="100"/>
      <c r="G1367" s="100"/>
      <c r="H1367" s="100"/>
    </row>
    <row r="1368" spans="3:8">
      <c r="C1368" s="100"/>
      <c r="D1368" s="100"/>
      <c r="E1368" s="100"/>
      <c r="F1368" s="100"/>
      <c r="G1368" s="100"/>
      <c r="H1368" s="100"/>
    </row>
    <row r="1369" spans="3:8">
      <c r="C1369" s="100"/>
      <c r="D1369" s="100"/>
      <c r="E1369" s="100"/>
      <c r="F1369" s="100"/>
      <c r="G1369" s="100"/>
      <c r="H1369" s="100"/>
    </row>
    <row r="1370" spans="3:8">
      <c r="C1370" s="100"/>
      <c r="D1370" s="100"/>
      <c r="E1370" s="100"/>
      <c r="F1370" s="100"/>
      <c r="G1370" s="100"/>
      <c r="H1370" s="100"/>
    </row>
    <row r="1371" spans="3:8">
      <c r="C1371" s="100"/>
      <c r="D1371" s="100"/>
      <c r="E1371" s="100"/>
      <c r="F1371" s="100"/>
      <c r="G1371" s="100"/>
      <c r="H1371" s="100"/>
    </row>
    <row r="1372" spans="3:8">
      <c r="C1372" s="100"/>
      <c r="D1372" s="100"/>
      <c r="E1372" s="100"/>
      <c r="F1372" s="100"/>
      <c r="G1372" s="100"/>
      <c r="H1372" s="100"/>
    </row>
    <row r="1373" spans="3:8">
      <c r="C1373" s="100"/>
      <c r="D1373" s="100"/>
      <c r="E1373" s="100"/>
      <c r="F1373" s="100"/>
      <c r="G1373" s="100"/>
      <c r="H1373" s="100"/>
    </row>
    <row r="1374" spans="3:8">
      <c r="C1374" s="100"/>
      <c r="D1374" s="100"/>
      <c r="E1374" s="100"/>
      <c r="F1374" s="100"/>
      <c r="G1374" s="100"/>
      <c r="H1374" s="100"/>
    </row>
    <row r="1375" spans="3:8">
      <c r="C1375" s="100"/>
      <c r="D1375" s="100"/>
      <c r="E1375" s="100"/>
      <c r="F1375" s="100"/>
      <c r="G1375" s="100"/>
      <c r="H1375" s="100"/>
    </row>
    <row r="1376" spans="3:8">
      <c r="C1376" s="100"/>
      <c r="D1376" s="100"/>
      <c r="E1376" s="100"/>
      <c r="F1376" s="100"/>
      <c r="G1376" s="100"/>
      <c r="H1376" s="100"/>
    </row>
    <row r="1377" spans="3:8">
      <c r="C1377" s="100"/>
      <c r="D1377" s="100"/>
      <c r="E1377" s="100"/>
      <c r="F1377" s="100"/>
      <c r="G1377" s="100"/>
      <c r="H1377" s="100"/>
    </row>
    <row r="1378" spans="3:8">
      <c r="C1378" s="100"/>
      <c r="D1378" s="100"/>
      <c r="E1378" s="100"/>
      <c r="F1378" s="100"/>
      <c r="G1378" s="100"/>
      <c r="H1378" s="100"/>
    </row>
    <row r="1379" spans="3:8">
      <c r="C1379" s="100"/>
      <c r="D1379" s="100"/>
      <c r="E1379" s="100"/>
      <c r="F1379" s="100"/>
      <c r="G1379" s="100"/>
      <c r="H1379" s="100"/>
    </row>
    <row r="1380" spans="3:8">
      <c r="C1380" s="100"/>
      <c r="D1380" s="100"/>
      <c r="E1380" s="100"/>
      <c r="F1380" s="100"/>
      <c r="G1380" s="100"/>
      <c r="H1380" s="100"/>
    </row>
    <row r="1381" spans="3:8">
      <c r="C1381" s="100"/>
      <c r="D1381" s="100"/>
      <c r="E1381" s="100"/>
      <c r="F1381" s="100"/>
      <c r="G1381" s="100"/>
      <c r="H1381" s="100"/>
    </row>
    <row r="1382" spans="3:8">
      <c r="C1382" s="100"/>
      <c r="D1382" s="100"/>
      <c r="E1382" s="100"/>
      <c r="F1382" s="100"/>
      <c r="G1382" s="100"/>
      <c r="H1382" s="100"/>
    </row>
    <row r="1383" spans="3:8">
      <c r="C1383" s="100"/>
      <c r="D1383" s="100"/>
      <c r="E1383" s="100"/>
      <c r="F1383" s="100"/>
      <c r="G1383" s="100"/>
      <c r="H1383" s="100"/>
    </row>
    <row r="1384" spans="3:8">
      <c r="C1384" s="100"/>
      <c r="D1384" s="100"/>
      <c r="E1384" s="100"/>
      <c r="F1384" s="100"/>
      <c r="G1384" s="100"/>
      <c r="H1384" s="100"/>
    </row>
    <row r="1385" spans="3:8">
      <c r="C1385" s="100"/>
      <c r="D1385" s="100"/>
      <c r="E1385" s="100"/>
      <c r="F1385" s="100"/>
      <c r="G1385" s="100"/>
      <c r="H1385" s="100"/>
    </row>
    <row r="1386" spans="3:8">
      <c r="C1386" s="100"/>
      <c r="D1386" s="100"/>
      <c r="E1386" s="100"/>
      <c r="F1386" s="100"/>
      <c r="G1386" s="100"/>
      <c r="H1386" s="100"/>
    </row>
    <row r="1387" spans="3:8">
      <c r="C1387" s="100"/>
      <c r="D1387" s="100"/>
      <c r="E1387" s="100"/>
      <c r="F1387" s="100"/>
      <c r="G1387" s="100"/>
      <c r="H1387" s="100"/>
    </row>
    <row r="1388" spans="3:8">
      <c r="C1388" s="100"/>
      <c r="D1388" s="100"/>
      <c r="E1388" s="100"/>
      <c r="F1388" s="100"/>
      <c r="G1388" s="100"/>
      <c r="H1388" s="100"/>
    </row>
    <row r="1389" spans="3:8">
      <c r="C1389" s="100"/>
      <c r="D1389" s="100"/>
      <c r="E1389" s="100"/>
      <c r="F1389" s="100"/>
      <c r="G1389" s="100"/>
      <c r="H1389" s="100"/>
    </row>
    <row r="1390" spans="3:8">
      <c r="C1390" s="100"/>
      <c r="D1390" s="100"/>
      <c r="E1390" s="100"/>
      <c r="F1390" s="100"/>
      <c r="G1390" s="100"/>
      <c r="H1390" s="100"/>
    </row>
    <row r="1391" spans="3:8">
      <c r="C1391" s="100"/>
      <c r="D1391" s="100"/>
      <c r="E1391" s="100"/>
      <c r="F1391" s="100"/>
      <c r="G1391" s="100"/>
      <c r="H1391" s="100"/>
    </row>
    <row r="1392" spans="3:8">
      <c r="C1392" s="100"/>
      <c r="D1392" s="100"/>
      <c r="E1392" s="100"/>
      <c r="F1392" s="100"/>
      <c r="G1392" s="100"/>
      <c r="H1392" s="100"/>
    </row>
    <row r="1393" spans="3:8">
      <c r="C1393" s="100"/>
      <c r="D1393" s="100"/>
      <c r="E1393" s="100"/>
      <c r="F1393" s="100"/>
      <c r="G1393" s="100"/>
      <c r="H1393" s="100"/>
    </row>
    <row r="1394" spans="3:8">
      <c r="C1394" s="100"/>
      <c r="D1394" s="100"/>
      <c r="E1394" s="100"/>
      <c r="F1394" s="100"/>
      <c r="G1394" s="100"/>
      <c r="H1394" s="100"/>
    </row>
    <row r="1395" spans="3:8">
      <c r="C1395" s="100"/>
      <c r="D1395" s="100"/>
      <c r="E1395" s="100"/>
      <c r="F1395" s="100"/>
      <c r="G1395" s="100"/>
      <c r="H1395" s="100"/>
    </row>
    <row r="1396" spans="3:8">
      <c r="C1396" s="100"/>
      <c r="D1396" s="100"/>
      <c r="E1396" s="100"/>
      <c r="F1396" s="100"/>
      <c r="G1396" s="100"/>
      <c r="H1396" s="100"/>
    </row>
    <row r="1397" spans="3:8">
      <c r="C1397" s="100"/>
      <c r="D1397" s="100"/>
      <c r="E1397" s="100"/>
      <c r="F1397" s="100"/>
      <c r="G1397" s="100"/>
      <c r="H1397" s="100"/>
    </row>
    <row r="1398" spans="3:8">
      <c r="C1398" s="100"/>
      <c r="D1398" s="100"/>
      <c r="E1398" s="100"/>
      <c r="F1398" s="100"/>
      <c r="G1398" s="100"/>
      <c r="H1398" s="100"/>
    </row>
    <row r="1399" spans="3:8">
      <c r="C1399" s="100"/>
      <c r="D1399" s="100"/>
      <c r="E1399" s="100"/>
      <c r="F1399" s="100"/>
      <c r="G1399" s="100"/>
      <c r="H1399" s="100"/>
    </row>
    <row r="1400" spans="3:8">
      <c r="C1400" s="100"/>
      <c r="D1400" s="100"/>
      <c r="E1400" s="100"/>
      <c r="F1400" s="100"/>
      <c r="G1400" s="100"/>
      <c r="H1400" s="100"/>
    </row>
    <row r="1401" spans="3:8">
      <c r="C1401" s="100"/>
      <c r="D1401" s="100"/>
      <c r="E1401" s="100"/>
      <c r="F1401" s="100"/>
      <c r="G1401" s="100"/>
      <c r="H1401" s="100"/>
    </row>
    <row r="1402" spans="3:8">
      <c r="C1402" s="100"/>
      <c r="D1402" s="100"/>
      <c r="E1402" s="100"/>
      <c r="F1402" s="100"/>
      <c r="G1402" s="100"/>
      <c r="H1402" s="100"/>
    </row>
    <row r="1403" spans="3:8">
      <c r="C1403" s="100"/>
      <c r="D1403" s="100"/>
      <c r="E1403" s="100"/>
      <c r="F1403" s="100"/>
      <c r="G1403" s="100"/>
      <c r="H1403" s="100"/>
    </row>
    <row r="1404" spans="3:8">
      <c r="C1404" s="100"/>
      <c r="D1404" s="100"/>
      <c r="E1404" s="100"/>
      <c r="F1404" s="100"/>
      <c r="G1404" s="100"/>
      <c r="H1404" s="100"/>
    </row>
    <row r="1405" spans="3:8">
      <c r="C1405" s="100"/>
      <c r="D1405" s="100"/>
      <c r="E1405" s="100"/>
      <c r="F1405" s="100"/>
      <c r="G1405" s="100"/>
      <c r="H1405" s="100"/>
    </row>
    <row r="1406" spans="3:8">
      <c r="C1406" s="100"/>
      <c r="D1406" s="100"/>
      <c r="E1406" s="100"/>
      <c r="F1406" s="100"/>
      <c r="G1406" s="100"/>
      <c r="H1406" s="100"/>
    </row>
    <row r="1407" spans="3:8">
      <c r="C1407" s="100"/>
      <c r="D1407" s="100"/>
      <c r="E1407" s="100"/>
      <c r="F1407" s="100"/>
      <c r="G1407" s="100"/>
      <c r="H1407" s="100"/>
    </row>
    <row r="1408" spans="3:8">
      <c r="C1408" s="100"/>
      <c r="D1408" s="100"/>
      <c r="E1408" s="100"/>
      <c r="F1408" s="100"/>
      <c r="G1408" s="100"/>
      <c r="H1408" s="100"/>
    </row>
    <row r="1409" spans="3:8">
      <c r="C1409" s="100"/>
      <c r="D1409" s="100"/>
      <c r="E1409" s="100"/>
      <c r="F1409" s="100"/>
      <c r="G1409" s="100"/>
      <c r="H1409" s="100"/>
    </row>
    <row r="1410" spans="3:8">
      <c r="C1410" s="100"/>
      <c r="D1410" s="100"/>
      <c r="E1410" s="100"/>
      <c r="F1410" s="100"/>
      <c r="G1410" s="100"/>
      <c r="H1410" s="100"/>
    </row>
    <row r="1411" spans="3:8">
      <c r="C1411" s="100"/>
      <c r="D1411" s="100"/>
      <c r="E1411" s="100"/>
      <c r="F1411" s="100"/>
      <c r="G1411" s="100"/>
      <c r="H1411" s="100"/>
    </row>
    <row r="1412" spans="3:8">
      <c r="C1412" s="100"/>
      <c r="D1412" s="100"/>
      <c r="E1412" s="100"/>
      <c r="F1412" s="100"/>
      <c r="G1412" s="100"/>
      <c r="H1412" s="100"/>
    </row>
    <row r="1413" spans="3:8">
      <c r="C1413" s="100"/>
      <c r="D1413" s="100"/>
      <c r="E1413" s="100"/>
      <c r="F1413" s="100"/>
      <c r="G1413" s="100"/>
      <c r="H1413" s="100"/>
    </row>
    <row r="1414" spans="3:8">
      <c r="C1414" s="100"/>
      <c r="D1414" s="100"/>
      <c r="E1414" s="100"/>
      <c r="F1414" s="100"/>
      <c r="G1414" s="100"/>
      <c r="H1414" s="100"/>
    </row>
    <row r="1415" spans="3:8">
      <c r="C1415" s="100"/>
      <c r="D1415" s="100"/>
      <c r="E1415" s="100"/>
      <c r="F1415" s="100"/>
      <c r="G1415" s="100"/>
      <c r="H1415" s="100"/>
    </row>
    <row r="1416" spans="3:8">
      <c r="C1416" s="100"/>
      <c r="D1416" s="100"/>
      <c r="E1416" s="100"/>
      <c r="F1416" s="100"/>
      <c r="G1416" s="100"/>
      <c r="H1416" s="100"/>
    </row>
    <row r="1417" spans="3:8">
      <c r="C1417" s="100"/>
      <c r="D1417" s="100"/>
      <c r="E1417" s="100"/>
      <c r="F1417" s="100"/>
      <c r="G1417" s="100"/>
      <c r="H1417" s="100"/>
    </row>
    <row r="1418" spans="3:8">
      <c r="C1418" s="100"/>
      <c r="D1418" s="100"/>
      <c r="E1418" s="100"/>
      <c r="F1418" s="100"/>
      <c r="G1418" s="100"/>
      <c r="H1418" s="100"/>
    </row>
    <row r="1419" spans="3:8">
      <c r="C1419" s="100"/>
      <c r="D1419" s="100"/>
      <c r="E1419" s="100"/>
      <c r="F1419" s="100"/>
      <c r="G1419" s="100"/>
      <c r="H1419" s="100"/>
    </row>
    <row r="1420" spans="3:8">
      <c r="C1420" s="100"/>
      <c r="D1420" s="100"/>
      <c r="E1420" s="100"/>
      <c r="F1420" s="100"/>
      <c r="G1420" s="100"/>
      <c r="H1420" s="100"/>
    </row>
    <row r="1421" spans="3:8">
      <c r="C1421" s="100"/>
      <c r="D1421" s="100"/>
      <c r="E1421" s="100"/>
      <c r="F1421" s="100"/>
      <c r="G1421" s="100"/>
      <c r="H1421" s="100"/>
    </row>
    <row r="1422" spans="3:8">
      <c r="C1422" s="100"/>
      <c r="D1422" s="100"/>
      <c r="E1422" s="100"/>
      <c r="F1422" s="100"/>
      <c r="G1422" s="100"/>
      <c r="H1422" s="100"/>
    </row>
    <row r="1423" spans="3:8">
      <c r="C1423" s="100"/>
      <c r="D1423" s="100"/>
      <c r="E1423" s="100"/>
      <c r="F1423" s="100"/>
      <c r="G1423" s="100"/>
      <c r="H1423" s="100"/>
    </row>
    <row r="1424" spans="3:8">
      <c r="C1424" s="100"/>
      <c r="D1424" s="100"/>
      <c r="E1424" s="100"/>
      <c r="F1424" s="100"/>
      <c r="G1424" s="100"/>
      <c r="H1424" s="100"/>
    </row>
    <row r="1425" spans="3:8">
      <c r="C1425" s="100"/>
      <c r="D1425" s="100"/>
      <c r="E1425" s="100"/>
      <c r="F1425" s="100"/>
      <c r="G1425" s="100"/>
      <c r="H1425" s="100"/>
    </row>
    <row r="1426" spans="3:8">
      <c r="C1426" s="100"/>
      <c r="D1426" s="100"/>
      <c r="E1426" s="100"/>
      <c r="F1426" s="100"/>
      <c r="G1426" s="100"/>
      <c r="H1426" s="100"/>
    </row>
    <row r="1427" spans="3:8">
      <c r="C1427" s="100"/>
      <c r="D1427" s="100"/>
      <c r="E1427" s="100"/>
      <c r="F1427" s="100"/>
      <c r="G1427" s="100"/>
      <c r="H1427" s="100"/>
    </row>
    <row r="1428" spans="3:8">
      <c r="C1428" s="100"/>
      <c r="D1428" s="100"/>
      <c r="E1428" s="100"/>
      <c r="F1428" s="100"/>
      <c r="G1428" s="100"/>
      <c r="H1428" s="100"/>
    </row>
    <row r="1429" spans="3:8">
      <c r="C1429" s="100"/>
      <c r="D1429" s="100"/>
      <c r="E1429" s="100"/>
      <c r="F1429" s="100"/>
      <c r="G1429" s="100"/>
      <c r="H1429" s="100"/>
    </row>
    <row r="1430" spans="3:8">
      <c r="C1430" s="100"/>
      <c r="D1430" s="100"/>
      <c r="E1430" s="100"/>
      <c r="F1430" s="100"/>
      <c r="G1430" s="100"/>
      <c r="H1430" s="100"/>
    </row>
    <row r="1431" spans="3:8">
      <c r="C1431" s="100"/>
      <c r="D1431" s="100"/>
      <c r="E1431" s="100"/>
      <c r="F1431" s="100"/>
      <c r="G1431" s="100"/>
      <c r="H1431" s="100"/>
    </row>
    <row r="1432" spans="3:8">
      <c r="C1432" s="100"/>
      <c r="D1432" s="100"/>
      <c r="E1432" s="100"/>
      <c r="F1432" s="100"/>
      <c r="G1432" s="100"/>
      <c r="H1432" s="100"/>
    </row>
    <row r="1433" spans="3:8">
      <c r="C1433" s="100"/>
      <c r="D1433" s="100"/>
      <c r="E1433" s="100"/>
      <c r="F1433" s="100"/>
      <c r="G1433" s="100"/>
      <c r="H1433" s="100"/>
    </row>
    <row r="1434" spans="3:8">
      <c r="C1434" s="100"/>
      <c r="D1434" s="100"/>
      <c r="E1434" s="100"/>
      <c r="F1434" s="100"/>
      <c r="G1434" s="100"/>
      <c r="H1434" s="100"/>
    </row>
    <row r="1435" spans="3:8">
      <c r="C1435" s="100"/>
      <c r="D1435" s="100"/>
      <c r="E1435" s="100"/>
      <c r="F1435" s="100"/>
      <c r="G1435" s="100"/>
      <c r="H1435" s="100"/>
    </row>
    <row r="1436" spans="3:8">
      <c r="C1436" s="100"/>
      <c r="D1436" s="100"/>
      <c r="E1436" s="100"/>
      <c r="F1436" s="100"/>
      <c r="G1436" s="100"/>
      <c r="H1436" s="100"/>
    </row>
    <row r="1437" spans="3:8">
      <c r="C1437" s="100"/>
      <c r="D1437" s="100"/>
      <c r="E1437" s="100"/>
      <c r="F1437" s="100"/>
      <c r="G1437" s="100"/>
      <c r="H1437" s="100"/>
    </row>
    <row r="1438" spans="3:8">
      <c r="C1438" s="100"/>
      <c r="D1438" s="100"/>
      <c r="E1438" s="100"/>
      <c r="F1438" s="100"/>
      <c r="G1438" s="100"/>
      <c r="H1438" s="100"/>
    </row>
    <row r="1439" spans="3:8">
      <c r="C1439" s="100"/>
      <c r="D1439" s="100"/>
      <c r="E1439" s="100"/>
      <c r="F1439" s="100"/>
      <c r="G1439" s="100"/>
      <c r="H1439" s="100"/>
    </row>
    <row r="1440" spans="3:8">
      <c r="C1440" s="100"/>
      <c r="D1440" s="100"/>
      <c r="E1440" s="100"/>
      <c r="F1440" s="100"/>
      <c r="G1440" s="100"/>
      <c r="H1440" s="100"/>
    </row>
    <row r="1441" spans="3:8">
      <c r="C1441" s="100"/>
      <c r="D1441" s="100"/>
      <c r="E1441" s="100"/>
      <c r="F1441" s="100"/>
      <c r="G1441" s="100"/>
      <c r="H1441" s="100"/>
    </row>
    <row r="1442" spans="3:8">
      <c r="C1442" s="100"/>
      <c r="D1442" s="100"/>
      <c r="E1442" s="100"/>
      <c r="F1442" s="100"/>
      <c r="G1442" s="100"/>
      <c r="H1442" s="100"/>
    </row>
    <row r="1443" spans="3:8">
      <c r="C1443" s="100"/>
      <c r="D1443" s="100"/>
      <c r="E1443" s="100"/>
      <c r="F1443" s="100"/>
      <c r="G1443" s="100"/>
      <c r="H1443" s="100"/>
    </row>
    <row r="1444" spans="3:8">
      <c r="C1444" s="100"/>
      <c r="D1444" s="100"/>
      <c r="E1444" s="100"/>
      <c r="F1444" s="100"/>
      <c r="G1444" s="100"/>
      <c r="H1444" s="100"/>
    </row>
    <row r="1445" spans="3:8">
      <c r="C1445" s="100"/>
      <c r="D1445" s="100"/>
      <c r="E1445" s="100"/>
      <c r="F1445" s="100"/>
      <c r="G1445" s="100"/>
      <c r="H1445" s="100"/>
    </row>
    <row r="1446" spans="3:8">
      <c r="C1446" s="100"/>
      <c r="D1446" s="100"/>
      <c r="E1446" s="100"/>
      <c r="F1446" s="100"/>
      <c r="G1446" s="100"/>
      <c r="H1446" s="100"/>
    </row>
    <row r="1447" spans="3:8">
      <c r="C1447" s="100"/>
      <c r="D1447" s="100"/>
      <c r="E1447" s="100"/>
      <c r="F1447" s="100"/>
      <c r="G1447" s="100"/>
      <c r="H1447" s="100"/>
    </row>
    <row r="1448" spans="3:8">
      <c r="C1448" s="100"/>
      <c r="D1448" s="100"/>
      <c r="E1448" s="100"/>
      <c r="F1448" s="100"/>
      <c r="G1448" s="100"/>
      <c r="H1448" s="100"/>
    </row>
    <row r="1449" spans="3:8">
      <c r="C1449" s="100"/>
      <c r="D1449" s="100"/>
      <c r="E1449" s="100"/>
      <c r="F1449" s="100"/>
      <c r="G1449" s="100"/>
      <c r="H1449" s="100"/>
    </row>
    <row r="1450" spans="3:8">
      <c r="C1450" s="100"/>
      <c r="D1450" s="100"/>
      <c r="E1450" s="100"/>
      <c r="F1450" s="100"/>
      <c r="G1450" s="100"/>
      <c r="H1450" s="100"/>
    </row>
    <row r="1451" spans="3:8">
      <c r="C1451" s="100"/>
      <c r="D1451" s="100"/>
      <c r="E1451" s="100"/>
      <c r="F1451" s="100"/>
      <c r="G1451" s="100"/>
      <c r="H1451" s="100"/>
    </row>
    <row r="1452" spans="3:8">
      <c r="C1452" s="100"/>
      <c r="D1452" s="100"/>
      <c r="E1452" s="100"/>
      <c r="F1452" s="100"/>
      <c r="G1452" s="100"/>
      <c r="H1452" s="100"/>
    </row>
    <row r="1453" spans="3:8">
      <c r="C1453" s="100"/>
      <c r="D1453" s="100"/>
      <c r="E1453" s="100"/>
      <c r="F1453" s="100"/>
      <c r="G1453" s="100"/>
      <c r="H1453" s="100"/>
    </row>
    <row r="1454" spans="3:8">
      <c r="C1454" s="100"/>
      <c r="D1454" s="100"/>
      <c r="E1454" s="100"/>
      <c r="F1454" s="100"/>
      <c r="G1454" s="100"/>
      <c r="H1454" s="100"/>
    </row>
    <row r="1455" spans="3:8">
      <c r="C1455" s="100"/>
      <c r="D1455" s="100"/>
      <c r="E1455" s="100"/>
      <c r="F1455" s="100"/>
      <c r="G1455" s="100"/>
      <c r="H1455" s="100"/>
    </row>
    <row r="1456" spans="3:8">
      <c r="C1456" s="100"/>
      <c r="D1456" s="100"/>
      <c r="E1456" s="100"/>
      <c r="F1456" s="100"/>
      <c r="G1456" s="100"/>
      <c r="H1456" s="100"/>
    </row>
    <row r="1457" spans="3:8">
      <c r="C1457" s="100"/>
      <c r="D1457" s="100"/>
      <c r="E1457" s="100"/>
      <c r="F1457" s="100"/>
      <c r="G1457" s="100"/>
      <c r="H1457" s="100"/>
    </row>
    <row r="1458" spans="3:8">
      <c r="C1458" s="100"/>
      <c r="D1458" s="100"/>
      <c r="E1458" s="100"/>
      <c r="F1458" s="100"/>
      <c r="G1458" s="100"/>
      <c r="H1458" s="100"/>
    </row>
    <row r="1459" spans="3:8">
      <c r="C1459" s="100"/>
      <c r="D1459" s="100"/>
      <c r="E1459" s="100"/>
      <c r="F1459" s="100"/>
      <c r="G1459" s="100"/>
      <c r="H1459" s="100"/>
    </row>
    <row r="1460" spans="3:8">
      <c r="C1460" s="100"/>
      <c r="D1460" s="100"/>
      <c r="E1460" s="100"/>
      <c r="F1460" s="100"/>
      <c r="G1460" s="100"/>
      <c r="H1460" s="100"/>
    </row>
    <row r="1461" spans="3:8">
      <c r="C1461" s="100"/>
      <c r="D1461" s="100"/>
      <c r="E1461" s="100"/>
      <c r="F1461" s="100"/>
      <c r="G1461" s="100"/>
      <c r="H1461" s="100"/>
    </row>
    <row r="1462" spans="3:8">
      <c r="C1462" s="100"/>
      <c r="D1462" s="100"/>
      <c r="E1462" s="100"/>
      <c r="F1462" s="100"/>
      <c r="G1462" s="100"/>
      <c r="H1462" s="100"/>
    </row>
    <row r="1463" spans="3:8">
      <c r="C1463" s="100"/>
      <c r="D1463" s="100"/>
      <c r="E1463" s="100"/>
      <c r="F1463" s="100"/>
      <c r="G1463" s="100"/>
      <c r="H1463" s="100"/>
    </row>
    <row r="1464" spans="3:8">
      <c r="C1464" s="100"/>
      <c r="D1464" s="100"/>
      <c r="E1464" s="100"/>
      <c r="F1464" s="100"/>
      <c r="G1464" s="100"/>
      <c r="H1464" s="100"/>
    </row>
    <row r="1465" spans="3:8">
      <c r="C1465" s="100"/>
      <c r="D1465" s="100"/>
      <c r="E1465" s="100"/>
      <c r="F1465" s="100"/>
      <c r="G1465" s="100"/>
      <c r="H1465" s="100"/>
    </row>
    <row r="1466" spans="3:8">
      <c r="C1466" s="100"/>
      <c r="D1466" s="100"/>
      <c r="E1466" s="100"/>
      <c r="F1466" s="100"/>
      <c r="G1466" s="100"/>
      <c r="H1466" s="100"/>
    </row>
    <row r="1467" spans="3:8">
      <c r="C1467" s="100"/>
      <c r="D1467" s="100"/>
      <c r="E1467" s="100"/>
      <c r="F1467" s="100"/>
      <c r="G1467" s="100"/>
      <c r="H1467" s="100"/>
    </row>
    <row r="1468" spans="3:8">
      <c r="C1468" s="100"/>
      <c r="D1468" s="100"/>
      <c r="E1468" s="100"/>
      <c r="F1468" s="100"/>
      <c r="G1468" s="100"/>
      <c r="H1468" s="100"/>
    </row>
    <row r="1469" spans="3:8">
      <c r="C1469" s="100"/>
      <c r="D1469" s="100"/>
      <c r="E1469" s="100"/>
      <c r="F1469" s="100"/>
      <c r="G1469" s="100"/>
      <c r="H1469" s="100"/>
    </row>
    <row r="1470" spans="3:8">
      <c r="C1470" s="100"/>
      <c r="D1470" s="100"/>
      <c r="E1470" s="100"/>
      <c r="F1470" s="100"/>
      <c r="G1470" s="100"/>
      <c r="H1470" s="100"/>
    </row>
    <row r="1471" spans="3:8">
      <c r="C1471" s="100"/>
      <c r="D1471" s="100"/>
      <c r="E1471" s="100"/>
      <c r="F1471" s="100"/>
      <c r="G1471" s="100"/>
      <c r="H1471" s="100"/>
    </row>
    <row r="1472" spans="3:8">
      <c r="C1472" s="100"/>
      <c r="D1472" s="100"/>
      <c r="E1472" s="100"/>
      <c r="F1472" s="100"/>
      <c r="G1472" s="100"/>
      <c r="H1472" s="100"/>
    </row>
    <row r="1473" spans="3:8">
      <c r="C1473" s="100"/>
      <c r="D1473" s="100"/>
      <c r="E1473" s="100"/>
      <c r="F1473" s="100"/>
      <c r="G1473" s="100"/>
      <c r="H1473" s="100"/>
    </row>
    <row r="1474" spans="3:8">
      <c r="C1474" s="100"/>
      <c r="D1474" s="100"/>
      <c r="E1474" s="100"/>
      <c r="F1474" s="100"/>
      <c r="G1474" s="100"/>
      <c r="H1474" s="100"/>
    </row>
    <row r="1475" spans="3:8">
      <c r="C1475" s="100"/>
      <c r="D1475" s="100"/>
      <c r="E1475" s="100"/>
      <c r="F1475" s="100"/>
      <c r="G1475" s="100"/>
      <c r="H1475" s="100"/>
    </row>
    <row r="1476" spans="3:8">
      <c r="C1476" s="100"/>
      <c r="D1476" s="100"/>
      <c r="E1476" s="100"/>
      <c r="F1476" s="100"/>
      <c r="G1476" s="100"/>
      <c r="H1476" s="100"/>
    </row>
    <row r="1477" spans="3:8">
      <c r="C1477" s="100"/>
      <c r="D1477" s="100"/>
      <c r="E1477" s="100"/>
      <c r="F1477" s="100"/>
      <c r="G1477" s="100"/>
      <c r="H1477" s="100"/>
    </row>
    <row r="1478" spans="3:8">
      <c r="C1478" s="100"/>
      <c r="D1478" s="100"/>
      <c r="E1478" s="100"/>
      <c r="F1478" s="100"/>
      <c r="G1478" s="100"/>
      <c r="H1478" s="100"/>
    </row>
    <row r="1479" spans="3:8">
      <c r="C1479" s="100"/>
      <c r="D1479" s="100"/>
      <c r="E1479" s="100"/>
      <c r="F1479" s="100"/>
      <c r="G1479" s="100"/>
      <c r="H1479" s="100"/>
    </row>
    <row r="1480" spans="3:8">
      <c r="C1480" s="100"/>
      <c r="D1480" s="100"/>
      <c r="E1480" s="100"/>
      <c r="F1480" s="100"/>
      <c r="G1480" s="100"/>
      <c r="H1480" s="100"/>
    </row>
    <row r="1481" spans="3:8">
      <c r="C1481" s="100"/>
      <c r="D1481" s="100"/>
      <c r="E1481" s="100"/>
      <c r="F1481" s="100"/>
      <c r="G1481" s="100"/>
      <c r="H1481" s="100"/>
    </row>
    <row r="1482" spans="3:8">
      <c r="C1482" s="100"/>
      <c r="D1482" s="100"/>
      <c r="E1482" s="100"/>
      <c r="F1482" s="100"/>
      <c r="G1482" s="100"/>
      <c r="H1482" s="100"/>
    </row>
    <row r="1483" spans="3:8">
      <c r="C1483" s="100"/>
      <c r="D1483" s="100"/>
      <c r="E1483" s="100"/>
      <c r="F1483" s="100"/>
      <c r="G1483" s="100"/>
      <c r="H1483" s="100"/>
    </row>
    <row r="1484" spans="3:8">
      <c r="C1484" s="100"/>
      <c r="D1484" s="100"/>
      <c r="E1484" s="100"/>
      <c r="F1484" s="100"/>
      <c r="G1484" s="100"/>
      <c r="H1484" s="100"/>
    </row>
    <row r="1485" spans="3:8">
      <c r="C1485" s="100"/>
      <c r="D1485" s="100"/>
      <c r="E1485" s="100"/>
      <c r="F1485" s="100"/>
      <c r="G1485" s="100"/>
      <c r="H1485" s="100"/>
    </row>
    <row r="1486" spans="3:8">
      <c r="C1486" s="100"/>
      <c r="D1486" s="100"/>
      <c r="E1486" s="100"/>
      <c r="F1486" s="100"/>
      <c r="G1486" s="100"/>
      <c r="H1486" s="100"/>
    </row>
    <row r="1487" spans="3:8">
      <c r="C1487" s="100"/>
      <c r="D1487" s="100"/>
      <c r="E1487" s="100"/>
      <c r="F1487" s="100"/>
      <c r="G1487" s="100"/>
      <c r="H1487" s="100"/>
    </row>
    <row r="1488" spans="3:8">
      <c r="C1488" s="100"/>
      <c r="D1488" s="100"/>
      <c r="E1488" s="100"/>
      <c r="F1488" s="100"/>
      <c r="G1488" s="100"/>
      <c r="H1488" s="100"/>
    </row>
    <row r="1489" spans="3:8">
      <c r="C1489" s="100"/>
      <c r="D1489" s="100"/>
      <c r="E1489" s="100"/>
      <c r="F1489" s="100"/>
      <c r="G1489" s="100"/>
      <c r="H1489" s="100"/>
    </row>
    <row r="1490" spans="3:8">
      <c r="C1490" s="100"/>
      <c r="D1490" s="100"/>
      <c r="E1490" s="100"/>
      <c r="F1490" s="100"/>
      <c r="G1490" s="100"/>
      <c r="H1490" s="100"/>
    </row>
    <row r="1491" spans="3:8">
      <c r="C1491" s="100"/>
      <c r="D1491" s="100"/>
      <c r="E1491" s="100"/>
      <c r="F1491" s="100"/>
      <c r="G1491" s="100"/>
      <c r="H1491" s="100"/>
    </row>
    <row r="1492" spans="3:8">
      <c r="C1492" s="100"/>
      <c r="D1492" s="100"/>
      <c r="E1492" s="100"/>
      <c r="F1492" s="100"/>
      <c r="G1492" s="100"/>
      <c r="H1492" s="100"/>
    </row>
    <row r="1493" spans="3:8">
      <c r="C1493" s="100"/>
      <c r="D1493" s="100"/>
      <c r="E1493" s="100"/>
      <c r="F1493" s="100"/>
      <c r="G1493" s="100"/>
      <c r="H1493" s="100"/>
    </row>
    <row r="1494" spans="3:8">
      <c r="C1494" s="100"/>
      <c r="D1494" s="100"/>
      <c r="E1494" s="100"/>
      <c r="F1494" s="100"/>
      <c r="G1494" s="100"/>
      <c r="H1494" s="100"/>
    </row>
    <row r="1495" spans="3:8">
      <c r="C1495" s="100"/>
      <c r="D1495" s="100"/>
      <c r="E1495" s="100"/>
      <c r="F1495" s="100"/>
      <c r="G1495" s="100"/>
      <c r="H1495" s="100"/>
    </row>
    <row r="1496" spans="3:8">
      <c r="C1496" s="100"/>
      <c r="D1496" s="100"/>
      <c r="E1496" s="100"/>
      <c r="F1496" s="100"/>
      <c r="G1496" s="100"/>
      <c r="H1496" s="100"/>
    </row>
    <row r="1497" spans="3:8">
      <c r="C1497" s="100"/>
      <c r="D1497" s="100"/>
      <c r="E1497" s="100"/>
      <c r="F1497" s="100"/>
      <c r="G1497" s="100"/>
      <c r="H1497" s="100"/>
    </row>
    <row r="1498" spans="3:8">
      <c r="C1498" s="100"/>
      <c r="D1498" s="100"/>
      <c r="E1498" s="100"/>
      <c r="F1498" s="100"/>
      <c r="G1498" s="100"/>
      <c r="H1498" s="100"/>
    </row>
    <row r="1499" spans="3:8">
      <c r="C1499" s="100"/>
      <c r="D1499" s="100"/>
      <c r="E1499" s="100"/>
      <c r="F1499" s="100"/>
      <c r="G1499" s="100"/>
      <c r="H1499" s="100"/>
    </row>
    <row r="1500" spans="3:8">
      <c r="C1500" s="100"/>
      <c r="D1500" s="100"/>
      <c r="E1500" s="100"/>
      <c r="F1500" s="100"/>
      <c r="G1500" s="100"/>
      <c r="H1500" s="100"/>
    </row>
    <row r="1501" spans="3:8">
      <c r="C1501" s="100"/>
      <c r="D1501" s="100"/>
      <c r="E1501" s="100"/>
      <c r="F1501" s="100"/>
      <c r="G1501" s="100"/>
      <c r="H1501" s="100"/>
    </row>
    <row r="1502" spans="3:8">
      <c r="C1502" s="100"/>
      <c r="D1502" s="100"/>
      <c r="E1502" s="100"/>
      <c r="F1502" s="100"/>
      <c r="G1502" s="100"/>
      <c r="H1502" s="100"/>
    </row>
    <row r="1503" spans="3:8">
      <c r="C1503" s="100"/>
      <c r="D1503" s="100"/>
      <c r="E1503" s="100"/>
      <c r="F1503" s="100"/>
      <c r="G1503" s="100"/>
      <c r="H1503" s="100"/>
    </row>
    <row r="1504" spans="3:8">
      <c r="C1504" s="100"/>
      <c r="D1504" s="100"/>
      <c r="E1504" s="100"/>
      <c r="F1504" s="100"/>
      <c r="G1504" s="100"/>
      <c r="H1504" s="100"/>
    </row>
    <row r="1505" spans="3:8">
      <c r="C1505" s="100"/>
      <c r="D1505" s="100"/>
      <c r="E1505" s="100"/>
      <c r="F1505" s="100"/>
      <c r="G1505" s="100"/>
      <c r="H1505" s="100"/>
    </row>
    <row r="1506" spans="3:8">
      <c r="C1506" s="100"/>
      <c r="D1506" s="100"/>
      <c r="E1506" s="100"/>
      <c r="F1506" s="100"/>
      <c r="G1506" s="100"/>
      <c r="H1506" s="100"/>
    </row>
    <row r="1507" spans="3:8">
      <c r="C1507" s="100"/>
      <c r="D1507" s="100"/>
      <c r="E1507" s="100"/>
      <c r="F1507" s="100"/>
      <c r="G1507" s="100"/>
      <c r="H1507" s="100"/>
    </row>
    <row r="1508" spans="3:8">
      <c r="C1508" s="100"/>
      <c r="D1508" s="100"/>
      <c r="E1508" s="100"/>
      <c r="F1508" s="100"/>
      <c r="G1508" s="100"/>
      <c r="H1508" s="100"/>
    </row>
    <row r="1509" spans="3:8">
      <c r="C1509" s="100"/>
      <c r="D1509" s="100"/>
      <c r="E1509" s="100"/>
      <c r="F1509" s="100"/>
      <c r="G1509" s="100"/>
      <c r="H1509" s="100"/>
    </row>
    <row r="1510" spans="3:8">
      <c r="C1510" s="100"/>
      <c r="D1510" s="100"/>
      <c r="E1510" s="100"/>
      <c r="F1510" s="100"/>
      <c r="G1510" s="100"/>
      <c r="H1510" s="100"/>
    </row>
    <row r="1511" spans="3:8">
      <c r="C1511" s="100"/>
      <c r="D1511" s="100"/>
      <c r="E1511" s="100"/>
      <c r="F1511" s="100"/>
      <c r="G1511" s="100"/>
      <c r="H1511" s="100"/>
    </row>
    <row r="1512" spans="3:8">
      <c r="C1512" s="100"/>
      <c r="D1512" s="100"/>
      <c r="E1512" s="100"/>
      <c r="F1512" s="100"/>
      <c r="G1512" s="100"/>
      <c r="H1512" s="100"/>
    </row>
    <row r="1513" spans="3:8">
      <c r="C1513" s="100"/>
      <c r="D1513" s="100"/>
      <c r="E1513" s="100"/>
      <c r="F1513" s="100"/>
      <c r="G1513" s="100"/>
      <c r="H1513" s="100"/>
    </row>
    <row r="1514" spans="3:8">
      <c r="C1514" s="100"/>
      <c r="D1514" s="100"/>
      <c r="E1514" s="100"/>
      <c r="F1514" s="100"/>
      <c r="G1514" s="100"/>
      <c r="H1514" s="100"/>
    </row>
    <row r="1515" spans="3:8">
      <c r="C1515" s="100"/>
      <c r="D1515" s="100"/>
      <c r="E1515" s="100"/>
      <c r="F1515" s="100"/>
      <c r="G1515" s="100"/>
      <c r="H1515" s="100"/>
    </row>
    <row r="1516" spans="3:8">
      <c r="C1516" s="100"/>
      <c r="D1516" s="100"/>
      <c r="E1516" s="100"/>
      <c r="F1516" s="100"/>
      <c r="G1516" s="100"/>
      <c r="H1516" s="100"/>
    </row>
    <row r="1517" spans="3:8">
      <c r="C1517" s="100"/>
      <c r="D1517" s="100"/>
      <c r="E1517" s="100"/>
      <c r="F1517" s="100"/>
      <c r="G1517" s="100"/>
      <c r="H1517" s="100"/>
    </row>
    <row r="1518" spans="3:8">
      <c r="C1518" s="100"/>
      <c r="D1518" s="100"/>
      <c r="E1518" s="100"/>
      <c r="F1518" s="100"/>
      <c r="G1518" s="100"/>
      <c r="H1518" s="100"/>
    </row>
    <row r="1519" spans="3:8">
      <c r="C1519" s="100"/>
      <c r="D1519" s="100"/>
      <c r="E1519" s="100"/>
      <c r="F1519" s="100"/>
      <c r="G1519" s="100"/>
      <c r="H1519" s="100"/>
    </row>
    <row r="1520" spans="3:8">
      <c r="C1520" s="100"/>
      <c r="D1520" s="100"/>
      <c r="E1520" s="100"/>
      <c r="F1520" s="100"/>
      <c r="G1520" s="100"/>
      <c r="H1520" s="100"/>
    </row>
    <row r="1521" spans="3:8">
      <c r="C1521" s="100"/>
      <c r="D1521" s="100"/>
      <c r="E1521" s="100"/>
      <c r="F1521" s="100"/>
      <c r="G1521" s="100"/>
      <c r="H1521" s="100"/>
    </row>
    <row r="1522" spans="3:8">
      <c r="C1522" s="100"/>
      <c r="D1522" s="100"/>
      <c r="E1522" s="100"/>
      <c r="F1522" s="100"/>
      <c r="G1522" s="100"/>
      <c r="H1522" s="100"/>
    </row>
    <row r="1523" spans="3:8">
      <c r="C1523" s="100"/>
      <c r="D1523" s="100"/>
      <c r="E1523" s="100"/>
      <c r="F1523" s="100"/>
      <c r="G1523" s="100"/>
      <c r="H1523" s="100"/>
    </row>
    <row r="1524" spans="3:8">
      <c r="C1524" s="100"/>
      <c r="D1524" s="100"/>
      <c r="E1524" s="100"/>
      <c r="F1524" s="100"/>
      <c r="G1524" s="100"/>
      <c r="H1524" s="100"/>
    </row>
    <row r="1525" spans="3:8">
      <c r="C1525" s="100"/>
      <c r="D1525" s="100"/>
      <c r="E1525" s="100"/>
      <c r="F1525" s="100"/>
      <c r="G1525" s="100"/>
      <c r="H1525" s="100"/>
    </row>
    <row r="1526" spans="3:8">
      <c r="C1526" s="100"/>
      <c r="D1526" s="100"/>
      <c r="E1526" s="100"/>
      <c r="F1526" s="100"/>
      <c r="G1526" s="100"/>
      <c r="H1526" s="100"/>
    </row>
    <row r="1527" spans="3:8">
      <c r="C1527" s="100"/>
      <c r="D1527" s="100"/>
      <c r="E1527" s="100"/>
      <c r="F1527" s="100"/>
      <c r="G1527" s="100"/>
      <c r="H1527" s="100"/>
    </row>
    <row r="1528" spans="3:8">
      <c r="C1528" s="100"/>
      <c r="D1528" s="100"/>
      <c r="E1528" s="100"/>
      <c r="F1528" s="100"/>
      <c r="G1528" s="100"/>
      <c r="H1528" s="100"/>
    </row>
    <row r="1529" spans="3:8">
      <c r="C1529" s="100"/>
      <c r="D1529" s="100"/>
      <c r="E1529" s="100"/>
      <c r="F1529" s="100"/>
      <c r="G1529" s="100"/>
      <c r="H1529" s="100"/>
    </row>
    <row r="1530" spans="3:8">
      <c r="C1530" s="100"/>
      <c r="D1530" s="100"/>
      <c r="E1530" s="100"/>
      <c r="F1530" s="100"/>
      <c r="G1530" s="100"/>
      <c r="H1530" s="100"/>
    </row>
    <row r="1531" spans="3:8">
      <c r="C1531" s="100"/>
      <c r="D1531" s="100"/>
      <c r="E1531" s="100"/>
      <c r="F1531" s="100"/>
      <c r="G1531" s="100"/>
      <c r="H1531" s="100"/>
    </row>
    <row r="1532" spans="3:8">
      <c r="C1532" s="100"/>
      <c r="D1532" s="100"/>
      <c r="E1532" s="100"/>
      <c r="F1532" s="100"/>
      <c r="G1532" s="100"/>
      <c r="H1532" s="100"/>
    </row>
    <row r="1533" spans="3:8">
      <c r="C1533" s="100"/>
      <c r="D1533" s="100"/>
      <c r="E1533" s="100"/>
      <c r="F1533" s="100"/>
      <c r="G1533" s="100"/>
      <c r="H1533" s="100"/>
    </row>
    <row r="1534" spans="3:8">
      <c r="C1534" s="100"/>
      <c r="D1534" s="100"/>
      <c r="E1534" s="100"/>
      <c r="F1534" s="100"/>
      <c r="G1534" s="100"/>
      <c r="H1534" s="100"/>
    </row>
    <row r="1535" spans="3:8">
      <c r="C1535" s="100"/>
      <c r="D1535" s="100"/>
      <c r="E1535" s="100"/>
      <c r="F1535" s="100"/>
      <c r="G1535" s="100"/>
      <c r="H1535" s="100"/>
    </row>
    <row r="1536" spans="3:8">
      <c r="C1536" s="100"/>
      <c r="D1536" s="100"/>
      <c r="E1536" s="100"/>
      <c r="F1536" s="100"/>
      <c r="G1536" s="100"/>
      <c r="H1536" s="100"/>
    </row>
    <row r="1537" spans="3:8">
      <c r="C1537" s="100"/>
      <c r="D1537" s="100"/>
      <c r="E1537" s="100"/>
      <c r="F1537" s="100"/>
      <c r="G1537" s="100"/>
      <c r="H1537" s="100"/>
    </row>
    <row r="1538" spans="3:8">
      <c r="C1538" s="100"/>
      <c r="D1538" s="100"/>
      <c r="E1538" s="100"/>
      <c r="F1538" s="100"/>
      <c r="G1538" s="100"/>
      <c r="H1538" s="100"/>
    </row>
    <row r="1539" spans="3:8">
      <c r="C1539" s="100"/>
      <c r="D1539" s="100"/>
      <c r="E1539" s="100"/>
      <c r="F1539" s="100"/>
      <c r="G1539" s="100"/>
      <c r="H1539" s="100"/>
    </row>
    <row r="1540" spans="3:8">
      <c r="C1540" s="100"/>
      <c r="D1540" s="100"/>
      <c r="E1540" s="100"/>
      <c r="F1540" s="100"/>
      <c r="G1540" s="100"/>
      <c r="H1540" s="100"/>
    </row>
    <row r="1541" spans="3:8">
      <c r="C1541" s="100"/>
      <c r="D1541" s="100"/>
      <c r="E1541" s="100"/>
      <c r="F1541" s="100"/>
      <c r="G1541" s="100"/>
      <c r="H1541" s="100"/>
    </row>
    <row r="1542" spans="3:8">
      <c r="C1542" s="100"/>
      <c r="D1542" s="100"/>
      <c r="E1542" s="100"/>
      <c r="F1542" s="100"/>
      <c r="G1542" s="100"/>
      <c r="H1542" s="100"/>
    </row>
    <row r="1543" spans="3:8">
      <c r="C1543" s="100"/>
      <c r="D1543" s="100"/>
      <c r="E1543" s="100"/>
      <c r="F1543" s="100"/>
      <c r="G1543" s="100"/>
      <c r="H1543" s="100"/>
    </row>
    <row r="1544" spans="3:8">
      <c r="C1544" s="100"/>
      <c r="D1544" s="100"/>
      <c r="E1544" s="100"/>
      <c r="F1544" s="100"/>
      <c r="G1544" s="100"/>
      <c r="H1544" s="100"/>
    </row>
    <row r="1545" spans="3:8">
      <c r="C1545" s="100"/>
      <c r="D1545" s="100"/>
      <c r="E1545" s="100"/>
      <c r="F1545" s="100"/>
      <c r="G1545" s="100"/>
      <c r="H1545" s="100"/>
    </row>
    <row r="1546" spans="3:8">
      <c r="C1546" s="100"/>
      <c r="D1546" s="100"/>
      <c r="E1546" s="100"/>
      <c r="F1546" s="100"/>
      <c r="G1546" s="100"/>
      <c r="H1546" s="100"/>
    </row>
    <row r="1547" spans="3:8">
      <c r="C1547" s="100"/>
      <c r="D1547" s="100"/>
      <c r="E1547" s="100"/>
      <c r="F1547" s="100"/>
      <c r="G1547" s="100"/>
      <c r="H1547" s="100"/>
    </row>
    <row r="1548" spans="3:8">
      <c r="C1548" s="100"/>
      <c r="D1548" s="100"/>
      <c r="E1548" s="100"/>
      <c r="F1548" s="100"/>
      <c r="G1548" s="100"/>
      <c r="H1548" s="100"/>
    </row>
    <row r="1549" spans="3:8">
      <c r="C1549" s="100"/>
      <c r="D1549" s="100"/>
      <c r="E1549" s="100"/>
      <c r="F1549" s="100"/>
      <c r="G1549" s="100"/>
      <c r="H1549" s="100"/>
    </row>
    <row r="1550" spans="3:8">
      <c r="C1550" s="100"/>
      <c r="D1550" s="100"/>
      <c r="E1550" s="100"/>
      <c r="F1550" s="100"/>
      <c r="G1550" s="100"/>
      <c r="H1550" s="100"/>
    </row>
    <row r="1551" spans="3:8">
      <c r="C1551" s="100"/>
      <c r="D1551" s="100"/>
      <c r="E1551" s="100"/>
      <c r="F1551" s="100"/>
      <c r="G1551" s="100"/>
      <c r="H1551" s="100"/>
    </row>
    <row r="1552" spans="3:8">
      <c r="C1552" s="100"/>
      <c r="D1552" s="100"/>
      <c r="E1552" s="100"/>
      <c r="F1552" s="100"/>
      <c r="G1552" s="100"/>
      <c r="H1552" s="100"/>
    </row>
    <row r="1553" spans="3:8">
      <c r="C1553" s="100"/>
      <c r="D1553" s="100"/>
      <c r="E1553" s="100"/>
      <c r="F1553" s="100"/>
      <c r="G1553" s="100"/>
      <c r="H1553" s="100"/>
    </row>
    <row r="1554" spans="3:8">
      <c r="C1554" s="100"/>
      <c r="D1554" s="100"/>
      <c r="E1554" s="100"/>
      <c r="F1554" s="100"/>
      <c r="G1554" s="100"/>
      <c r="H1554" s="100"/>
    </row>
    <row r="1555" spans="3:8">
      <c r="C1555" s="100"/>
      <c r="D1555" s="100"/>
      <c r="E1555" s="100"/>
      <c r="F1555" s="100"/>
      <c r="G1555" s="100"/>
      <c r="H1555" s="100"/>
    </row>
    <row r="1556" spans="3:8">
      <c r="C1556" s="100"/>
      <c r="D1556" s="100"/>
      <c r="E1556" s="100"/>
      <c r="F1556" s="100"/>
      <c r="G1556" s="100"/>
      <c r="H1556" s="100"/>
    </row>
    <row r="1557" spans="3:8">
      <c r="C1557" s="100"/>
      <c r="D1557" s="100"/>
      <c r="E1557" s="100"/>
      <c r="F1557" s="100"/>
      <c r="G1557" s="100"/>
      <c r="H1557" s="100"/>
    </row>
    <row r="1558" spans="3:8">
      <c r="C1558" s="100"/>
      <c r="D1558" s="100"/>
      <c r="E1558" s="100"/>
      <c r="F1558" s="100"/>
      <c r="G1558" s="100"/>
      <c r="H1558" s="100"/>
    </row>
    <row r="1559" spans="3:8">
      <c r="C1559" s="100"/>
      <c r="D1559" s="100"/>
      <c r="E1559" s="100"/>
      <c r="F1559" s="100"/>
      <c r="G1559" s="100"/>
      <c r="H1559" s="100"/>
    </row>
    <row r="1560" spans="3:8">
      <c r="C1560" s="100"/>
      <c r="D1560" s="100"/>
      <c r="E1560" s="100"/>
      <c r="F1560" s="100"/>
      <c r="G1560" s="100"/>
      <c r="H1560" s="100"/>
    </row>
    <row r="1561" spans="3:8">
      <c r="C1561" s="100"/>
      <c r="D1561" s="100"/>
      <c r="E1561" s="100"/>
      <c r="F1561" s="100"/>
      <c r="G1561" s="100"/>
      <c r="H1561" s="100"/>
    </row>
    <row r="1562" spans="3:8">
      <c r="C1562" s="100"/>
      <c r="D1562" s="100"/>
      <c r="E1562" s="100"/>
      <c r="F1562" s="100"/>
      <c r="G1562" s="100"/>
      <c r="H1562" s="100"/>
    </row>
    <row r="1563" spans="3:8">
      <c r="C1563" s="100"/>
      <c r="D1563" s="100"/>
      <c r="E1563" s="100"/>
      <c r="F1563" s="100"/>
      <c r="G1563" s="100"/>
      <c r="H1563" s="100"/>
    </row>
    <row r="1564" spans="3:8">
      <c r="C1564" s="100"/>
      <c r="D1564" s="100"/>
      <c r="E1564" s="100"/>
      <c r="F1564" s="100"/>
      <c r="G1564" s="100"/>
      <c r="H1564" s="100"/>
    </row>
    <row r="1565" spans="3:8">
      <c r="C1565" s="100"/>
      <c r="D1565" s="100"/>
      <c r="E1565" s="100"/>
      <c r="F1565" s="100"/>
      <c r="G1565" s="100"/>
      <c r="H1565" s="100"/>
    </row>
    <row r="1566" spans="3:8">
      <c r="C1566" s="100"/>
      <c r="D1566" s="100"/>
      <c r="E1566" s="100"/>
      <c r="F1566" s="100"/>
      <c r="G1566" s="100"/>
      <c r="H1566" s="100"/>
    </row>
    <row r="1567" spans="3:8">
      <c r="C1567" s="100"/>
      <c r="D1567" s="100"/>
      <c r="E1567" s="100"/>
      <c r="F1567" s="100"/>
      <c r="G1567" s="100"/>
      <c r="H1567" s="100"/>
    </row>
    <row r="1568" spans="3:8">
      <c r="C1568" s="100"/>
      <c r="D1568" s="100"/>
      <c r="E1568" s="100"/>
      <c r="F1568" s="100"/>
      <c r="G1568" s="100"/>
      <c r="H1568" s="100"/>
    </row>
    <row r="1569" spans="3:8">
      <c r="C1569" s="100"/>
      <c r="D1569" s="100"/>
      <c r="E1569" s="100"/>
      <c r="F1569" s="100"/>
      <c r="G1569" s="100"/>
      <c r="H1569" s="100"/>
    </row>
    <row r="1570" spans="3:8">
      <c r="C1570" s="100"/>
      <c r="D1570" s="100"/>
      <c r="E1570" s="100"/>
      <c r="F1570" s="100"/>
      <c r="G1570" s="100"/>
      <c r="H1570" s="100"/>
    </row>
    <row r="1571" spans="3:8">
      <c r="C1571" s="100"/>
      <c r="D1571" s="100"/>
      <c r="E1571" s="100"/>
      <c r="F1571" s="100"/>
      <c r="G1571" s="100"/>
      <c r="H1571" s="100"/>
    </row>
    <row r="1572" spans="3:8">
      <c r="C1572" s="100"/>
      <c r="D1572" s="100"/>
      <c r="E1572" s="100"/>
      <c r="F1572" s="100"/>
      <c r="G1572" s="100"/>
      <c r="H1572" s="100"/>
    </row>
    <row r="1573" spans="3:8">
      <c r="C1573" s="100"/>
      <c r="D1573" s="100"/>
      <c r="E1573" s="100"/>
      <c r="F1573" s="100"/>
      <c r="G1573" s="100"/>
      <c r="H1573" s="100"/>
    </row>
    <row r="1574" spans="3:8">
      <c r="C1574" s="100"/>
      <c r="D1574" s="100"/>
      <c r="E1574" s="100"/>
      <c r="F1574" s="100"/>
      <c r="G1574" s="100"/>
      <c r="H1574" s="100"/>
    </row>
    <row r="1575" spans="3:8">
      <c r="C1575" s="100"/>
      <c r="D1575" s="100"/>
      <c r="E1575" s="100"/>
      <c r="F1575" s="100"/>
      <c r="G1575" s="100"/>
      <c r="H1575" s="100"/>
    </row>
    <row r="1576" spans="3:8">
      <c r="C1576" s="100"/>
      <c r="D1576" s="100"/>
      <c r="E1576" s="100"/>
      <c r="F1576" s="100"/>
      <c r="G1576" s="100"/>
      <c r="H1576" s="100"/>
    </row>
    <row r="1577" spans="3:8">
      <c r="C1577" s="100"/>
      <c r="D1577" s="100"/>
      <c r="E1577" s="100"/>
      <c r="F1577" s="100"/>
      <c r="G1577" s="100"/>
      <c r="H1577" s="100"/>
    </row>
    <row r="1578" spans="3:8">
      <c r="C1578" s="100"/>
      <c r="D1578" s="100"/>
      <c r="E1578" s="100"/>
      <c r="F1578" s="100"/>
      <c r="G1578" s="100"/>
      <c r="H1578" s="100"/>
    </row>
    <row r="1579" spans="3:8">
      <c r="C1579" s="100"/>
      <c r="D1579" s="100"/>
      <c r="E1579" s="100"/>
      <c r="F1579" s="100"/>
      <c r="G1579" s="100"/>
      <c r="H1579" s="100"/>
    </row>
    <row r="1580" spans="3:8">
      <c r="C1580" s="100"/>
      <c r="D1580" s="100"/>
      <c r="E1580" s="100"/>
      <c r="F1580" s="100"/>
      <c r="G1580" s="100"/>
      <c r="H1580" s="100"/>
    </row>
    <row r="1581" spans="3:8">
      <c r="C1581" s="100"/>
      <c r="D1581" s="100"/>
      <c r="E1581" s="100"/>
      <c r="F1581" s="100"/>
      <c r="G1581" s="100"/>
      <c r="H1581" s="100"/>
    </row>
    <row r="1582" spans="3:8">
      <c r="C1582" s="100"/>
      <c r="D1582" s="100"/>
      <c r="E1582" s="100"/>
      <c r="F1582" s="100"/>
      <c r="G1582" s="100"/>
      <c r="H1582" s="100"/>
    </row>
    <row r="1583" spans="3:8">
      <c r="C1583" s="100"/>
      <c r="D1583" s="100"/>
      <c r="E1583" s="100"/>
      <c r="F1583" s="100"/>
      <c r="G1583" s="100"/>
      <c r="H1583" s="100"/>
    </row>
    <row r="1584" spans="3:8">
      <c r="C1584" s="100"/>
      <c r="D1584" s="100"/>
      <c r="E1584" s="100"/>
      <c r="F1584" s="100"/>
      <c r="G1584" s="100"/>
      <c r="H1584" s="100"/>
    </row>
    <row r="1585" spans="3:8">
      <c r="C1585" s="100"/>
      <c r="D1585" s="100"/>
      <c r="E1585" s="100"/>
      <c r="F1585" s="100"/>
      <c r="G1585" s="100"/>
      <c r="H1585" s="100"/>
    </row>
    <row r="1586" spans="3:8">
      <c r="C1586" s="100"/>
      <c r="D1586" s="100"/>
      <c r="E1586" s="100"/>
      <c r="F1586" s="100"/>
      <c r="G1586" s="100"/>
      <c r="H1586" s="100"/>
    </row>
    <row r="1587" spans="3:8">
      <c r="C1587" s="100"/>
      <c r="D1587" s="100"/>
      <c r="E1587" s="100"/>
      <c r="F1587" s="100"/>
      <c r="G1587" s="100"/>
      <c r="H1587" s="100"/>
    </row>
    <row r="1588" spans="3:8">
      <c r="C1588" s="100"/>
      <c r="D1588" s="100"/>
      <c r="E1588" s="100"/>
      <c r="F1588" s="100"/>
      <c r="G1588" s="100"/>
      <c r="H1588" s="100"/>
    </row>
    <row r="1589" spans="3:8">
      <c r="C1589" s="100"/>
      <c r="D1589" s="100"/>
      <c r="E1589" s="100"/>
      <c r="F1589" s="100"/>
      <c r="G1589" s="100"/>
      <c r="H1589" s="100"/>
    </row>
    <row r="1590" spans="3:8">
      <c r="C1590" s="100"/>
      <c r="D1590" s="100"/>
      <c r="E1590" s="100"/>
      <c r="F1590" s="100"/>
      <c r="G1590" s="100"/>
      <c r="H1590" s="100"/>
    </row>
    <row r="1591" spans="3:8">
      <c r="C1591" s="100"/>
      <c r="D1591" s="100"/>
      <c r="E1591" s="100"/>
      <c r="F1591" s="100"/>
      <c r="G1591" s="100"/>
      <c r="H1591" s="100"/>
    </row>
    <row r="1592" spans="3:8">
      <c r="C1592" s="100"/>
      <c r="D1592" s="100"/>
      <c r="E1592" s="100"/>
      <c r="F1592" s="100"/>
      <c r="G1592" s="100"/>
      <c r="H1592" s="100"/>
    </row>
    <row r="1593" spans="3:8">
      <c r="C1593" s="100"/>
      <c r="D1593" s="100"/>
      <c r="E1593" s="100"/>
      <c r="F1593" s="100"/>
      <c r="G1593" s="100"/>
      <c r="H1593" s="100"/>
    </row>
    <row r="1594" spans="3:8">
      <c r="C1594" s="100"/>
      <c r="D1594" s="100"/>
      <c r="E1594" s="100"/>
      <c r="F1594" s="100"/>
      <c r="G1594" s="100"/>
      <c r="H1594" s="100"/>
    </row>
    <row r="1595" spans="3:8">
      <c r="C1595" s="100"/>
      <c r="D1595" s="100"/>
      <c r="E1595" s="100"/>
      <c r="F1595" s="100"/>
      <c r="G1595" s="100"/>
      <c r="H1595" s="100"/>
    </row>
    <row r="1596" spans="3:8">
      <c r="C1596" s="100"/>
      <c r="D1596" s="100"/>
      <c r="E1596" s="100"/>
      <c r="F1596" s="100"/>
      <c r="G1596" s="100"/>
      <c r="H1596" s="100"/>
    </row>
    <row r="1597" spans="3:8">
      <c r="C1597" s="100"/>
      <c r="D1597" s="100"/>
      <c r="E1597" s="100"/>
      <c r="F1597" s="100"/>
      <c r="G1597" s="100"/>
      <c r="H1597" s="100"/>
    </row>
    <row r="1598" spans="3:8">
      <c r="C1598" s="100"/>
      <c r="D1598" s="100"/>
      <c r="E1598" s="100"/>
      <c r="F1598" s="100"/>
      <c r="G1598" s="100"/>
      <c r="H1598" s="100"/>
    </row>
    <row r="1599" spans="3:8">
      <c r="C1599" s="100"/>
      <c r="D1599" s="100"/>
      <c r="E1599" s="100"/>
      <c r="F1599" s="100"/>
      <c r="G1599" s="100"/>
      <c r="H1599" s="100"/>
    </row>
    <row r="1600" spans="3:8">
      <c r="C1600" s="100"/>
      <c r="D1600" s="100"/>
      <c r="E1600" s="100"/>
      <c r="F1600" s="100"/>
      <c r="G1600" s="100"/>
      <c r="H1600" s="100"/>
    </row>
    <row r="1601" spans="3:8">
      <c r="C1601" s="100"/>
      <c r="D1601" s="100"/>
      <c r="E1601" s="100"/>
      <c r="F1601" s="100"/>
      <c r="G1601" s="100"/>
      <c r="H1601" s="100"/>
    </row>
    <row r="1602" spans="3:8">
      <c r="C1602" s="100"/>
      <c r="D1602" s="100"/>
      <c r="E1602" s="100"/>
      <c r="F1602" s="100"/>
      <c r="G1602" s="100"/>
      <c r="H1602" s="100"/>
    </row>
    <row r="1603" spans="3:8">
      <c r="C1603" s="100"/>
      <c r="D1603" s="100"/>
      <c r="E1603" s="100"/>
      <c r="F1603" s="100"/>
      <c r="G1603" s="100"/>
      <c r="H1603" s="100"/>
    </row>
    <row r="1604" spans="3:8">
      <c r="C1604" s="100"/>
      <c r="D1604" s="100"/>
      <c r="E1604" s="100"/>
      <c r="F1604" s="100"/>
      <c r="G1604" s="100"/>
      <c r="H1604" s="100"/>
    </row>
    <row r="1605" spans="3:8">
      <c r="C1605" s="100"/>
      <c r="D1605" s="100"/>
      <c r="E1605" s="100"/>
      <c r="F1605" s="100"/>
      <c r="G1605" s="100"/>
      <c r="H1605" s="100"/>
    </row>
    <row r="1606" spans="3:8">
      <c r="C1606" s="100"/>
      <c r="D1606" s="100"/>
      <c r="E1606" s="100"/>
      <c r="F1606" s="100"/>
      <c r="G1606" s="100"/>
      <c r="H1606" s="100"/>
    </row>
    <row r="1607" spans="3:8">
      <c r="C1607" s="100"/>
      <c r="D1607" s="100"/>
      <c r="E1607" s="100"/>
      <c r="F1607" s="100"/>
      <c r="G1607" s="100"/>
      <c r="H1607" s="100"/>
    </row>
    <row r="1608" spans="3:8">
      <c r="C1608" s="100"/>
      <c r="D1608" s="100"/>
      <c r="E1608" s="100"/>
      <c r="F1608" s="100"/>
      <c r="G1608" s="100"/>
      <c r="H1608" s="100"/>
    </row>
    <row r="1609" spans="3:8">
      <c r="C1609" s="100"/>
      <c r="D1609" s="100"/>
      <c r="E1609" s="100"/>
      <c r="F1609" s="100"/>
      <c r="G1609" s="100"/>
      <c r="H1609" s="100"/>
    </row>
    <row r="1610" spans="3:8">
      <c r="C1610" s="100"/>
      <c r="D1610" s="100"/>
      <c r="E1610" s="100"/>
      <c r="F1610" s="100"/>
      <c r="G1610" s="100"/>
      <c r="H1610" s="100"/>
    </row>
    <row r="1611" spans="3:8">
      <c r="C1611" s="100"/>
      <c r="D1611" s="100"/>
      <c r="E1611" s="100"/>
      <c r="F1611" s="100"/>
      <c r="G1611" s="100"/>
      <c r="H1611" s="100"/>
    </row>
    <row r="1612" spans="3:8">
      <c r="C1612" s="100"/>
      <c r="D1612" s="100"/>
      <c r="E1612" s="100"/>
      <c r="F1612" s="100"/>
      <c r="G1612" s="100"/>
      <c r="H1612" s="100"/>
    </row>
    <row r="1613" spans="3:8">
      <c r="C1613" s="100"/>
      <c r="D1613" s="100"/>
      <c r="E1613" s="100"/>
      <c r="F1613" s="100"/>
      <c r="G1613" s="100"/>
      <c r="H1613" s="100"/>
    </row>
    <row r="1614" spans="3:8">
      <c r="C1614" s="100"/>
      <c r="D1614" s="100"/>
      <c r="E1614" s="100"/>
      <c r="F1614" s="100"/>
      <c r="G1614" s="100"/>
      <c r="H1614" s="100"/>
    </row>
    <row r="1615" spans="3:8">
      <c r="C1615" s="100"/>
      <c r="D1615" s="100"/>
      <c r="E1615" s="100"/>
      <c r="F1615" s="100"/>
      <c r="G1615" s="100"/>
      <c r="H1615" s="100"/>
    </row>
    <row r="1616" spans="3:8">
      <c r="C1616" s="100"/>
      <c r="D1616" s="100"/>
      <c r="E1616" s="100"/>
      <c r="F1616" s="100"/>
      <c r="G1616" s="100"/>
      <c r="H1616" s="100"/>
    </row>
    <row r="1617" spans="3:8">
      <c r="C1617" s="100"/>
      <c r="D1617" s="100"/>
      <c r="E1617" s="100"/>
      <c r="F1617" s="100"/>
      <c r="G1617" s="100"/>
      <c r="H1617" s="100"/>
    </row>
    <row r="1618" spans="3:8">
      <c r="C1618" s="100"/>
      <c r="D1618" s="100"/>
      <c r="E1618" s="100"/>
      <c r="F1618" s="100"/>
      <c r="G1618" s="100"/>
      <c r="H1618" s="100"/>
    </row>
    <row r="1619" spans="3:8">
      <c r="C1619" s="100"/>
      <c r="D1619" s="100"/>
      <c r="E1619" s="100"/>
      <c r="F1619" s="100"/>
      <c r="G1619" s="100"/>
      <c r="H1619" s="100"/>
    </row>
    <row r="1620" spans="3:8">
      <c r="C1620" s="100"/>
      <c r="D1620" s="100"/>
      <c r="E1620" s="100"/>
      <c r="F1620" s="100"/>
      <c r="G1620" s="100"/>
      <c r="H1620" s="100"/>
    </row>
    <row r="1621" spans="3:8">
      <c r="C1621" s="100"/>
      <c r="D1621" s="100"/>
      <c r="E1621" s="100"/>
      <c r="F1621" s="100"/>
      <c r="G1621" s="100"/>
      <c r="H1621" s="100"/>
    </row>
    <row r="1622" spans="3:8">
      <c r="C1622" s="100"/>
      <c r="D1622" s="100"/>
      <c r="E1622" s="100"/>
      <c r="F1622" s="100"/>
      <c r="G1622" s="100"/>
      <c r="H1622" s="100"/>
    </row>
    <row r="1623" spans="3:8">
      <c r="C1623" s="100"/>
      <c r="D1623" s="100"/>
      <c r="E1623" s="100"/>
      <c r="F1623" s="100"/>
      <c r="G1623" s="100"/>
      <c r="H1623" s="100"/>
    </row>
    <row r="1624" spans="3:8">
      <c r="C1624" s="100"/>
      <c r="D1624" s="100"/>
      <c r="E1624" s="100"/>
      <c r="F1624" s="100"/>
      <c r="G1624" s="100"/>
      <c r="H1624" s="100"/>
    </row>
    <row r="1625" spans="3:8">
      <c r="C1625" s="100"/>
      <c r="D1625" s="100"/>
      <c r="E1625" s="100"/>
      <c r="F1625" s="100"/>
      <c r="G1625" s="100"/>
      <c r="H1625" s="100"/>
    </row>
    <row r="1626" spans="3:8">
      <c r="C1626" s="100"/>
      <c r="D1626" s="100"/>
      <c r="E1626" s="100"/>
      <c r="F1626" s="100"/>
      <c r="G1626" s="100"/>
      <c r="H1626" s="100"/>
    </row>
    <row r="1627" spans="3:8">
      <c r="C1627" s="100"/>
      <c r="D1627" s="100"/>
      <c r="E1627" s="100"/>
      <c r="F1627" s="100"/>
      <c r="G1627" s="100"/>
      <c r="H1627" s="100"/>
    </row>
    <row r="1628" spans="3:8">
      <c r="C1628" s="100"/>
      <c r="D1628" s="100"/>
      <c r="E1628" s="100"/>
      <c r="F1628" s="100"/>
      <c r="G1628" s="100"/>
      <c r="H1628" s="100"/>
    </row>
    <row r="1629" spans="3:8">
      <c r="C1629" s="100"/>
      <c r="D1629" s="100"/>
      <c r="E1629" s="100"/>
      <c r="F1629" s="100"/>
      <c r="G1629" s="100"/>
      <c r="H1629" s="100"/>
    </row>
    <row r="1630" spans="3:8">
      <c r="C1630" s="100"/>
      <c r="D1630" s="100"/>
      <c r="E1630" s="100"/>
      <c r="F1630" s="100"/>
      <c r="G1630" s="100"/>
      <c r="H1630" s="100"/>
    </row>
    <row r="1631" spans="3:8">
      <c r="C1631" s="100"/>
      <c r="D1631" s="100"/>
      <c r="E1631" s="100"/>
      <c r="F1631" s="100"/>
      <c r="G1631" s="100"/>
      <c r="H1631" s="100"/>
    </row>
    <row r="1632" spans="3:8">
      <c r="C1632" s="100"/>
      <c r="D1632" s="100"/>
      <c r="E1632" s="100"/>
      <c r="F1632" s="100"/>
      <c r="G1632" s="100"/>
      <c r="H1632" s="100"/>
    </row>
    <row r="1633" spans="3:8">
      <c r="C1633" s="100"/>
      <c r="D1633" s="100"/>
      <c r="E1633" s="100"/>
      <c r="F1633" s="100"/>
      <c r="G1633" s="100"/>
      <c r="H1633" s="100"/>
    </row>
    <row r="1634" spans="3:8">
      <c r="C1634" s="100"/>
      <c r="D1634" s="100"/>
      <c r="E1634" s="100"/>
      <c r="F1634" s="100"/>
      <c r="G1634" s="100"/>
      <c r="H1634" s="100"/>
    </row>
    <row r="1635" spans="3:8">
      <c r="C1635" s="100"/>
      <c r="D1635" s="100"/>
      <c r="E1635" s="100"/>
      <c r="F1635" s="100"/>
      <c r="G1635" s="100"/>
      <c r="H1635" s="100"/>
    </row>
    <row r="1636" spans="3:8">
      <c r="C1636" s="100"/>
      <c r="D1636" s="100"/>
      <c r="E1636" s="100"/>
      <c r="F1636" s="100"/>
      <c r="G1636" s="100"/>
      <c r="H1636" s="100"/>
    </row>
    <row r="1637" spans="3:8">
      <c r="C1637" s="100"/>
      <c r="D1637" s="100"/>
      <c r="E1637" s="100"/>
      <c r="F1637" s="100"/>
      <c r="G1637" s="100"/>
      <c r="H1637" s="100"/>
    </row>
    <row r="1638" spans="3:8">
      <c r="C1638" s="100"/>
      <c r="D1638" s="100"/>
      <c r="E1638" s="100"/>
      <c r="F1638" s="100"/>
      <c r="G1638" s="100"/>
      <c r="H1638" s="100"/>
    </row>
    <row r="1639" spans="3:8">
      <c r="C1639" s="100"/>
      <c r="D1639" s="100"/>
      <c r="E1639" s="100"/>
      <c r="F1639" s="100"/>
      <c r="G1639" s="100"/>
      <c r="H1639" s="100"/>
    </row>
    <row r="1640" spans="3:8">
      <c r="C1640" s="100"/>
      <c r="D1640" s="100"/>
      <c r="E1640" s="100"/>
      <c r="F1640" s="100"/>
      <c r="G1640" s="100"/>
      <c r="H1640" s="100"/>
    </row>
    <row r="1641" spans="3:8">
      <c r="C1641" s="100"/>
      <c r="D1641" s="100"/>
      <c r="E1641" s="100"/>
      <c r="F1641" s="100"/>
      <c r="G1641" s="100"/>
      <c r="H1641" s="100"/>
    </row>
    <row r="1642" spans="3:8">
      <c r="C1642" s="100"/>
      <c r="D1642" s="100"/>
      <c r="E1642" s="100"/>
      <c r="F1642" s="100"/>
      <c r="G1642" s="100"/>
      <c r="H1642" s="100"/>
    </row>
    <row r="1643" spans="3:8">
      <c r="C1643" s="100"/>
      <c r="D1643" s="100"/>
      <c r="E1643" s="100"/>
      <c r="F1643" s="100"/>
      <c r="G1643" s="100"/>
      <c r="H1643" s="100"/>
    </row>
    <row r="1644" spans="3:8">
      <c r="C1644" s="100"/>
      <c r="D1644" s="100"/>
      <c r="E1644" s="100"/>
      <c r="F1644" s="100"/>
      <c r="G1644" s="100"/>
      <c r="H1644" s="100"/>
    </row>
    <row r="1645" spans="3:8">
      <c r="C1645" s="100"/>
      <c r="D1645" s="100"/>
      <c r="E1645" s="100"/>
      <c r="F1645" s="100"/>
      <c r="G1645" s="100"/>
      <c r="H1645" s="100"/>
    </row>
    <row r="1646" spans="3:8">
      <c r="C1646" s="100"/>
      <c r="D1646" s="100"/>
      <c r="E1646" s="100"/>
      <c r="F1646" s="100"/>
      <c r="G1646" s="100"/>
      <c r="H1646" s="100"/>
    </row>
    <row r="1647" spans="3:8">
      <c r="C1647" s="100"/>
      <c r="D1647" s="100"/>
      <c r="E1647" s="100"/>
      <c r="F1647" s="100"/>
      <c r="G1647" s="100"/>
      <c r="H1647" s="100"/>
    </row>
    <row r="1648" spans="3:8">
      <c r="C1648" s="100"/>
      <c r="D1648" s="100"/>
      <c r="E1648" s="100"/>
      <c r="F1648" s="100"/>
      <c r="G1648" s="100"/>
      <c r="H1648" s="100"/>
    </row>
    <row r="1649" spans="3:8">
      <c r="C1649" s="100"/>
      <c r="D1649" s="100"/>
      <c r="E1649" s="100"/>
      <c r="F1649" s="100"/>
      <c r="G1649" s="100"/>
      <c r="H1649" s="100"/>
    </row>
    <row r="1650" spans="3:8">
      <c r="C1650" s="100"/>
      <c r="D1650" s="100"/>
      <c r="E1650" s="100"/>
      <c r="F1650" s="100"/>
      <c r="G1650" s="100"/>
      <c r="H1650" s="100"/>
    </row>
    <row r="1651" spans="3:8">
      <c r="C1651" s="100"/>
      <c r="D1651" s="100"/>
      <c r="E1651" s="100"/>
      <c r="F1651" s="100"/>
      <c r="G1651" s="100"/>
      <c r="H1651" s="100"/>
    </row>
    <row r="1652" spans="3:8">
      <c r="C1652" s="100"/>
      <c r="D1652" s="100"/>
      <c r="E1652" s="100"/>
      <c r="F1652" s="100"/>
      <c r="G1652" s="100"/>
      <c r="H1652" s="100"/>
    </row>
    <row r="1653" spans="3:8">
      <c r="C1653" s="100"/>
      <c r="D1653" s="100"/>
      <c r="E1653" s="100"/>
      <c r="F1653" s="100"/>
      <c r="G1653" s="100"/>
      <c r="H1653" s="100"/>
    </row>
    <row r="1654" spans="3:8">
      <c r="C1654" s="100"/>
      <c r="D1654" s="100"/>
      <c r="E1654" s="100"/>
      <c r="F1654" s="100"/>
      <c r="G1654" s="100"/>
      <c r="H1654" s="100"/>
    </row>
    <row r="1655" spans="3:8">
      <c r="C1655" s="100"/>
      <c r="D1655" s="100"/>
      <c r="E1655" s="100"/>
      <c r="F1655" s="100"/>
      <c r="G1655" s="100"/>
      <c r="H1655" s="100"/>
    </row>
    <row r="1656" spans="3:8">
      <c r="C1656" s="100"/>
      <c r="D1656" s="100"/>
      <c r="E1656" s="100"/>
      <c r="F1656" s="100"/>
      <c r="G1656" s="100"/>
      <c r="H1656" s="100"/>
    </row>
    <row r="1657" spans="3:8">
      <c r="C1657" s="100"/>
      <c r="D1657" s="100"/>
      <c r="E1657" s="100"/>
      <c r="F1657" s="100"/>
      <c r="G1657" s="100"/>
      <c r="H1657" s="100"/>
    </row>
    <row r="1658" spans="3:8">
      <c r="C1658" s="100"/>
      <c r="D1658" s="100"/>
      <c r="E1658" s="100"/>
      <c r="F1658" s="100"/>
      <c r="G1658" s="100"/>
      <c r="H1658" s="100"/>
    </row>
    <row r="1659" spans="3:8">
      <c r="C1659" s="100"/>
      <c r="D1659" s="100"/>
      <c r="E1659" s="100"/>
      <c r="F1659" s="100"/>
      <c r="G1659" s="100"/>
      <c r="H1659" s="100"/>
    </row>
    <row r="1660" spans="3:8">
      <c r="C1660" s="100"/>
      <c r="D1660" s="100"/>
      <c r="E1660" s="100"/>
      <c r="F1660" s="100"/>
      <c r="G1660" s="100"/>
      <c r="H1660" s="100"/>
    </row>
    <row r="1661" spans="3:8">
      <c r="C1661" s="100"/>
      <c r="D1661" s="100"/>
      <c r="E1661" s="100"/>
      <c r="F1661" s="100"/>
      <c r="G1661" s="100"/>
      <c r="H1661" s="100"/>
    </row>
    <row r="1662" spans="3:8">
      <c r="C1662" s="100"/>
      <c r="D1662" s="100"/>
      <c r="E1662" s="100"/>
      <c r="F1662" s="100"/>
      <c r="G1662" s="100"/>
      <c r="H1662" s="100"/>
    </row>
    <row r="1663" spans="3:8">
      <c r="C1663" s="100"/>
      <c r="D1663" s="100"/>
      <c r="E1663" s="100"/>
      <c r="F1663" s="100"/>
      <c r="G1663" s="100"/>
      <c r="H1663" s="100"/>
    </row>
    <row r="1664" spans="3:8">
      <c r="C1664" s="100"/>
      <c r="D1664" s="100"/>
      <c r="E1664" s="100"/>
      <c r="F1664" s="100"/>
      <c r="G1664" s="100"/>
      <c r="H1664" s="100"/>
    </row>
    <row r="1665" spans="3:8">
      <c r="C1665" s="100"/>
      <c r="D1665" s="100"/>
      <c r="E1665" s="100"/>
      <c r="F1665" s="100"/>
      <c r="G1665" s="100"/>
      <c r="H1665" s="100"/>
    </row>
    <row r="1666" spans="3:8">
      <c r="C1666" s="100"/>
      <c r="D1666" s="100"/>
      <c r="E1666" s="100"/>
      <c r="F1666" s="100"/>
      <c r="G1666" s="100"/>
      <c r="H1666" s="100"/>
    </row>
    <row r="1667" spans="3:8">
      <c r="C1667" s="100"/>
      <c r="D1667" s="100"/>
      <c r="E1667" s="100"/>
      <c r="F1667" s="100"/>
      <c r="G1667" s="100"/>
      <c r="H1667" s="100"/>
    </row>
    <row r="1668" spans="3:8">
      <c r="C1668" s="100"/>
      <c r="D1668" s="100"/>
      <c r="E1668" s="100"/>
      <c r="F1668" s="100"/>
      <c r="G1668" s="100"/>
      <c r="H1668" s="100"/>
    </row>
    <row r="1669" spans="3:8">
      <c r="C1669" s="100"/>
      <c r="D1669" s="100"/>
      <c r="E1669" s="100"/>
      <c r="F1669" s="100"/>
      <c r="G1669" s="100"/>
      <c r="H1669" s="100"/>
    </row>
    <row r="1670" spans="3:8">
      <c r="C1670" s="100"/>
      <c r="D1670" s="100"/>
      <c r="E1670" s="100"/>
      <c r="F1670" s="100"/>
      <c r="G1670" s="100"/>
      <c r="H1670" s="100"/>
    </row>
    <row r="1671" spans="3:8">
      <c r="C1671" s="100"/>
      <c r="D1671" s="100"/>
      <c r="E1671" s="100"/>
      <c r="F1671" s="100"/>
      <c r="G1671" s="100"/>
      <c r="H1671" s="100"/>
    </row>
    <row r="1672" spans="3:8">
      <c r="C1672" s="100"/>
      <c r="D1672" s="100"/>
      <c r="E1672" s="100"/>
      <c r="F1672" s="100"/>
      <c r="G1672" s="100"/>
      <c r="H1672" s="100"/>
    </row>
    <row r="1673" spans="3:8">
      <c r="C1673" s="100"/>
      <c r="D1673" s="100"/>
      <c r="E1673" s="100"/>
      <c r="F1673" s="100"/>
      <c r="G1673" s="100"/>
      <c r="H1673" s="100"/>
    </row>
    <row r="1674" spans="3:8">
      <c r="C1674" s="100"/>
      <c r="D1674" s="100"/>
      <c r="E1674" s="100"/>
      <c r="F1674" s="100"/>
      <c r="G1674" s="100"/>
      <c r="H1674" s="100"/>
    </row>
    <row r="1675" spans="3:8">
      <c r="C1675" s="100"/>
      <c r="D1675" s="100"/>
      <c r="E1675" s="100"/>
      <c r="F1675" s="100"/>
      <c r="G1675" s="100"/>
      <c r="H1675" s="100"/>
    </row>
    <row r="1676" spans="3:8">
      <c r="C1676" s="100"/>
      <c r="D1676" s="100"/>
      <c r="E1676" s="100"/>
      <c r="F1676" s="100"/>
      <c r="G1676" s="100"/>
      <c r="H1676" s="100"/>
    </row>
    <row r="1677" spans="3:8">
      <c r="C1677" s="100"/>
      <c r="D1677" s="100"/>
      <c r="E1677" s="100"/>
      <c r="F1677" s="100"/>
      <c r="G1677" s="100"/>
      <c r="H1677" s="100"/>
    </row>
    <row r="1678" spans="3:8">
      <c r="C1678" s="100"/>
      <c r="D1678" s="100"/>
      <c r="E1678" s="100"/>
      <c r="F1678" s="100"/>
      <c r="G1678" s="100"/>
      <c r="H1678" s="100"/>
    </row>
    <row r="1679" spans="3:8">
      <c r="C1679" s="100"/>
      <c r="D1679" s="100"/>
      <c r="E1679" s="100"/>
      <c r="F1679" s="100"/>
      <c r="G1679" s="100"/>
      <c r="H1679" s="100"/>
    </row>
    <row r="1680" spans="3:8">
      <c r="C1680" s="100"/>
      <c r="D1680" s="100"/>
      <c r="E1680" s="100"/>
      <c r="F1680" s="100"/>
      <c r="G1680" s="100"/>
      <c r="H1680" s="100"/>
    </row>
    <row r="1681" spans="3:8">
      <c r="C1681" s="100"/>
      <c r="D1681" s="100"/>
      <c r="E1681" s="100"/>
      <c r="F1681" s="100"/>
      <c r="G1681" s="100"/>
      <c r="H1681" s="100"/>
    </row>
    <row r="1682" spans="3:8">
      <c r="C1682" s="100"/>
      <c r="D1682" s="100"/>
      <c r="E1682" s="100"/>
      <c r="F1682" s="100"/>
      <c r="G1682" s="100"/>
      <c r="H1682" s="100"/>
    </row>
    <row r="1683" spans="3:8">
      <c r="C1683" s="100"/>
      <c r="D1683" s="100"/>
      <c r="E1683" s="100"/>
      <c r="F1683" s="100"/>
      <c r="G1683" s="100"/>
      <c r="H1683" s="100"/>
    </row>
    <row r="1684" spans="3:8">
      <c r="C1684" s="100"/>
      <c r="D1684" s="100"/>
      <c r="E1684" s="100"/>
      <c r="F1684" s="100"/>
      <c r="G1684" s="100"/>
      <c r="H1684" s="100"/>
    </row>
    <row r="1685" spans="3:8">
      <c r="C1685" s="100"/>
      <c r="D1685" s="100"/>
      <c r="E1685" s="100"/>
      <c r="F1685" s="100"/>
      <c r="G1685" s="100"/>
      <c r="H1685" s="100"/>
    </row>
    <row r="1686" spans="3:8">
      <c r="C1686" s="100"/>
      <c r="D1686" s="100"/>
      <c r="E1686" s="100"/>
      <c r="F1686" s="100"/>
      <c r="G1686" s="100"/>
      <c r="H1686" s="100"/>
    </row>
    <row r="1687" spans="3:8">
      <c r="C1687" s="100"/>
      <c r="D1687" s="100"/>
      <c r="E1687" s="100"/>
      <c r="F1687" s="100"/>
      <c r="G1687" s="100"/>
      <c r="H1687" s="100"/>
    </row>
    <row r="1688" spans="3:8">
      <c r="C1688" s="100"/>
      <c r="D1688" s="100"/>
      <c r="E1688" s="100"/>
      <c r="F1688" s="100"/>
      <c r="G1688" s="100"/>
      <c r="H1688" s="100"/>
    </row>
    <row r="1689" spans="3:8">
      <c r="C1689" s="100"/>
      <c r="D1689" s="100"/>
      <c r="E1689" s="100"/>
      <c r="F1689" s="100"/>
      <c r="G1689" s="100"/>
      <c r="H1689" s="100"/>
    </row>
    <row r="1690" spans="3:8">
      <c r="C1690" s="100"/>
      <c r="D1690" s="100"/>
      <c r="E1690" s="100"/>
      <c r="F1690" s="100"/>
      <c r="G1690" s="100"/>
      <c r="H1690" s="100"/>
    </row>
    <row r="1691" spans="3:8">
      <c r="C1691" s="100"/>
      <c r="D1691" s="100"/>
      <c r="E1691" s="100"/>
      <c r="F1691" s="100"/>
      <c r="G1691" s="100"/>
      <c r="H1691" s="100"/>
    </row>
    <row r="1692" spans="3:8">
      <c r="C1692" s="100"/>
      <c r="D1692" s="100"/>
      <c r="E1692" s="100"/>
      <c r="F1692" s="100"/>
      <c r="G1692" s="100"/>
      <c r="H1692" s="100"/>
    </row>
    <row r="1693" spans="3:8">
      <c r="C1693" s="100"/>
      <c r="D1693" s="100"/>
      <c r="E1693" s="100"/>
      <c r="F1693" s="100"/>
      <c r="G1693" s="100"/>
      <c r="H1693" s="100"/>
    </row>
    <row r="1694" spans="3:8">
      <c r="C1694" s="100"/>
      <c r="D1694" s="100"/>
      <c r="E1694" s="100"/>
      <c r="F1694" s="100"/>
      <c r="G1694" s="100"/>
      <c r="H1694" s="100"/>
    </row>
    <row r="1695" spans="3:8">
      <c r="C1695" s="100"/>
      <c r="D1695" s="100"/>
      <c r="E1695" s="100"/>
      <c r="F1695" s="100"/>
      <c r="G1695" s="100"/>
      <c r="H1695" s="100"/>
    </row>
    <row r="1696" spans="3:8">
      <c r="C1696" s="100"/>
      <c r="D1696" s="100"/>
      <c r="E1696" s="100"/>
      <c r="F1696" s="100"/>
      <c r="G1696" s="100"/>
      <c r="H1696" s="100"/>
    </row>
    <row r="1697" spans="3:8">
      <c r="C1697" s="100"/>
      <c r="D1697" s="100"/>
      <c r="E1697" s="100"/>
      <c r="F1697" s="100"/>
      <c r="G1697" s="100"/>
      <c r="H1697" s="100"/>
    </row>
    <row r="1698" spans="3:8">
      <c r="C1698" s="100"/>
      <c r="D1698" s="100"/>
      <c r="E1698" s="100"/>
      <c r="F1698" s="100"/>
      <c r="G1698" s="100"/>
      <c r="H1698" s="100"/>
    </row>
    <row r="1699" spans="3:8">
      <c r="C1699" s="100"/>
      <c r="D1699" s="100"/>
      <c r="E1699" s="100"/>
      <c r="F1699" s="100"/>
      <c r="G1699" s="100"/>
      <c r="H1699" s="100"/>
    </row>
    <row r="1700" spans="3:8">
      <c r="C1700" s="100"/>
      <c r="D1700" s="100"/>
      <c r="E1700" s="100"/>
      <c r="F1700" s="100"/>
      <c r="G1700" s="100"/>
      <c r="H1700" s="100"/>
    </row>
    <row r="1701" spans="3:8">
      <c r="C1701" s="100"/>
      <c r="D1701" s="100"/>
      <c r="E1701" s="100"/>
      <c r="F1701" s="100"/>
      <c r="G1701" s="100"/>
      <c r="H1701" s="100"/>
    </row>
    <row r="1702" spans="3:8">
      <c r="C1702" s="100"/>
      <c r="D1702" s="100"/>
      <c r="E1702" s="100"/>
      <c r="F1702" s="100"/>
      <c r="G1702" s="100"/>
      <c r="H1702" s="100"/>
    </row>
    <row r="1703" spans="3:8">
      <c r="C1703" s="100"/>
      <c r="D1703" s="100"/>
      <c r="E1703" s="100"/>
      <c r="F1703" s="100"/>
      <c r="G1703" s="100"/>
      <c r="H1703" s="100"/>
    </row>
    <row r="1704" spans="3:8">
      <c r="C1704" s="100"/>
      <c r="D1704" s="100"/>
      <c r="E1704" s="100"/>
      <c r="F1704" s="100"/>
      <c r="G1704" s="100"/>
      <c r="H1704" s="100"/>
    </row>
    <row r="1705" spans="3:8">
      <c r="C1705" s="100"/>
      <c r="D1705" s="100"/>
      <c r="E1705" s="100"/>
      <c r="F1705" s="100"/>
      <c r="G1705" s="100"/>
      <c r="H1705" s="100"/>
    </row>
    <row r="1706" spans="3:8">
      <c r="C1706" s="100"/>
      <c r="D1706" s="100"/>
      <c r="E1706" s="100"/>
      <c r="F1706" s="100"/>
      <c r="G1706" s="100"/>
      <c r="H1706" s="100"/>
    </row>
    <row r="1707" spans="3:8">
      <c r="C1707" s="100"/>
      <c r="D1707" s="100"/>
      <c r="E1707" s="100"/>
      <c r="F1707" s="100"/>
      <c r="G1707" s="100"/>
      <c r="H1707" s="100"/>
    </row>
    <row r="1708" spans="3:8">
      <c r="C1708" s="100"/>
      <c r="D1708" s="100"/>
      <c r="E1708" s="100"/>
      <c r="F1708" s="100"/>
      <c r="G1708" s="100"/>
      <c r="H1708" s="100"/>
    </row>
    <row r="1709" spans="3:8">
      <c r="C1709" s="100"/>
      <c r="D1709" s="100"/>
      <c r="E1709" s="100"/>
      <c r="F1709" s="100"/>
      <c r="G1709" s="100"/>
      <c r="H1709" s="100"/>
    </row>
    <row r="1710" spans="3:8">
      <c r="C1710" s="100"/>
      <c r="D1710" s="100"/>
      <c r="E1710" s="100"/>
      <c r="F1710" s="100"/>
      <c r="G1710" s="100"/>
      <c r="H1710" s="100"/>
    </row>
    <row r="1711" spans="3:8">
      <c r="C1711" s="100"/>
      <c r="D1711" s="100"/>
      <c r="E1711" s="100"/>
      <c r="F1711" s="100"/>
      <c r="G1711" s="100"/>
      <c r="H1711" s="100"/>
    </row>
    <row r="1712" spans="3:8">
      <c r="C1712" s="100"/>
      <c r="D1712" s="100"/>
      <c r="E1712" s="100"/>
      <c r="F1712" s="100"/>
      <c r="G1712" s="100"/>
      <c r="H1712" s="100"/>
    </row>
    <row r="1713" spans="3:8">
      <c r="C1713" s="100"/>
      <c r="D1713" s="100"/>
      <c r="E1713" s="100"/>
      <c r="F1713" s="100"/>
      <c r="G1713" s="100"/>
      <c r="H1713" s="100"/>
    </row>
    <row r="1714" spans="3:8">
      <c r="C1714" s="100"/>
      <c r="D1714" s="100"/>
      <c r="E1714" s="100"/>
      <c r="F1714" s="100"/>
      <c r="G1714" s="100"/>
      <c r="H1714" s="100"/>
    </row>
    <row r="1715" spans="3:8">
      <c r="C1715" s="100"/>
      <c r="D1715" s="100"/>
      <c r="E1715" s="100"/>
      <c r="F1715" s="100"/>
      <c r="G1715" s="100"/>
      <c r="H1715" s="100"/>
    </row>
    <row r="1716" spans="3:8">
      <c r="C1716" s="100"/>
      <c r="D1716" s="100"/>
      <c r="E1716" s="100"/>
      <c r="F1716" s="100"/>
      <c r="G1716" s="100"/>
      <c r="H1716" s="100"/>
    </row>
    <row r="1717" spans="3:8">
      <c r="C1717" s="100"/>
      <c r="D1717" s="100"/>
      <c r="E1717" s="100"/>
      <c r="F1717" s="100"/>
      <c r="G1717" s="100"/>
      <c r="H1717" s="100"/>
    </row>
    <row r="1718" spans="3:8">
      <c r="C1718" s="100"/>
      <c r="D1718" s="100"/>
      <c r="E1718" s="100"/>
      <c r="F1718" s="100"/>
      <c r="G1718" s="100"/>
      <c r="H1718" s="100"/>
    </row>
    <row r="1719" spans="3:8">
      <c r="C1719" s="100"/>
      <c r="D1719" s="100"/>
      <c r="E1719" s="100"/>
      <c r="F1719" s="100"/>
      <c r="G1719" s="100"/>
      <c r="H1719" s="100"/>
    </row>
    <row r="1720" spans="3:8">
      <c r="C1720" s="100"/>
      <c r="D1720" s="100"/>
      <c r="E1720" s="100"/>
      <c r="F1720" s="100"/>
      <c r="G1720" s="100"/>
      <c r="H1720" s="100"/>
    </row>
    <row r="1721" spans="3:8">
      <c r="C1721" s="100"/>
      <c r="D1721" s="100"/>
      <c r="E1721" s="100"/>
      <c r="F1721" s="100"/>
      <c r="G1721" s="100"/>
      <c r="H1721" s="100"/>
    </row>
    <row r="1722" spans="3:8">
      <c r="C1722" s="100"/>
      <c r="D1722" s="100"/>
      <c r="E1722" s="100"/>
      <c r="F1722" s="100"/>
      <c r="G1722" s="100"/>
      <c r="H1722" s="100"/>
    </row>
    <row r="1723" spans="3:8">
      <c r="C1723" s="100"/>
      <c r="D1723" s="100"/>
      <c r="E1723" s="100"/>
      <c r="F1723" s="100"/>
      <c r="G1723" s="100"/>
      <c r="H1723" s="100"/>
    </row>
    <row r="1724" spans="3:8">
      <c r="C1724" s="100"/>
      <c r="D1724" s="100"/>
      <c r="E1724" s="100"/>
      <c r="F1724" s="100"/>
      <c r="G1724" s="100"/>
      <c r="H1724" s="100"/>
    </row>
    <row r="1725" spans="3:8">
      <c r="C1725" s="100"/>
      <c r="D1725" s="100"/>
      <c r="E1725" s="100"/>
      <c r="F1725" s="100"/>
      <c r="G1725" s="100"/>
      <c r="H1725" s="100"/>
    </row>
    <row r="1726" spans="3:8">
      <c r="C1726" s="100"/>
      <c r="D1726" s="100"/>
      <c r="E1726" s="100"/>
      <c r="F1726" s="100"/>
      <c r="G1726" s="100"/>
      <c r="H1726" s="100"/>
    </row>
    <row r="1727" spans="3:8">
      <c r="C1727" s="100"/>
      <c r="D1727" s="100"/>
      <c r="E1727" s="100"/>
      <c r="F1727" s="100"/>
      <c r="G1727" s="100"/>
      <c r="H1727" s="100"/>
    </row>
    <row r="1728" spans="3:8">
      <c r="C1728" s="100"/>
      <c r="D1728" s="100"/>
      <c r="E1728" s="100"/>
      <c r="F1728" s="100"/>
      <c r="G1728" s="100"/>
      <c r="H1728" s="100"/>
    </row>
    <row r="1729" spans="3:8">
      <c r="C1729" s="100"/>
      <c r="D1729" s="100"/>
      <c r="E1729" s="100"/>
      <c r="F1729" s="100"/>
      <c r="G1729" s="100"/>
      <c r="H1729" s="100"/>
    </row>
    <row r="1730" spans="3:8">
      <c r="C1730" s="100"/>
      <c r="D1730" s="100"/>
      <c r="E1730" s="100"/>
      <c r="F1730" s="100"/>
      <c r="G1730" s="100"/>
      <c r="H1730" s="100"/>
    </row>
    <row r="1731" spans="3:8">
      <c r="C1731" s="100"/>
      <c r="D1731" s="100"/>
      <c r="E1731" s="100"/>
      <c r="F1731" s="100"/>
      <c r="G1731" s="100"/>
      <c r="H1731" s="100"/>
    </row>
    <row r="1732" spans="3:8">
      <c r="C1732" s="100"/>
      <c r="D1732" s="100"/>
      <c r="E1732" s="100"/>
      <c r="F1732" s="100"/>
      <c r="G1732" s="100"/>
      <c r="H1732" s="100"/>
    </row>
    <row r="1733" spans="3:8">
      <c r="C1733" s="100"/>
      <c r="D1733" s="100"/>
      <c r="E1733" s="100"/>
      <c r="F1733" s="100"/>
      <c r="G1733" s="100"/>
      <c r="H1733" s="100"/>
    </row>
    <row r="1734" spans="3:8">
      <c r="C1734" s="100"/>
      <c r="D1734" s="100"/>
      <c r="E1734" s="100"/>
      <c r="F1734" s="100"/>
      <c r="G1734" s="100"/>
      <c r="H1734" s="100"/>
    </row>
    <row r="1735" spans="3:8">
      <c r="C1735" s="100"/>
      <c r="D1735" s="100"/>
      <c r="E1735" s="100"/>
      <c r="F1735" s="100"/>
      <c r="G1735" s="100"/>
      <c r="H1735" s="100"/>
    </row>
    <row r="1736" spans="3:8">
      <c r="C1736" s="100"/>
      <c r="D1736" s="100"/>
      <c r="E1736" s="100"/>
      <c r="F1736" s="100"/>
      <c r="G1736" s="100"/>
      <c r="H1736" s="100"/>
    </row>
    <row r="1737" spans="3:8">
      <c r="C1737" s="100"/>
      <c r="D1737" s="100"/>
      <c r="E1737" s="100"/>
      <c r="F1737" s="100"/>
      <c r="G1737" s="100"/>
      <c r="H1737" s="100"/>
    </row>
    <row r="1738" spans="3:8">
      <c r="C1738" s="100"/>
      <c r="D1738" s="100"/>
      <c r="E1738" s="100"/>
      <c r="F1738" s="100"/>
      <c r="G1738" s="100"/>
      <c r="H1738" s="100"/>
    </row>
    <row r="1739" spans="3:8">
      <c r="C1739" s="100"/>
      <c r="D1739" s="100"/>
      <c r="E1739" s="100"/>
      <c r="F1739" s="100"/>
      <c r="G1739" s="100"/>
      <c r="H1739" s="100"/>
    </row>
    <row r="1740" spans="3:8">
      <c r="C1740" s="100"/>
      <c r="D1740" s="100"/>
      <c r="E1740" s="100"/>
      <c r="F1740" s="100"/>
      <c r="G1740" s="100"/>
      <c r="H1740" s="100"/>
    </row>
    <row r="1741" spans="3:8">
      <c r="C1741" s="100"/>
      <c r="D1741" s="100"/>
      <c r="E1741" s="100"/>
      <c r="F1741" s="100"/>
      <c r="G1741" s="100"/>
      <c r="H1741" s="100"/>
    </row>
    <row r="1742" spans="3:8">
      <c r="C1742" s="100"/>
      <c r="D1742" s="100"/>
      <c r="E1742" s="100"/>
      <c r="F1742" s="100"/>
      <c r="G1742" s="100"/>
    </row>
    <row r="1743" spans="3:8">
      <c r="C1743" s="100"/>
      <c r="D1743" s="100"/>
    </row>
    <row r="1744" spans="3:8">
      <c r="C1744" s="100"/>
      <c r="D1744" s="100"/>
    </row>
    <row r="1745" spans="3:4">
      <c r="C1745" s="100"/>
      <c r="D1745" s="100"/>
    </row>
    <row r="1746" spans="3:4">
      <c r="C1746" s="100"/>
      <c r="D1746" s="100"/>
    </row>
    <row r="1747" spans="3:4">
      <c r="C1747" s="100"/>
      <c r="D1747" s="100"/>
    </row>
    <row r="1748" spans="3:4">
      <c r="C1748" s="100"/>
      <c r="D1748" s="100"/>
    </row>
    <row r="1749" spans="3:4">
      <c r="C1749" s="100"/>
      <c r="D1749" s="100"/>
    </row>
    <row r="1750" spans="3:4">
      <c r="C1750" s="100"/>
      <c r="D1750" s="100"/>
    </row>
    <row r="1751" spans="3:4">
      <c r="C1751" s="100"/>
      <c r="D1751" s="100"/>
    </row>
    <row r="1752" spans="3:4">
      <c r="C1752" s="100"/>
      <c r="D1752" s="100"/>
    </row>
    <row r="1753" spans="3:4">
      <c r="C1753" s="100"/>
      <c r="D1753" s="100"/>
    </row>
    <row r="1754" spans="3:4">
      <c r="C1754" s="100"/>
      <c r="D1754" s="100"/>
    </row>
    <row r="1755" spans="3:4">
      <c r="C1755" s="100"/>
      <c r="D1755" s="100"/>
    </row>
    <row r="1756" spans="3:4">
      <c r="C1756" s="100"/>
      <c r="D1756" s="100"/>
    </row>
    <row r="1757" spans="3:4">
      <c r="C1757" s="100"/>
      <c r="D1757" s="100"/>
    </row>
    <row r="1758" spans="3:4">
      <c r="C1758" s="100"/>
      <c r="D1758" s="100"/>
    </row>
    <row r="1759" spans="3:4">
      <c r="C1759" s="100"/>
      <c r="D1759" s="100"/>
    </row>
    <row r="1760" spans="3:4">
      <c r="C1760" s="100"/>
      <c r="D1760" s="100"/>
    </row>
    <row r="1761" spans="3:4">
      <c r="C1761" s="100"/>
      <c r="D1761" s="100"/>
    </row>
    <row r="1762" spans="3:4">
      <c r="C1762" s="100"/>
      <c r="D1762" s="100"/>
    </row>
    <row r="1763" spans="3:4">
      <c r="C1763" s="100"/>
      <c r="D1763" s="100"/>
    </row>
    <row r="1764" spans="3:4">
      <c r="C1764" s="100"/>
      <c r="D1764" s="100"/>
    </row>
    <row r="1765" spans="3:4">
      <c r="C1765" s="100"/>
      <c r="D1765" s="100"/>
    </row>
    <row r="1766" spans="3:4">
      <c r="C1766" s="100"/>
      <c r="D1766" s="100"/>
    </row>
    <row r="1767" spans="3:4">
      <c r="C1767" s="100"/>
      <c r="D1767" s="100"/>
    </row>
    <row r="1768" spans="3:4">
      <c r="C1768" s="100"/>
      <c r="D1768" s="100"/>
    </row>
    <row r="1769" spans="3:4">
      <c r="C1769" s="100"/>
      <c r="D1769" s="100"/>
    </row>
    <row r="1770" spans="3:4">
      <c r="C1770" s="100"/>
      <c r="D1770" s="100"/>
    </row>
    <row r="1771" spans="3:4">
      <c r="C1771" s="100"/>
      <c r="D1771" s="100"/>
    </row>
    <row r="1772" spans="3:4">
      <c r="C1772" s="100"/>
      <c r="D1772" s="100"/>
    </row>
    <row r="1773" spans="3:4">
      <c r="C1773" s="100"/>
      <c r="D1773" s="100"/>
    </row>
    <row r="1774" spans="3:4">
      <c r="C1774" s="100"/>
      <c r="D1774" s="100"/>
    </row>
    <row r="1775" spans="3:4">
      <c r="C1775" s="100"/>
      <c r="D1775" s="100"/>
    </row>
    <row r="1776" spans="3:4">
      <c r="C1776" s="100"/>
      <c r="D1776" s="100"/>
    </row>
    <row r="1777" spans="3:4">
      <c r="C1777" s="100"/>
      <c r="D1777" s="100"/>
    </row>
    <row r="1778" spans="3:4">
      <c r="C1778" s="100"/>
      <c r="D1778" s="100"/>
    </row>
    <row r="1779" spans="3:4">
      <c r="C1779" s="100"/>
      <c r="D1779" s="100"/>
    </row>
    <row r="1780" spans="3:4">
      <c r="C1780" s="100"/>
      <c r="D1780" s="100"/>
    </row>
    <row r="1781" spans="3:4">
      <c r="C1781" s="100"/>
      <c r="D1781" s="100"/>
    </row>
    <row r="1782" spans="3:4">
      <c r="C1782" s="100"/>
      <c r="D1782" s="100"/>
    </row>
    <row r="1783" spans="3:4">
      <c r="C1783" s="100"/>
      <c r="D1783" s="100"/>
    </row>
    <row r="1784" spans="3:4">
      <c r="C1784" s="100"/>
      <c r="D1784" s="100"/>
    </row>
    <row r="1785" spans="3:4">
      <c r="C1785" s="100"/>
      <c r="D1785" s="100"/>
    </row>
    <row r="1786" spans="3:4">
      <c r="C1786" s="100"/>
      <c r="D1786" s="100"/>
    </row>
    <row r="1787" spans="3:4">
      <c r="C1787" s="100"/>
      <c r="D1787" s="100"/>
    </row>
    <row r="1788" spans="3:4">
      <c r="C1788" s="100"/>
      <c r="D1788" s="100"/>
    </row>
    <row r="1789" spans="3:4">
      <c r="C1789" s="100"/>
      <c r="D1789" s="100"/>
    </row>
    <row r="1790" spans="3:4">
      <c r="C1790" s="100"/>
      <c r="D1790" s="100"/>
    </row>
    <row r="1791" spans="3:4">
      <c r="C1791" s="100"/>
      <c r="D1791" s="100"/>
    </row>
    <row r="1792" spans="3:4">
      <c r="C1792" s="100"/>
      <c r="D1792" s="100"/>
    </row>
    <row r="1793" spans="3:4">
      <c r="C1793" s="100"/>
      <c r="D1793" s="100"/>
    </row>
    <row r="1794" spans="3:4">
      <c r="C1794" s="100"/>
      <c r="D1794" s="100"/>
    </row>
    <row r="1795" spans="3:4">
      <c r="C1795" s="100"/>
      <c r="D1795" s="100"/>
    </row>
    <row r="1796" spans="3:4">
      <c r="C1796" s="100"/>
      <c r="D1796" s="100"/>
    </row>
    <row r="1797" spans="3:4">
      <c r="C1797" s="100"/>
      <c r="D1797" s="100"/>
    </row>
    <row r="1798" spans="3:4">
      <c r="C1798" s="100"/>
      <c r="D1798" s="100"/>
    </row>
    <row r="1799" spans="3:4">
      <c r="C1799" s="100"/>
      <c r="D1799" s="100"/>
    </row>
    <row r="1800" spans="3:4">
      <c r="C1800" s="100"/>
      <c r="D1800" s="100"/>
    </row>
    <row r="1801" spans="3:4">
      <c r="C1801" s="100"/>
      <c r="D1801" s="100"/>
    </row>
    <row r="1802" spans="3:4">
      <c r="C1802" s="100"/>
      <c r="D1802" s="100"/>
    </row>
    <row r="1803" spans="3:4">
      <c r="C1803" s="100"/>
      <c r="D1803" s="100"/>
    </row>
    <row r="1804" spans="3:4">
      <c r="C1804" s="100"/>
      <c r="D1804" s="100"/>
    </row>
    <row r="1805" spans="3:4">
      <c r="C1805" s="100"/>
      <c r="D1805" s="100"/>
    </row>
    <row r="1806" spans="3:4">
      <c r="C1806" s="100"/>
      <c r="D1806" s="100"/>
    </row>
    <row r="1807" spans="3:4">
      <c r="C1807" s="100"/>
      <c r="D1807" s="100"/>
    </row>
    <row r="1808" spans="3:4">
      <c r="C1808" s="100"/>
      <c r="D1808" s="100"/>
    </row>
    <row r="1809" spans="3:4">
      <c r="C1809" s="100"/>
      <c r="D1809" s="100"/>
    </row>
    <row r="1810" spans="3:4">
      <c r="C1810" s="100"/>
      <c r="D1810" s="100"/>
    </row>
    <row r="1811" spans="3:4">
      <c r="C1811" s="100"/>
      <c r="D1811" s="100"/>
    </row>
    <row r="1812" spans="3:4">
      <c r="C1812" s="100"/>
      <c r="D1812" s="100"/>
    </row>
    <row r="1813" spans="3:4">
      <c r="C1813" s="100"/>
      <c r="D1813" s="100"/>
    </row>
    <row r="1814" spans="3:4">
      <c r="C1814" s="100"/>
      <c r="D1814" s="100"/>
    </row>
    <row r="1815" spans="3:4">
      <c r="C1815" s="100"/>
      <c r="D1815" s="100"/>
    </row>
    <row r="1816" spans="3:4">
      <c r="C1816" s="100"/>
      <c r="D1816" s="100"/>
    </row>
    <row r="1817" spans="3:4">
      <c r="C1817" s="100"/>
      <c r="D1817" s="100"/>
    </row>
    <row r="1818" spans="3:4">
      <c r="C1818" s="100"/>
      <c r="D1818" s="100"/>
    </row>
    <row r="1819" spans="3:4">
      <c r="C1819" s="100"/>
      <c r="D1819" s="100"/>
    </row>
    <row r="1820" spans="3:4">
      <c r="C1820" s="100"/>
      <c r="D1820" s="100"/>
    </row>
    <row r="1821" spans="3:4">
      <c r="C1821" s="100"/>
      <c r="D1821" s="100"/>
    </row>
    <row r="1822" spans="3:4">
      <c r="C1822" s="100"/>
      <c r="D1822" s="100"/>
    </row>
    <row r="1823" spans="3:4">
      <c r="C1823" s="100"/>
      <c r="D1823" s="100"/>
    </row>
    <row r="1824" spans="3:4">
      <c r="C1824" s="100"/>
      <c r="D1824" s="100"/>
    </row>
    <row r="1825" spans="3:4">
      <c r="C1825" s="100"/>
      <c r="D1825" s="100"/>
    </row>
    <row r="1826" spans="3:4">
      <c r="C1826" s="100"/>
      <c r="D1826" s="100"/>
    </row>
    <row r="1827" spans="3:4">
      <c r="C1827" s="100"/>
      <c r="D1827" s="100"/>
    </row>
    <row r="1828" spans="3:4">
      <c r="C1828" s="100"/>
      <c r="D1828" s="100"/>
    </row>
    <row r="1829" spans="3:4">
      <c r="C1829" s="100"/>
      <c r="D1829" s="100"/>
    </row>
    <row r="1830" spans="3:4">
      <c r="C1830" s="100"/>
      <c r="D1830" s="100"/>
    </row>
    <row r="1831" spans="3:4">
      <c r="C1831" s="100"/>
      <c r="D1831" s="100"/>
    </row>
    <row r="1832" spans="3:4">
      <c r="C1832" s="100"/>
      <c r="D1832" s="100"/>
    </row>
    <row r="1833" spans="3:4">
      <c r="C1833" s="100"/>
      <c r="D1833" s="100"/>
    </row>
    <row r="1834" spans="3:4">
      <c r="C1834" s="100"/>
      <c r="D1834" s="100"/>
    </row>
    <row r="1835" spans="3:4">
      <c r="C1835" s="100"/>
      <c r="D1835" s="100"/>
    </row>
    <row r="1836" spans="3:4">
      <c r="C1836" s="100"/>
      <c r="D1836" s="100"/>
    </row>
    <row r="1837" spans="3:4">
      <c r="C1837" s="100"/>
      <c r="D1837" s="100"/>
    </row>
    <row r="1838" spans="3:4">
      <c r="C1838" s="100"/>
      <c r="D1838" s="100"/>
    </row>
    <row r="1839" spans="3:4">
      <c r="C1839" s="100"/>
      <c r="D1839" s="100"/>
    </row>
    <row r="1840" spans="3:4">
      <c r="C1840" s="100"/>
      <c r="D1840" s="100"/>
    </row>
    <row r="1841" spans="3:4">
      <c r="C1841" s="100"/>
      <c r="D1841" s="100"/>
    </row>
    <row r="1842" spans="3:4">
      <c r="C1842" s="100"/>
      <c r="D1842" s="100"/>
    </row>
    <row r="1843" spans="3:4">
      <c r="C1843" s="100"/>
      <c r="D1843" s="100"/>
    </row>
    <row r="1844" spans="3:4">
      <c r="C1844" s="100"/>
      <c r="D1844" s="100"/>
    </row>
    <row r="1845" spans="3:4">
      <c r="C1845" s="100"/>
      <c r="D1845" s="100"/>
    </row>
    <row r="1846" spans="3:4">
      <c r="C1846" s="100"/>
      <c r="D1846" s="100"/>
    </row>
    <row r="1847" spans="3:4">
      <c r="C1847" s="100"/>
      <c r="D1847" s="100"/>
    </row>
    <row r="1848" spans="3:4">
      <c r="C1848" s="100"/>
      <c r="D1848" s="100"/>
    </row>
    <row r="1849" spans="3:4">
      <c r="C1849" s="100"/>
      <c r="D1849" s="100"/>
    </row>
    <row r="1850" spans="3:4">
      <c r="C1850" s="100"/>
      <c r="D1850" s="100"/>
    </row>
    <row r="1851" spans="3:4">
      <c r="C1851" s="100"/>
      <c r="D1851" s="100"/>
    </row>
    <row r="1852" spans="3:4">
      <c r="C1852" s="100"/>
      <c r="D1852" s="100"/>
    </row>
    <row r="1853" spans="3:4">
      <c r="C1853" s="100"/>
      <c r="D1853" s="100"/>
    </row>
    <row r="1854" spans="3:4">
      <c r="C1854" s="100"/>
      <c r="D1854" s="100"/>
    </row>
    <row r="1855" spans="3:4">
      <c r="C1855" s="100"/>
      <c r="D1855" s="100"/>
    </row>
    <row r="1856" spans="3:4">
      <c r="C1856" s="100"/>
      <c r="D1856" s="100"/>
    </row>
    <row r="1857" spans="3:4">
      <c r="C1857" s="100"/>
      <c r="D1857" s="100"/>
    </row>
    <row r="1858" spans="3:4">
      <c r="C1858" s="100"/>
      <c r="D1858" s="100"/>
    </row>
    <row r="1859" spans="3:4">
      <c r="C1859" s="100"/>
      <c r="D1859" s="100"/>
    </row>
    <row r="1860" spans="3:4">
      <c r="C1860" s="100"/>
      <c r="D1860" s="100"/>
    </row>
    <row r="1861" spans="3:4">
      <c r="C1861" s="100"/>
      <c r="D1861" s="100"/>
    </row>
    <row r="1862" spans="3:4">
      <c r="C1862" s="100"/>
      <c r="D1862" s="100"/>
    </row>
    <row r="1863" spans="3:4">
      <c r="C1863" s="100"/>
      <c r="D1863" s="100"/>
    </row>
    <row r="1864" spans="3:4">
      <c r="C1864" s="100"/>
      <c r="D1864" s="100"/>
    </row>
    <row r="1865" spans="3:4">
      <c r="C1865" s="100"/>
      <c r="D1865" s="100"/>
    </row>
    <row r="1866" spans="3:4">
      <c r="C1866" s="100"/>
      <c r="D1866" s="100"/>
    </row>
    <row r="1867" spans="3:4">
      <c r="C1867" s="100"/>
      <c r="D1867" s="100"/>
    </row>
    <row r="1868" spans="3:4">
      <c r="C1868" s="100"/>
      <c r="D1868" s="100"/>
    </row>
    <row r="1869" spans="3:4">
      <c r="C1869" s="100"/>
      <c r="D1869" s="100"/>
    </row>
    <row r="1870" spans="3:4">
      <c r="C1870" s="100"/>
      <c r="D1870" s="100"/>
    </row>
    <row r="1871" spans="3:4">
      <c r="C1871" s="100"/>
      <c r="D1871" s="100"/>
    </row>
    <row r="1872" spans="3:4">
      <c r="C1872" s="100"/>
      <c r="D1872" s="100"/>
    </row>
    <row r="1873" spans="3:4">
      <c r="C1873" s="100"/>
      <c r="D1873" s="100"/>
    </row>
    <row r="1874" spans="3:4">
      <c r="C1874" s="100"/>
      <c r="D1874" s="100"/>
    </row>
    <row r="1875" spans="3:4">
      <c r="C1875" s="100"/>
      <c r="D1875" s="100"/>
    </row>
    <row r="1876" spans="3:4">
      <c r="C1876" s="100"/>
      <c r="D1876" s="100"/>
    </row>
    <row r="1877" spans="3:4">
      <c r="C1877" s="100"/>
      <c r="D1877" s="100"/>
    </row>
    <row r="1878" spans="3:4">
      <c r="C1878" s="100"/>
      <c r="D1878" s="100"/>
    </row>
    <row r="1879" spans="3:4">
      <c r="C1879" s="100"/>
      <c r="D1879" s="100"/>
    </row>
    <row r="1880" spans="3:4">
      <c r="C1880" s="100"/>
      <c r="D1880" s="100"/>
    </row>
    <row r="1881" spans="3:4">
      <c r="C1881" s="100"/>
      <c r="D1881" s="100"/>
    </row>
    <row r="1882" spans="3:4">
      <c r="C1882" s="100"/>
      <c r="D1882" s="100"/>
    </row>
    <row r="1883" spans="3:4">
      <c r="C1883" s="100"/>
      <c r="D1883" s="100"/>
    </row>
    <row r="1884" spans="3:4">
      <c r="C1884" s="100"/>
      <c r="D1884" s="100"/>
    </row>
    <row r="1885" spans="3:4">
      <c r="C1885" s="100"/>
      <c r="D1885" s="100"/>
    </row>
    <row r="1886" spans="3:4">
      <c r="C1886" s="100"/>
      <c r="D1886" s="100"/>
    </row>
    <row r="1887" spans="3:4">
      <c r="C1887" s="100"/>
      <c r="D1887" s="100"/>
    </row>
    <row r="1888" spans="3:4">
      <c r="C1888" s="100"/>
      <c r="D1888" s="100"/>
    </row>
    <row r="1889" spans="3:4">
      <c r="C1889" s="100"/>
      <c r="D1889" s="100"/>
    </row>
    <row r="1890" spans="3:4">
      <c r="C1890" s="100"/>
      <c r="D1890" s="100"/>
    </row>
    <row r="1891" spans="3:4">
      <c r="C1891" s="100"/>
      <c r="D1891" s="100"/>
    </row>
    <row r="1892" spans="3:4">
      <c r="C1892" s="100"/>
      <c r="D1892" s="100"/>
    </row>
    <row r="1893" spans="3:4">
      <c r="C1893" s="100"/>
      <c r="D1893" s="100"/>
    </row>
    <row r="1894" spans="3:4">
      <c r="C1894" s="100"/>
      <c r="D1894" s="100"/>
    </row>
    <row r="1895" spans="3:4">
      <c r="C1895" s="100"/>
      <c r="D1895" s="100"/>
    </row>
    <row r="1896" spans="3:4">
      <c r="C1896" s="100"/>
      <c r="D1896" s="100"/>
    </row>
    <row r="1897" spans="3:4">
      <c r="C1897" s="100"/>
      <c r="D1897" s="100"/>
    </row>
    <row r="1898" spans="3:4">
      <c r="C1898" s="100"/>
      <c r="D1898" s="100"/>
    </row>
    <row r="1899" spans="3:4">
      <c r="C1899" s="100"/>
      <c r="D1899" s="100"/>
    </row>
    <row r="1900" spans="3:4">
      <c r="C1900" s="100"/>
      <c r="D1900" s="100"/>
    </row>
    <row r="1901" spans="3:4">
      <c r="C1901" s="100"/>
      <c r="D1901" s="100"/>
    </row>
    <row r="1902" spans="3:4">
      <c r="C1902" s="100"/>
      <c r="D1902" s="100"/>
    </row>
    <row r="1903" spans="3:4">
      <c r="C1903" s="100"/>
      <c r="D1903" s="100"/>
    </row>
    <row r="1904" spans="3:4">
      <c r="C1904" s="100"/>
      <c r="D1904" s="100"/>
    </row>
    <row r="1905" spans="3:4">
      <c r="C1905" s="100"/>
      <c r="D1905" s="100"/>
    </row>
    <row r="1906" spans="3:4">
      <c r="C1906" s="100"/>
      <c r="D1906" s="100"/>
    </row>
    <row r="1907" spans="3:4">
      <c r="C1907" s="100"/>
      <c r="D1907" s="100"/>
    </row>
    <row r="1908" spans="3:4">
      <c r="C1908" s="100"/>
      <c r="D1908" s="100"/>
    </row>
    <row r="1909" spans="3:4">
      <c r="C1909" s="100"/>
      <c r="D1909" s="100"/>
    </row>
    <row r="1910" spans="3:4">
      <c r="C1910" s="100"/>
      <c r="D1910" s="100"/>
    </row>
    <row r="1911" spans="3:4">
      <c r="C1911" s="100"/>
      <c r="D1911" s="100"/>
    </row>
    <row r="1912" spans="3:4">
      <c r="C1912" s="100"/>
      <c r="D1912" s="100"/>
    </row>
    <row r="1913" spans="3:4">
      <c r="C1913" s="100"/>
      <c r="D1913" s="100"/>
    </row>
    <row r="1914" spans="3:4">
      <c r="C1914" s="100"/>
      <c r="D1914" s="100"/>
    </row>
    <row r="1915" spans="3:4">
      <c r="C1915" s="100"/>
      <c r="D1915" s="100"/>
    </row>
    <row r="1916" spans="3:4">
      <c r="C1916" s="100"/>
      <c r="D1916" s="100"/>
    </row>
    <row r="1917" spans="3:4">
      <c r="C1917" s="100"/>
      <c r="D1917" s="100"/>
    </row>
    <row r="1918" spans="3:4">
      <c r="C1918" s="100"/>
      <c r="D1918" s="100"/>
    </row>
    <row r="1919" spans="3:4">
      <c r="C1919" s="100"/>
      <c r="D1919" s="100"/>
    </row>
    <row r="1920" spans="3:4">
      <c r="C1920" s="100"/>
      <c r="D1920" s="100"/>
    </row>
    <row r="1921" spans="3:4">
      <c r="C1921" s="100"/>
      <c r="D1921" s="100"/>
    </row>
    <row r="1922" spans="3:4">
      <c r="C1922" s="100"/>
      <c r="D1922" s="100"/>
    </row>
    <row r="1923" spans="3:4">
      <c r="C1923" s="100"/>
      <c r="D1923" s="100"/>
    </row>
    <row r="1924" spans="3:4">
      <c r="C1924" s="100"/>
      <c r="D1924" s="100"/>
    </row>
    <row r="1925" spans="3:4">
      <c r="C1925" s="100"/>
      <c r="D1925" s="100"/>
    </row>
    <row r="1926" spans="3:4">
      <c r="C1926" s="100"/>
      <c r="D1926" s="100"/>
    </row>
    <row r="1927" spans="3:4">
      <c r="C1927" s="100"/>
      <c r="D1927" s="100"/>
    </row>
    <row r="1928" spans="3:4">
      <c r="C1928" s="100"/>
      <c r="D1928" s="100"/>
    </row>
    <row r="1929" spans="3:4">
      <c r="C1929" s="100"/>
      <c r="D1929" s="100"/>
    </row>
    <row r="1930" spans="3:4">
      <c r="C1930" s="100"/>
      <c r="D1930" s="100"/>
    </row>
    <row r="1931" spans="3:4">
      <c r="C1931" s="100"/>
      <c r="D1931" s="100"/>
    </row>
    <row r="1932" spans="3:4">
      <c r="C1932" s="100"/>
      <c r="D1932" s="100"/>
    </row>
    <row r="1933" spans="3:4">
      <c r="C1933" s="100"/>
      <c r="D1933" s="100"/>
    </row>
    <row r="1934" spans="3:4">
      <c r="C1934" s="100"/>
      <c r="D1934" s="100"/>
    </row>
    <row r="1935" spans="3:4">
      <c r="C1935" s="100"/>
      <c r="D1935" s="100"/>
    </row>
    <row r="1936" spans="3:4">
      <c r="C1936" s="100"/>
      <c r="D1936" s="100"/>
    </row>
    <row r="1937" spans="3:4">
      <c r="C1937" s="100"/>
      <c r="D1937" s="100"/>
    </row>
    <row r="1938" spans="3:4">
      <c r="C1938" s="100"/>
      <c r="D1938" s="100"/>
    </row>
    <row r="1939" spans="3:4">
      <c r="C1939" s="100"/>
      <c r="D1939" s="100"/>
    </row>
    <row r="1940" spans="3:4">
      <c r="C1940" s="100"/>
      <c r="D1940" s="100"/>
    </row>
    <row r="1941" spans="3:4">
      <c r="C1941" s="100"/>
      <c r="D1941" s="100"/>
    </row>
    <row r="1942" spans="3:4">
      <c r="C1942" s="100"/>
      <c r="D1942" s="100"/>
    </row>
    <row r="1943" spans="3:4">
      <c r="C1943" s="100"/>
      <c r="D1943" s="100"/>
    </row>
    <row r="1944" spans="3:4">
      <c r="C1944" s="100"/>
      <c r="D1944" s="100"/>
    </row>
    <row r="1945" spans="3:4">
      <c r="C1945" s="100"/>
      <c r="D1945" s="100"/>
    </row>
    <row r="1946" spans="3:4">
      <c r="C1946" s="100"/>
      <c r="D1946" s="100"/>
    </row>
    <row r="1947" spans="3:4">
      <c r="C1947" s="100"/>
      <c r="D1947" s="100"/>
    </row>
    <row r="1948" spans="3:4">
      <c r="C1948" s="100"/>
      <c r="D1948" s="100"/>
    </row>
    <row r="1949" spans="3:4">
      <c r="C1949" s="100"/>
      <c r="D1949" s="100"/>
    </row>
    <row r="1950" spans="3:4">
      <c r="C1950" s="100"/>
      <c r="D1950" s="100"/>
    </row>
    <row r="1951" spans="3:4">
      <c r="C1951" s="100"/>
      <c r="D1951" s="100"/>
    </row>
    <row r="1952" spans="3:4">
      <c r="C1952" s="100"/>
      <c r="D1952" s="100"/>
    </row>
    <row r="1953" spans="3:4">
      <c r="C1953" s="100"/>
      <c r="D1953" s="100"/>
    </row>
    <row r="1954" spans="3:4">
      <c r="C1954" s="100"/>
      <c r="D1954" s="100"/>
    </row>
    <row r="1955" spans="3:4">
      <c r="C1955" s="100"/>
      <c r="D1955" s="100"/>
    </row>
    <row r="1956" spans="3:4">
      <c r="C1956" s="100"/>
      <c r="D1956" s="100"/>
    </row>
    <row r="1957" spans="3:4">
      <c r="C1957" s="100"/>
      <c r="D1957" s="100"/>
    </row>
    <row r="1958" spans="3:4">
      <c r="C1958" s="100"/>
      <c r="D1958" s="100"/>
    </row>
    <row r="1959" spans="3:4">
      <c r="C1959" s="100"/>
      <c r="D1959" s="100"/>
    </row>
    <row r="1960" spans="3:4">
      <c r="C1960" s="100"/>
      <c r="D1960" s="100"/>
    </row>
    <row r="1961" spans="3:4">
      <c r="C1961" s="100"/>
      <c r="D1961" s="100"/>
    </row>
    <row r="1962" spans="3:4">
      <c r="C1962" s="100"/>
      <c r="D1962" s="100"/>
    </row>
    <row r="1963" spans="3:4">
      <c r="C1963" s="100"/>
      <c r="D1963" s="100"/>
    </row>
    <row r="1964" spans="3:4">
      <c r="C1964" s="100"/>
      <c r="D1964" s="100"/>
    </row>
    <row r="1965" spans="3:4">
      <c r="C1965" s="100"/>
      <c r="D1965" s="100"/>
    </row>
    <row r="1966" spans="3:4">
      <c r="C1966" s="100"/>
      <c r="D1966" s="100"/>
    </row>
    <row r="1967" spans="3:4">
      <c r="C1967" s="100"/>
      <c r="D1967" s="100"/>
    </row>
    <row r="1968" spans="3:4">
      <c r="C1968" s="100"/>
      <c r="D1968" s="100"/>
    </row>
    <row r="1969" spans="3:4">
      <c r="C1969" s="100"/>
      <c r="D1969" s="100"/>
    </row>
    <row r="1970" spans="3:4">
      <c r="C1970" s="100"/>
      <c r="D1970" s="100"/>
    </row>
    <row r="1971" spans="3:4">
      <c r="C1971" s="100"/>
      <c r="D1971" s="100"/>
    </row>
    <row r="1972" spans="3:4">
      <c r="C1972" s="100"/>
      <c r="D1972" s="100"/>
    </row>
    <row r="1973" spans="3:4">
      <c r="C1973" s="100"/>
      <c r="D1973" s="100"/>
    </row>
    <row r="1974" spans="3:4">
      <c r="C1974" s="100"/>
      <c r="D1974" s="100"/>
    </row>
    <row r="1975" spans="3:4">
      <c r="C1975" s="100"/>
      <c r="D1975" s="100"/>
    </row>
    <row r="1976" spans="3:4">
      <c r="C1976" s="100"/>
      <c r="D1976" s="100"/>
    </row>
    <row r="1977" spans="3:4">
      <c r="C1977" s="100"/>
      <c r="D1977" s="100"/>
    </row>
    <row r="1978" spans="3:4">
      <c r="C1978" s="100"/>
      <c r="D1978" s="100"/>
    </row>
    <row r="1979" spans="3:4">
      <c r="C1979" s="100"/>
      <c r="D1979" s="100"/>
    </row>
    <row r="1980" spans="3:4">
      <c r="C1980" s="100"/>
      <c r="D1980" s="100"/>
    </row>
    <row r="1981" spans="3:4">
      <c r="C1981" s="100"/>
      <c r="D1981" s="100"/>
    </row>
    <row r="1982" spans="3:4">
      <c r="C1982" s="100"/>
      <c r="D1982" s="100"/>
    </row>
    <row r="1983" spans="3:4">
      <c r="C1983" s="100"/>
      <c r="D1983" s="100"/>
    </row>
    <row r="1984" spans="3:4">
      <c r="C1984" s="100"/>
      <c r="D1984" s="100"/>
    </row>
    <row r="1985" spans="3:4">
      <c r="C1985" s="100"/>
      <c r="D1985" s="100"/>
    </row>
    <row r="1986" spans="3:4">
      <c r="C1986" s="100"/>
      <c r="D1986" s="100"/>
    </row>
    <row r="1987" spans="3:4">
      <c r="C1987" s="100"/>
      <c r="D1987" s="100"/>
    </row>
    <row r="1988" spans="3:4">
      <c r="C1988" s="100"/>
      <c r="D1988" s="100"/>
    </row>
    <row r="1989" spans="3:4">
      <c r="C1989" s="100"/>
      <c r="D1989" s="100"/>
    </row>
    <row r="1990" spans="3:4">
      <c r="C1990" s="100"/>
      <c r="D1990" s="100"/>
    </row>
    <row r="1991" spans="3:4">
      <c r="C1991" s="100"/>
      <c r="D1991" s="100"/>
    </row>
    <row r="1992" spans="3:4">
      <c r="C1992" s="100"/>
      <c r="D1992" s="100"/>
    </row>
    <row r="1993" spans="3:4">
      <c r="C1993" s="100"/>
      <c r="D1993" s="100"/>
    </row>
    <row r="1994" spans="3:4">
      <c r="C1994" s="100"/>
      <c r="D1994" s="100"/>
    </row>
    <row r="1995" spans="3:4">
      <c r="C1995" s="100"/>
      <c r="D1995" s="100"/>
    </row>
    <row r="1996" spans="3:4">
      <c r="C1996" s="100"/>
      <c r="D1996" s="100"/>
    </row>
    <row r="1997" spans="3:4">
      <c r="C1997" s="100"/>
      <c r="D1997" s="100"/>
    </row>
    <row r="1998" spans="3:4">
      <c r="C1998" s="100"/>
      <c r="D1998" s="100"/>
    </row>
    <row r="1999" spans="3:4">
      <c r="C1999" s="100"/>
      <c r="D1999" s="100"/>
    </row>
    <row r="2000" spans="3:4">
      <c r="C2000" s="100"/>
      <c r="D2000" s="100"/>
    </row>
    <row r="2001" spans="3:4">
      <c r="C2001" s="100"/>
      <c r="D2001" s="100"/>
    </row>
    <row r="2002" spans="3:4">
      <c r="C2002" s="100"/>
      <c r="D2002" s="100"/>
    </row>
    <row r="2003" spans="3:4">
      <c r="C2003" s="100"/>
      <c r="D2003" s="100"/>
    </row>
    <row r="2004" spans="3:4">
      <c r="C2004" s="100"/>
      <c r="D2004" s="100"/>
    </row>
    <row r="2005" spans="3:4">
      <c r="C2005" s="100"/>
      <c r="D2005" s="100"/>
    </row>
    <row r="2006" spans="3:4">
      <c r="C2006" s="100"/>
      <c r="D2006" s="100"/>
    </row>
    <row r="2007" spans="3:4">
      <c r="C2007" s="100"/>
      <c r="D2007" s="100"/>
    </row>
    <row r="2008" spans="3:4">
      <c r="C2008" s="100"/>
      <c r="D2008" s="100"/>
    </row>
    <row r="2009" spans="3:4">
      <c r="C2009" s="100"/>
      <c r="D2009" s="100"/>
    </row>
    <row r="2010" spans="3:4">
      <c r="C2010" s="100"/>
      <c r="D2010" s="100"/>
    </row>
    <row r="2011" spans="3:4">
      <c r="C2011" s="100"/>
      <c r="D2011" s="100"/>
    </row>
    <row r="2012" spans="3:4">
      <c r="C2012" s="100"/>
      <c r="D2012" s="100"/>
    </row>
    <row r="2013" spans="3:4">
      <c r="C2013" s="100"/>
      <c r="D2013" s="100"/>
    </row>
    <row r="2014" spans="3:4">
      <c r="C2014" s="100"/>
      <c r="D2014" s="100"/>
    </row>
    <row r="2015" spans="3:4">
      <c r="C2015" s="100"/>
      <c r="D2015" s="100"/>
    </row>
    <row r="2016" spans="3:4">
      <c r="C2016" s="100"/>
      <c r="D2016" s="100"/>
    </row>
    <row r="2017" spans="3:4">
      <c r="C2017" s="100"/>
      <c r="D2017" s="100"/>
    </row>
    <row r="2018" spans="3:4">
      <c r="C2018" s="100"/>
      <c r="D2018" s="100"/>
    </row>
    <row r="2019" spans="3:4">
      <c r="C2019" s="100"/>
      <c r="D2019" s="100"/>
    </row>
    <row r="2020" spans="3:4">
      <c r="C2020" s="100"/>
      <c r="D2020" s="100"/>
    </row>
    <row r="2021" spans="3:4">
      <c r="C2021" s="100"/>
      <c r="D2021" s="100"/>
    </row>
    <row r="2022" spans="3:4">
      <c r="C2022" s="100"/>
      <c r="D2022" s="100"/>
    </row>
    <row r="2023" spans="3:4">
      <c r="C2023" s="100"/>
      <c r="D2023" s="100"/>
    </row>
    <row r="2024" spans="3:4">
      <c r="C2024" s="100"/>
      <c r="D2024" s="100"/>
    </row>
    <row r="2025" spans="3:4">
      <c r="C2025" s="100"/>
      <c r="D2025" s="100"/>
    </row>
    <row r="2026" spans="3:4">
      <c r="C2026" s="100"/>
      <c r="D2026" s="100"/>
    </row>
    <row r="2027" spans="3:4">
      <c r="C2027" s="100"/>
      <c r="D2027" s="100"/>
    </row>
    <row r="2028" spans="3:4">
      <c r="C2028" s="100"/>
      <c r="D2028" s="100"/>
    </row>
    <row r="2029" spans="3:4">
      <c r="C2029" s="100"/>
      <c r="D2029" s="100"/>
    </row>
    <row r="2030" spans="3:4">
      <c r="C2030" s="100"/>
      <c r="D2030" s="100"/>
    </row>
    <row r="2031" spans="3:4">
      <c r="C2031" s="100"/>
      <c r="D2031" s="100"/>
    </row>
    <row r="2032" spans="3:4">
      <c r="C2032" s="100"/>
      <c r="D2032" s="100"/>
    </row>
    <row r="2033" spans="3:4">
      <c r="C2033" s="100"/>
      <c r="D2033" s="100"/>
    </row>
    <row r="2034" spans="3:4">
      <c r="C2034" s="100"/>
      <c r="D2034" s="100"/>
    </row>
    <row r="2035" spans="3:4">
      <c r="C2035" s="100"/>
      <c r="D2035" s="100"/>
    </row>
    <row r="2036" spans="3:4">
      <c r="C2036" s="100"/>
      <c r="D2036" s="100"/>
    </row>
    <row r="2037" spans="3:4">
      <c r="C2037" s="100"/>
      <c r="D2037" s="100"/>
    </row>
    <row r="2038" spans="3:4">
      <c r="C2038" s="100"/>
      <c r="D2038" s="100"/>
    </row>
    <row r="2039" spans="3:4">
      <c r="C2039" s="100"/>
      <c r="D2039" s="100"/>
    </row>
    <row r="2040" spans="3:4">
      <c r="C2040" s="100"/>
      <c r="D2040" s="100"/>
    </row>
    <row r="2041" spans="3:4">
      <c r="C2041" s="100"/>
      <c r="D2041" s="100"/>
    </row>
    <row r="2042" spans="3:4">
      <c r="C2042" s="100"/>
      <c r="D2042" s="100"/>
    </row>
    <row r="2043" spans="3:4">
      <c r="C2043" s="100"/>
      <c r="D2043" s="100"/>
    </row>
    <row r="2044" spans="3:4">
      <c r="C2044" s="100"/>
      <c r="D2044" s="100"/>
    </row>
    <row r="2045" spans="3:4">
      <c r="C2045" s="100"/>
      <c r="D2045" s="100"/>
    </row>
    <row r="2046" spans="3:4">
      <c r="C2046" s="100"/>
      <c r="D2046" s="100"/>
    </row>
    <row r="2047" spans="3:4">
      <c r="C2047" s="100"/>
      <c r="D2047" s="100"/>
    </row>
    <row r="2048" spans="3:4">
      <c r="C2048" s="100"/>
      <c r="D2048" s="100"/>
    </row>
    <row r="2049" spans="3:4">
      <c r="C2049" s="100"/>
      <c r="D2049" s="100"/>
    </row>
    <row r="2050" spans="3:4">
      <c r="C2050" s="100"/>
      <c r="D2050" s="100"/>
    </row>
    <row r="2051" spans="3:4">
      <c r="C2051" s="100"/>
      <c r="D2051" s="100"/>
    </row>
    <row r="2052" spans="3:4">
      <c r="C2052" s="100"/>
      <c r="D2052" s="100"/>
    </row>
    <row r="2053" spans="3:4">
      <c r="C2053" s="100"/>
      <c r="D2053" s="100"/>
    </row>
    <row r="2054" spans="3:4">
      <c r="C2054" s="100"/>
      <c r="D2054" s="100"/>
    </row>
    <row r="2055" spans="3:4">
      <c r="C2055" s="100"/>
      <c r="D2055" s="100"/>
    </row>
    <row r="2056" spans="3:4">
      <c r="C2056" s="100"/>
      <c r="D2056" s="100"/>
    </row>
    <row r="2057" spans="3:4">
      <c r="C2057" s="100"/>
      <c r="D2057" s="100"/>
    </row>
    <row r="2058" spans="3:4">
      <c r="C2058" s="100"/>
      <c r="D2058" s="100"/>
    </row>
    <row r="2059" spans="3:4">
      <c r="C2059" s="100"/>
      <c r="D2059" s="100"/>
    </row>
    <row r="2060" spans="3:4">
      <c r="C2060" s="100"/>
      <c r="D2060" s="100"/>
    </row>
    <row r="2061" spans="3:4">
      <c r="C2061" s="100"/>
      <c r="D2061" s="100"/>
    </row>
    <row r="2062" spans="3:4">
      <c r="C2062" s="100"/>
      <c r="D2062" s="100"/>
    </row>
    <row r="2063" spans="3:4">
      <c r="C2063" s="100"/>
      <c r="D2063" s="100"/>
    </row>
    <row r="2064" spans="3:4">
      <c r="C2064" s="100"/>
      <c r="D2064" s="100"/>
    </row>
    <row r="2065" spans="3:4">
      <c r="C2065" s="100"/>
      <c r="D2065" s="100"/>
    </row>
    <row r="2066" spans="3:4">
      <c r="C2066" s="100"/>
      <c r="D2066" s="100"/>
    </row>
    <row r="2067" spans="3:4">
      <c r="C2067" s="100"/>
      <c r="D2067" s="100"/>
    </row>
    <row r="2068" spans="3:4">
      <c r="C2068" s="100"/>
      <c r="D2068" s="100"/>
    </row>
    <row r="2069" spans="3:4">
      <c r="C2069" s="100"/>
      <c r="D2069" s="100"/>
    </row>
    <row r="2070" spans="3:4">
      <c r="C2070" s="100"/>
      <c r="D2070" s="100"/>
    </row>
    <row r="2071" spans="3:4">
      <c r="C2071" s="100"/>
      <c r="D2071" s="100"/>
    </row>
    <row r="2072" spans="3:4">
      <c r="C2072" s="100"/>
      <c r="D2072" s="100"/>
    </row>
    <row r="2073" spans="3:4">
      <c r="C2073" s="100"/>
      <c r="D2073" s="100"/>
    </row>
    <row r="2074" spans="3:4">
      <c r="C2074" s="100"/>
      <c r="D2074" s="100"/>
    </row>
    <row r="2075" spans="3:4">
      <c r="C2075" s="100"/>
      <c r="D2075" s="100"/>
    </row>
    <row r="2076" spans="3:4">
      <c r="C2076" s="100"/>
      <c r="D2076" s="100"/>
    </row>
    <row r="2077" spans="3:4">
      <c r="C2077" s="100"/>
      <c r="D2077" s="100"/>
    </row>
    <row r="2078" spans="3:4">
      <c r="C2078" s="100"/>
      <c r="D2078" s="100"/>
    </row>
    <row r="2079" spans="3:4">
      <c r="C2079" s="100"/>
      <c r="D2079" s="100"/>
    </row>
    <row r="2080" spans="3:4">
      <c r="C2080" s="100"/>
      <c r="D2080" s="100"/>
    </row>
    <row r="2081" spans="3:4">
      <c r="C2081" s="100"/>
      <c r="D2081" s="100"/>
    </row>
    <row r="2082" spans="3:4">
      <c r="C2082" s="100"/>
      <c r="D2082" s="100"/>
    </row>
    <row r="2083" spans="3:4">
      <c r="C2083" s="100"/>
      <c r="D2083" s="100"/>
    </row>
    <row r="2084" spans="3:4">
      <c r="C2084" s="100"/>
      <c r="D2084" s="100"/>
    </row>
    <row r="2085" spans="3:4">
      <c r="C2085" s="100"/>
      <c r="D2085" s="100"/>
    </row>
    <row r="2086" spans="3:4">
      <c r="C2086" s="100"/>
      <c r="D2086" s="100"/>
    </row>
    <row r="2087" spans="3:4">
      <c r="C2087" s="100"/>
      <c r="D2087" s="100"/>
    </row>
    <row r="2088" spans="3:4">
      <c r="C2088" s="100"/>
      <c r="D2088" s="100"/>
    </row>
    <row r="2089" spans="3:4">
      <c r="C2089" s="100"/>
      <c r="D2089" s="100"/>
    </row>
    <row r="2090" spans="3:4">
      <c r="C2090" s="100"/>
      <c r="D2090" s="100"/>
    </row>
    <row r="2091" spans="3:4">
      <c r="C2091" s="100"/>
      <c r="D2091" s="100"/>
    </row>
    <row r="2092" spans="3:4">
      <c r="C2092" s="100"/>
      <c r="D2092" s="100"/>
    </row>
    <row r="2093" spans="3:4">
      <c r="C2093" s="100"/>
      <c r="D2093" s="100"/>
    </row>
    <row r="2094" spans="3:4">
      <c r="C2094" s="100"/>
      <c r="D2094" s="100"/>
    </row>
    <row r="2095" spans="3:4">
      <c r="C2095" s="100"/>
      <c r="D2095" s="100"/>
    </row>
    <row r="2096" spans="3:4">
      <c r="C2096" s="100"/>
      <c r="D2096" s="100"/>
    </row>
    <row r="2097" spans="3:4">
      <c r="C2097" s="100"/>
      <c r="D2097" s="100"/>
    </row>
    <row r="2098" spans="3:4">
      <c r="C2098" s="100"/>
      <c r="D2098" s="100"/>
    </row>
    <row r="2099" spans="3:4">
      <c r="C2099" s="100"/>
      <c r="D2099" s="100"/>
    </row>
    <row r="2100" spans="3:4">
      <c r="C2100" s="100"/>
      <c r="D2100" s="100"/>
    </row>
    <row r="2101" spans="3:4">
      <c r="C2101" s="100"/>
      <c r="D2101" s="100"/>
    </row>
    <row r="2102" spans="3:4">
      <c r="C2102" s="100"/>
      <c r="D2102" s="100"/>
    </row>
    <row r="2103" spans="3:4">
      <c r="C2103" s="100"/>
      <c r="D2103" s="100"/>
    </row>
    <row r="2104" spans="3:4">
      <c r="C2104" s="100"/>
      <c r="D2104" s="100"/>
    </row>
    <row r="2105" spans="3:4">
      <c r="C2105" s="100"/>
      <c r="D2105" s="100"/>
    </row>
    <row r="2106" spans="3:4">
      <c r="C2106" s="100"/>
      <c r="D2106" s="100"/>
    </row>
    <row r="2107" spans="3:4">
      <c r="C2107" s="100"/>
      <c r="D2107" s="100"/>
    </row>
    <row r="2108" spans="3:4">
      <c r="C2108" s="100"/>
      <c r="D2108" s="100"/>
    </row>
    <row r="2109" spans="3:4">
      <c r="C2109" s="100"/>
      <c r="D2109" s="100"/>
    </row>
    <row r="2110" spans="3:4">
      <c r="C2110" s="100"/>
      <c r="D2110" s="100"/>
    </row>
    <row r="2111" spans="3:4">
      <c r="C2111" s="100"/>
      <c r="D2111" s="100"/>
    </row>
    <row r="2112" spans="3:4">
      <c r="C2112" s="100"/>
      <c r="D2112" s="100"/>
    </row>
    <row r="2113" spans="3:4">
      <c r="C2113" s="100"/>
      <c r="D2113" s="100"/>
    </row>
    <row r="2114" spans="3:4">
      <c r="C2114" s="100"/>
      <c r="D2114" s="100"/>
    </row>
    <row r="2115" spans="3:4">
      <c r="C2115" s="100"/>
      <c r="D2115" s="100"/>
    </row>
    <row r="2116" spans="3:4">
      <c r="C2116" s="100"/>
      <c r="D2116" s="100"/>
    </row>
    <row r="2117" spans="3:4">
      <c r="C2117" s="100"/>
      <c r="D2117" s="100"/>
    </row>
    <row r="2118" spans="3:4">
      <c r="C2118" s="100"/>
      <c r="D2118" s="100"/>
    </row>
    <row r="2119" spans="3:4">
      <c r="C2119" s="100"/>
      <c r="D2119" s="100"/>
    </row>
    <row r="2120" spans="3:4">
      <c r="C2120" s="100"/>
      <c r="D2120" s="100"/>
    </row>
    <row r="2121" spans="3:4">
      <c r="C2121" s="100"/>
      <c r="D2121" s="100"/>
    </row>
    <row r="2122" spans="3:4">
      <c r="C2122" s="100"/>
      <c r="D2122" s="100"/>
    </row>
    <row r="2123" spans="3:4">
      <c r="C2123" s="100"/>
      <c r="D2123" s="100"/>
    </row>
    <row r="2124" spans="3:4">
      <c r="C2124" s="100"/>
      <c r="D2124" s="100"/>
    </row>
    <row r="2125" spans="3:4">
      <c r="C2125" s="100"/>
      <c r="D2125" s="100"/>
    </row>
    <row r="2126" spans="3:4">
      <c r="C2126" s="100"/>
      <c r="D2126" s="100"/>
    </row>
    <row r="2127" spans="3:4">
      <c r="C2127" s="100"/>
      <c r="D2127" s="100"/>
    </row>
    <row r="2128" spans="3:4">
      <c r="C2128" s="100"/>
      <c r="D2128" s="100"/>
    </row>
    <row r="2129" spans="3:4">
      <c r="C2129" s="100"/>
      <c r="D2129" s="100"/>
    </row>
    <row r="2130" spans="3:4">
      <c r="C2130" s="100"/>
      <c r="D2130" s="100"/>
    </row>
    <row r="2131" spans="3:4">
      <c r="C2131" s="100"/>
      <c r="D2131" s="100"/>
    </row>
    <row r="2132" spans="3:4">
      <c r="C2132" s="100"/>
      <c r="D2132" s="100"/>
    </row>
    <row r="2133" spans="3:4">
      <c r="C2133" s="100"/>
      <c r="D2133" s="100"/>
    </row>
    <row r="2134" spans="3:4">
      <c r="C2134" s="100"/>
      <c r="D2134" s="100"/>
    </row>
    <row r="2135" spans="3:4">
      <c r="C2135" s="100"/>
      <c r="D2135" s="100"/>
    </row>
    <row r="2136" spans="3:4">
      <c r="C2136" s="100"/>
      <c r="D2136" s="100"/>
    </row>
    <row r="2137" spans="3:4">
      <c r="C2137" s="100"/>
      <c r="D2137" s="100"/>
    </row>
    <row r="2138" spans="3:4">
      <c r="C2138" s="100"/>
      <c r="D2138" s="100"/>
    </row>
    <row r="2139" spans="3:4">
      <c r="C2139" s="100"/>
      <c r="D2139" s="100"/>
    </row>
    <row r="2140" spans="3:4">
      <c r="C2140" s="100"/>
      <c r="D2140" s="100"/>
    </row>
    <row r="2141" spans="3:4">
      <c r="C2141" s="100"/>
      <c r="D2141" s="100"/>
    </row>
    <row r="2142" spans="3:4">
      <c r="C2142" s="100"/>
      <c r="D2142" s="100"/>
    </row>
    <row r="2143" spans="3:4">
      <c r="C2143" s="100"/>
      <c r="D2143" s="100"/>
    </row>
    <row r="2144" spans="3:4">
      <c r="C2144" s="100"/>
      <c r="D2144" s="100"/>
    </row>
    <row r="2145" spans="3:4">
      <c r="C2145" s="100"/>
      <c r="D2145" s="100"/>
    </row>
    <row r="2146" spans="3:4">
      <c r="C2146" s="100"/>
      <c r="D2146" s="100"/>
    </row>
    <row r="2147" spans="3:4">
      <c r="C2147" s="100"/>
      <c r="D2147" s="100"/>
    </row>
    <row r="2148" spans="3:4">
      <c r="C2148" s="100"/>
      <c r="D2148" s="100"/>
    </row>
    <row r="2149" spans="3:4">
      <c r="C2149" s="100"/>
      <c r="D2149" s="100"/>
    </row>
    <row r="2150" spans="3:4">
      <c r="C2150" s="100"/>
      <c r="D2150" s="100"/>
    </row>
    <row r="2151" spans="3:4">
      <c r="C2151" s="100"/>
      <c r="D2151" s="100"/>
    </row>
    <row r="2152" spans="3:4">
      <c r="C2152" s="100"/>
      <c r="D2152" s="100"/>
    </row>
    <row r="2153" spans="3:4">
      <c r="C2153" s="100"/>
      <c r="D2153" s="100"/>
    </row>
    <row r="2154" spans="3:4">
      <c r="C2154" s="100"/>
      <c r="D2154" s="100"/>
    </row>
    <row r="2155" spans="3:4">
      <c r="C2155" s="100"/>
      <c r="D2155" s="100"/>
    </row>
    <row r="2156" spans="3:4">
      <c r="C2156" s="100"/>
      <c r="D2156" s="100"/>
    </row>
    <row r="2157" spans="3:4">
      <c r="C2157" s="100"/>
      <c r="D2157" s="100"/>
    </row>
    <row r="2158" spans="3:4">
      <c r="C2158" s="100"/>
      <c r="D2158" s="100"/>
    </row>
    <row r="2159" spans="3:4">
      <c r="C2159" s="100"/>
      <c r="D2159" s="100"/>
    </row>
    <row r="2160" spans="3:4">
      <c r="C2160" s="100"/>
      <c r="D2160" s="100"/>
    </row>
    <row r="2161" spans="3:4">
      <c r="C2161" s="100"/>
      <c r="D2161" s="100"/>
    </row>
    <row r="2162" spans="3:4">
      <c r="C2162" s="100"/>
      <c r="D2162" s="100"/>
    </row>
    <row r="2163" spans="3:4">
      <c r="C2163" s="100"/>
      <c r="D2163" s="100"/>
    </row>
    <row r="2164" spans="3:4">
      <c r="C2164" s="100"/>
      <c r="D2164" s="100"/>
    </row>
    <row r="2165" spans="3:4">
      <c r="C2165" s="100"/>
      <c r="D2165" s="100"/>
    </row>
    <row r="2166" spans="3:4">
      <c r="C2166" s="100"/>
      <c r="D2166" s="100"/>
    </row>
    <row r="2167" spans="3:4">
      <c r="C2167" s="100"/>
      <c r="D2167" s="100"/>
    </row>
    <row r="2168" spans="3:4">
      <c r="C2168" s="100"/>
      <c r="D2168" s="100"/>
    </row>
    <row r="2169" spans="3:4">
      <c r="C2169" s="100"/>
      <c r="D2169" s="100"/>
    </row>
    <row r="2170" spans="3:4">
      <c r="C2170" s="100"/>
      <c r="D2170" s="100"/>
    </row>
    <row r="2171" spans="3:4">
      <c r="C2171" s="100"/>
      <c r="D2171" s="100"/>
    </row>
    <row r="2172" spans="3:4">
      <c r="C2172" s="100"/>
      <c r="D2172" s="100"/>
    </row>
    <row r="2173" spans="3:4">
      <c r="C2173" s="100"/>
      <c r="D2173" s="100"/>
    </row>
    <row r="2174" spans="3:4">
      <c r="C2174" s="100"/>
      <c r="D2174" s="100"/>
    </row>
    <row r="2175" spans="3:4">
      <c r="C2175" s="100"/>
      <c r="D2175" s="100"/>
    </row>
    <row r="2176" spans="3:4">
      <c r="C2176" s="100"/>
      <c r="D2176" s="100"/>
    </row>
    <row r="2177" spans="3:4">
      <c r="C2177" s="100"/>
      <c r="D2177" s="100"/>
    </row>
    <row r="2178" spans="3:4">
      <c r="C2178" s="100"/>
      <c r="D2178" s="100"/>
    </row>
    <row r="2179" spans="3:4">
      <c r="C2179" s="100"/>
      <c r="D2179" s="100"/>
    </row>
    <row r="2180" spans="3:4">
      <c r="C2180" s="100"/>
      <c r="D2180" s="100"/>
    </row>
    <row r="2181" spans="3:4">
      <c r="C2181" s="100"/>
      <c r="D2181" s="100"/>
    </row>
    <row r="2182" spans="3:4">
      <c r="C2182" s="100"/>
      <c r="D2182" s="100"/>
    </row>
    <row r="2183" spans="3:4">
      <c r="C2183" s="100"/>
      <c r="D2183" s="100"/>
    </row>
    <row r="2184" spans="3:4">
      <c r="C2184" s="100"/>
      <c r="D2184" s="100"/>
    </row>
    <row r="2185" spans="3:4">
      <c r="C2185" s="100"/>
      <c r="D2185" s="100"/>
    </row>
    <row r="2186" spans="3:4">
      <c r="C2186" s="100"/>
      <c r="D2186" s="100"/>
    </row>
    <row r="2187" spans="3:4">
      <c r="C2187" s="100"/>
      <c r="D2187" s="100"/>
    </row>
    <row r="2188" spans="3:4">
      <c r="C2188" s="100"/>
      <c r="D2188" s="100"/>
    </row>
    <row r="2189" spans="3:4">
      <c r="C2189" s="100"/>
      <c r="D2189" s="100"/>
    </row>
    <row r="2190" spans="3:4">
      <c r="C2190" s="100"/>
      <c r="D2190" s="100"/>
    </row>
    <row r="2191" spans="3:4">
      <c r="C2191" s="100"/>
      <c r="D2191" s="100"/>
    </row>
    <row r="2192" spans="3:4">
      <c r="C2192" s="100"/>
      <c r="D2192" s="100"/>
    </row>
    <row r="2193" spans="3:4">
      <c r="C2193" s="100"/>
      <c r="D2193" s="100"/>
    </row>
    <row r="2194" spans="3:4">
      <c r="C2194" s="100"/>
      <c r="D2194" s="100"/>
    </row>
    <row r="2195" spans="3:4">
      <c r="C2195" s="100"/>
      <c r="D2195" s="100"/>
    </row>
    <row r="2196" spans="3:4">
      <c r="C2196" s="100"/>
      <c r="D2196" s="100"/>
    </row>
    <row r="2197" spans="3:4">
      <c r="C2197" s="100"/>
      <c r="D2197" s="100"/>
    </row>
    <row r="2198" spans="3:4">
      <c r="C2198" s="100"/>
      <c r="D2198" s="100"/>
    </row>
    <row r="2199" spans="3:4">
      <c r="C2199" s="100"/>
      <c r="D2199" s="100"/>
    </row>
    <row r="2200" spans="3:4">
      <c r="C2200" s="100"/>
      <c r="D2200" s="100"/>
    </row>
    <row r="2201" spans="3:4">
      <c r="C2201" s="100"/>
      <c r="D2201" s="100"/>
    </row>
    <row r="2202" spans="3:4">
      <c r="C2202" s="100"/>
      <c r="D2202" s="100"/>
    </row>
    <row r="2203" spans="3:4">
      <c r="C2203" s="100"/>
      <c r="D2203" s="100"/>
    </row>
    <row r="2204" spans="3:4">
      <c r="C2204" s="100"/>
      <c r="D2204" s="100"/>
    </row>
    <row r="2205" spans="3:4">
      <c r="C2205" s="100"/>
      <c r="D2205" s="100"/>
    </row>
    <row r="2206" spans="3:4">
      <c r="C2206" s="100"/>
      <c r="D2206" s="100"/>
    </row>
    <row r="2207" spans="3:4">
      <c r="C2207" s="100"/>
      <c r="D2207" s="100"/>
    </row>
    <row r="2208" spans="3:4">
      <c r="C2208" s="100"/>
      <c r="D2208" s="100"/>
    </row>
    <row r="2209" spans="3:4">
      <c r="C2209" s="100"/>
      <c r="D2209" s="100"/>
    </row>
    <row r="2210" spans="3:4">
      <c r="C2210" s="100"/>
      <c r="D2210" s="100"/>
    </row>
    <row r="2211" spans="3:4">
      <c r="C2211" s="100"/>
      <c r="D2211" s="100"/>
    </row>
    <row r="2212" spans="3:4">
      <c r="C2212" s="100"/>
      <c r="D2212" s="100"/>
    </row>
    <row r="2213" spans="3:4">
      <c r="C2213" s="100"/>
      <c r="D2213" s="100"/>
    </row>
    <row r="2214" spans="3:4">
      <c r="C2214" s="100"/>
      <c r="D2214" s="100"/>
    </row>
    <row r="2215" spans="3:4">
      <c r="C2215" s="100"/>
      <c r="D2215" s="100"/>
    </row>
    <row r="2216" spans="3:4">
      <c r="C2216" s="100"/>
      <c r="D2216" s="100"/>
    </row>
    <row r="2217" spans="3:4">
      <c r="C2217" s="100"/>
      <c r="D2217" s="100"/>
    </row>
    <row r="2218" spans="3:4">
      <c r="C2218" s="100"/>
      <c r="D2218" s="100"/>
    </row>
    <row r="2219" spans="3:4">
      <c r="C2219" s="100"/>
      <c r="D2219" s="100"/>
    </row>
    <row r="2220" spans="3:4">
      <c r="C2220" s="100"/>
      <c r="D2220" s="100"/>
    </row>
    <row r="2221" spans="3:4">
      <c r="C2221" s="100"/>
      <c r="D2221" s="100"/>
    </row>
    <row r="2222" spans="3:4">
      <c r="C2222" s="100"/>
      <c r="D2222" s="100"/>
    </row>
    <row r="2223" spans="3:4">
      <c r="C2223" s="100"/>
      <c r="D2223" s="100"/>
    </row>
    <row r="2224" spans="3:4">
      <c r="C2224" s="100"/>
      <c r="D2224" s="100"/>
    </row>
    <row r="2225" spans="3:4">
      <c r="C2225" s="100"/>
      <c r="D2225" s="100"/>
    </row>
    <row r="2226" spans="3:4">
      <c r="C2226" s="100"/>
      <c r="D2226" s="100"/>
    </row>
    <row r="2227" spans="3:4">
      <c r="C2227" s="100"/>
      <c r="D2227" s="100"/>
    </row>
    <row r="2228" spans="3:4">
      <c r="C2228" s="100"/>
      <c r="D2228" s="100"/>
    </row>
    <row r="2229" spans="3:4">
      <c r="C2229" s="100"/>
      <c r="D2229" s="100"/>
    </row>
    <row r="2230" spans="3:4">
      <c r="C2230" s="100"/>
      <c r="D2230" s="100"/>
    </row>
    <row r="2231" spans="3:4">
      <c r="C2231" s="100"/>
      <c r="D2231" s="100"/>
    </row>
    <row r="2232" spans="3:4">
      <c r="C2232" s="100"/>
      <c r="D2232" s="100"/>
    </row>
    <row r="2233" spans="3:4">
      <c r="C2233" s="100"/>
      <c r="D2233" s="100"/>
    </row>
    <row r="2234" spans="3:4">
      <c r="C2234" s="100"/>
      <c r="D2234" s="100"/>
    </row>
    <row r="2235" spans="3:4">
      <c r="C2235" s="100"/>
      <c r="D2235" s="100"/>
    </row>
    <row r="2236" spans="3:4">
      <c r="C2236" s="100"/>
      <c r="D2236" s="100"/>
    </row>
    <row r="2237" spans="3:4">
      <c r="C2237" s="100"/>
      <c r="D2237" s="100"/>
    </row>
    <row r="2238" spans="3:4">
      <c r="C2238" s="100"/>
      <c r="D2238" s="100"/>
    </row>
    <row r="2239" spans="3:4">
      <c r="C2239" s="100"/>
      <c r="D2239" s="100"/>
    </row>
    <row r="2240" spans="3:4">
      <c r="C2240" s="100"/>
      <c r="D2240" s="100"/>
    </row>
    <row r="2241" spans="3:4">
      <c r="C2241" s="100"/>
      <c r="D2241" s="100"/>
    </row>
    <row r="2242" spans="3:4">
      <c r="C2242" s="100"/>
      <c r="D2242" s="100"/>
    </row>
    <row r="2243" spans="3:4">
      <c r="C2243" s="100"/>
      <c r="D2243" s="100"/>
    </row>
    <row r="2244" spans="3:4">
      <c r="C2244" s="100"/>
      <c r="D2244" s="100"/>
    </row>
    <row r="2245" spans="3:4">
      <c r="C2245" s="100"/>
      <c r="D2245" s="100"/>
    </row>
    <row r="2246" spans="3:4">
      <c r="C2246" s="100"/>
      <c r="D2246" s="100"/>
    </row>
    <row r="2247" spans="3:4">
      <c r="C2247" s="100"/>
      <c r="D2247" s="100"/>
    </row>
    <row r="2248" spans="3:4">
      <c r="C2248" s="100"/>
      <c r="D2248" s="100"/>
    </row>
    <row r="2249" spans="3:4">
      <c r="C2249" s="100"/>
      <c r="D2249" s="100"/>
    </row>
    <row r="2250" spans="3:4">
      <c r="C2250" s="100"/>
      <c r="D2250" s="100"/>
    </row>
    <row r="2251" spans="3:4">
      <c r="C2251" s="100"/>
      <c r="D2251" s="100"/>
    </row>
    <row r="2252" spans="3:4">
      <c r="C2252" s="100"/>
      <c r="D2252" s="100"/>
    </row>
    <row r="2253" spans="3:4">
      <c r="C2253" s="100"/>
      <c r="D2253" s="100"/>
    </row>
    <row r="2254" spans="3:4">
      <c r="C2254" s="100"/>
      <c r="D2254" s="100"/>
    </row>
    <row r="2255" spans="3:4">
      <c r="C2255" s="100"/>
      <c r="D2255" s="100"/>
    </row>
    <row r="2256" spans="3:4">
      <c r="C2256" s="100"/>
      <c r="D2256" s="100"/>
    </row>
    <row r="2257" spans="3:4">
      <c r="C2257" s="100"/>
      <c r="D2257" s="100"/>
    </row>
    <row r="2258" spans="3:4">
      <c r="C2258" s="100"/>
      <c r="D2258" s="100"/>
    </row>
    <row r="2259" spans="3:4">
      <c r="C2259" s="100"/>
      <c r="D2259" s="100"/>
    </row>
    <row r="2260" spans="3:4">
      <c r="C2260" s="100"/>
      <c r="D2260" s="100"/>
    </row>
    <row r="2261" spans="3:4">
      <c r="C2261" s="100"/>
      <c r="D2261" s="100"/>
    </row>
    <row r="2262" spans="3:4">
      <c r="C2262" s="100"/>
      <c r="D2262" s="100"/>
    </row>
    <row r="2263" spans="3:4">
      <c r="C2263" s="100"/>
      <c r="D2263" s="100"/>
    </row>
    <row r="2264" spans="3:4">
      <c r="C2264" s="100"/>
      <c r="D2264" s="100"/>
    </row>
    <row r="2265" spans="3:4">
      <c r="C2265" s="100"/>
      <c r="D2265" s="100"/>
    </row>
    <row r="2266" spans="3:4">
      <c r="C2266" s="100"/>
      <c r="D2266" s="100"/>
    </row>
    <row r="2267" spans="3:4">
      <c r="C2267" s="100"/>
      <c r="D2267" s="100"/>
    </row>
    <row r="2268" spans="3:4">
      <c r="C2268" s="100"/>
      <c r="D2268" s="100"/>
    </row>
    <row r="2269" spans="3:4">
      <c r="C2269" s="100"/>
      <c r="D2269" s="100"/>
    </row>
    <row r="2270" spans="3:4">
      <c r="C2270" s="100"/>
      <c r="D2270" s="100"/>
    </row>
    <row r="2271" spans="3:4">
      <c r="C2271" s="100"/>
      <c r="D2271" s="100"/>
    </row>
    <row r="2272" spans="3:4">
      <c r="C2272" s="100"/>
      <c r="D2272" s="100"/>
    </row>
    <row r="2273" spans="3:4">
      <c r="C2273" s="100"/>
      <c r="D2273" s="100"/>
    </row>
    <row r="2274" spans="3:4">
      <c r="C2274" s="100"/>
      <c r="D2274" s="100"/>
    </row>
    <row r="2275" spans="3:4">
      <c r="C2275" s="100"/>
      <c r="D2275" s="100"/>
    </row>
    <row r="2276" spans="3:4">
      <c r="C2276" s="100"/>
      <c r="D2276" s="100"/>
    </row>
    <row r="2277" spans="3:4">
      <c r="C2277" s="100"/>
      <c r="D2277" s="100"/>
    </row>
    <row r="2278" spans="3:4">
      <c r="C2278" s="100"/>
      <c r="D2278" s="100"/>
    </row>
    <row r="2279" spans="3:4">
      <c r="C2279" s="100"/>
      <c r="D2279" s="100"/>
    </row>
    <row r="2280" spans="3:4">
      <c r="C2280" s="100"/>
      <c r="D2280" s="100"/>
    </row>
    <row r="2281" spans="3:4">
      <c r="C2281" s="100"/>
      <c r="D2281" s="100"/>
    </row>
    <row r="2282" spans="3:4">
      <c r="C2282" s="100"/>
      <c r="D2282" s="100"/>
    </row>
    <row r="2283" spans="3:4">
      <c r="C2283" s="100"/>
      <c r="D2283" s="100"/>
    </row>
    <row r="2284" spans="3:4">
      <c r="C2284" s="100"/>
      <c r="D2284" s="100"/>
    </row>
    <row r="2285" spans="3:4">
      <c r="C2285" s="100"/>
      <c r="D2285" s="100"/>
    </row>
    <row r="2286" spans="3:4">
      <c r="C2286" s="100"/>
      <c r="D2286" s="100"/>
    </row>
    <row r="2287" spans="3:4">
      <c r="C2287" s="100"/>
      <c r="D2287" s="100"/>
    </row>
    <row r="2288" spans="3:4">
      <c r="C2288" s="100"/>
      <c r="D2288" s="100"/>
    </row>
    <row r="2289" spans="3:4">
      <c r="C2289" s="100"/>
      <c r="D2289" s="100"/>
    </row>
    <row r="2290" spans="3:4">
      <c r="C2290" s="100"/>
      <c r="D2290" s="100"/>
    </row>
    <row r="2291" spans="3:4">
      <c r="C2291" s="100"/>
      <c r="D2291" s="100"/>
    </row>
    <row r="2292" spans="3:4">
      <c r="C2292" s="100"/>
      <c r="D2292" s="100"/>
    </row>
    <row r="2293" spans="3:4">
      <c r="C2293" s="100"/>
      <c r="D2293" s="100"/>
    </row>
    <row r="2294" spans="3:4">
      <c r="C2294" s="100"/>
      <c r="D2294" s="100"/>
    </row>
    <row r="2295" spans="3:4">
      <c r="C2295" s="100"/>
      <c r="D2295" s="100"/>
    </row>
    <row r="2296" spans="3:4">
      <c r="C2296" s="100"/>
      <c r="D2296" s="100"/>
    </row>
    <row r="2297" spans="3:4">
      <c r="C2297" s="100"/>
      <c r="D2297" s="100"/>
    </row>
    <row r="2298" spans="3:4">
      <c r="C2298" s="100"/>
      <c r="D2298" s="100"/>
    </row>
    <row r="2299" spans="3:4">
      <c r="C2299" s="100"/>
      <c r="D2299" s="100"/>
    </row>
    <row r="2300" spans="3:4">
      <c r="C2300" s="100"/>
      <c r="D2300" s="100"/>
    </row>
    <row r="2301" spans="3:4">
      <c r="C2301" s="100"/>
      <c r="D2301" s="100"/>
    </row>
    <row r="2302" spans="3:4">
      <c r="C2302" s="100"/>
      <c r="D2302" s="100"/>
    </row>
    <row r="2303" spans="3:4">
      <c r="C2303" s="100"/>
      <c r="D2303" s="100"/>
    </row>
    <row r="2304" spans="3:4">
      <c r="C2304" s="100"/>
      <c r="D2304" s="100"/>
    </row>
    <row r="2305" spans="3:4">
      <c r="C2305" s="100"/>
      <c r="D2305" s="100"/>
    </row>
    <row r="2306" spans="3:4">
      <c r="C2306" s="100"/>
      <c r="D2306" s="100"/>
    </row>
    <row r="2307" spans="3:4">
      <c r="C2307" s="100"/>
      <c r="D2307" s="100"/>
    </row>
    <row r="2308" spans="3:4">
      <c r="C2308" s="100"/>
      <c r="D2308" s="100"/>
    </row>
    <row r="2309" spans="3:4">
      <c r="C2309" s="100"/>
      <c r="D2309" s="100"/>
    </row>
    <row r="2310" spans="3:4">
      <c r="C2310" s="100"/>
      <c r="D2310" s="100"/>
    </row>
    <row r="2311" spans="3:4">
      <c r="C2311" s="100"/>
      <c r="D2311" s="100"/>
    </row>
    <row r="2312" spans="3:4">
      <c r="C2312" s="100"/>
      <c r="D2312" s="100"/>
    </row>
    <row r="2313" spans="3:4">
      <c r="C2313" s="100"/>
      <c r="D2313" s="100"/>
    </row>
    <row r="2314" spans="3:4">
      <c r="C2314" s="100"/>
      <c r="D2314" s="100"/>
    </row>
    <row r="2315" spans="3:4">
      <c r="C2315" s="100"/>
      <c r="D2315" s="100"/>
    </row>
    <row r="2316" spans="3:4">
      <c r="C2316" s="100"/>
      <c r="D2316" s="100"/>
    </row>
    <row r="2317" spans="3:4">
      <c r="C2317" s="100"/>
      <c r="D2317" s="100"/>
    </row>
    <row r="2318" spans="3:4">
      <c r="C2318" s="100"/>
      <c r="D2318" s="100"/>
    </row>
    <row r="2319" spans="3:4">
      <c r="C2319" s="100"/>
      <c r="D2319" s="100"/>
    </row>
    <row r="2320" spans="3:4">
      <c r="C2320" s="100"/>
      <c r="D2320" s="100"/>
    </row>
    <row r="2321" spans="3:4">
      <c r="C2321" s="100"/>
      <c r="D2321" s="100"/>
    </row>
    <row r="2322" spans="3:4">
      <c r="C2322" s="100"/>
      <c r="D2322" s="100"/>
    </row>
    <row r="2323" spans="3:4">
      <c r="C2323" s="100"/>
      <c r="D2323" s="100"/>
    </row>
    <row r="2324" spans="3:4">
      <c r="C2324" s="100"/>
      <c r="D2324" s="100"/>
    </row>
    <row r="2325" spans="3:4">
      <c r="C2325" s="100"/>
      <c r="D2325" s="100"/>
    </row>
    <row r="2326" spans="3:4">
      <c r="C2326" s="100"/>
      <c r="D2326" s="100"/>
    </row>
    <row r="2327" spans="3:4">
      <c r="C2327" s="100"/>
      <c r="D2327" s="100"/>
    </row>
    <row r="2328" spans="3:4">
      <c r="C2328" s="100"/>
      <c r="D2328" s="100"/>
    </row>
    <row r="2329" spans="3:4">
      <c r="C2329" s="100"/>
      <c r="D2329" s="100"/>
    </row>
    <row r="2330" spans="3:4">
      <c r="C2330" s="100"/>
      <c r="D2330" s="100"/>
    </row>
    <row r="2331" spans="3:4">
      <c r="C2331" s="100"/>
      <c r="D2331" s="100"/>
    </row>
    <row r="2332" spans="3:4">
      <c r="C2332" s="100"/>
      <c r="D2332" s="100"/>
    </row>
    <row r="2333" spans="3:4">
      <c r="C2333" s="100"/>
      <c r="D2333" s="100"/>
    </row>
    <row r="2334" spans="3:4">
      <c r="C2334" s="100"/>
      <c r="D2334" s="100"/>
    </row>
    <row r="2335" spans="3:4">
      <c r="C2335" s="100"/>
      <c r="D2335" s="100"/>
    </row>
    <row r="2336" spans="3:4">
      <c r="C2336" s="100"/>
      <c r="D2336" s="100"/>
    </row>
    <row r="2337" spans="3:4">
      <c r="C2337" s="100"/>
      <c r="D2337" s="100"/>
    </row>
    <row r="2338" spans="3:4">
      <c r="C2338" s="100"/>
      <c r="D2338" s="100"/>
    </row>
    <row r="2339" spans="3:4">
      <c r="C2339" s="100"/>
      <c r="D2339" s="100"/>
    </row>
    <row r="2340" spans="3:4">
      <c r="C2340" s="100"/>
      <c r="D2340" s="100"/>
    </row>
    <row r="2341" spans="3:4">
      <c r="C2341" s="100"/>
      <c r="D2341" s="100"/>
    </row>
    <row r="2342" spans="3:4">
      <c r="C2342" s="100"/>
      <c r="D2342" s="100"/>
    </row>
    <row r="2343" spans="3:4">
      <c r="C2343" s="100"/>
      <c r="D2343" s="100"/>
    </row>
    <row r="2344" spans="3:4">
      <c r="C2344" s="100"/>
      <c r="D2344" s="100"/>
    </row>
    <row r="2345" spans="3:4">
      <c r="C2345" s="100"/>
      <c r="D2345" s="100"/>
    </row>
    <row r="2346" spans="3:4">
      <c r="C2346" s="100"/>
      <c r="D2346" s="100"/>
    </row>
    <row r="2347" spans="3:4">
      <c r="C2347" s="100"/>
      <c r="D2347" s="100"/>
    </row>
    <row r="2348" spans="3:4">
      <c r="C2348" s="100"/>
      <c r="D2348" s="100"/>
    </row>
    <row r="2349" spans="3:4">
      <c r="C2349" s="100"/>
      <c r="D2349" s="100"/>
    </row>
    <row r="2350" spans="3:4">
      <c r="C2350" s="100"/>
      <c r="D2350" s="100"/>
    </row>
    <row r="2351" spans="3:4">
      <c r="C2351" s="100"/>
      <c r="D2351" s="100"/>
    </row>
    <row r="2352" spans="3:4">
      <c r="C2352" s="100"/>
      <c r="D2352" s="100"/>
    </row>
    <row r="2353" spans="3:4">
      <c r="C2353" s="100"/>
      <c r="D2353" s="100"/>
    </row>
    <row r="2354" spans="3:4">
      <c r="C2354" s="100"/>
      <c r="D2354" s="100"/>
    </row>
    <row r="2355" spans="3:4">
      <c r="C2355" s="100"/>
      <c r="D2355" s="100"/>
    </row>
    <row r="2356" spans="3:4">
      <c r="C2356" s="100"/>
      <c r="D2356" s="100"/>
    </row>
    <row r="2357" spans="3:4">
      <c r="C2357" s="100"/>
      <c r="D2357" s="100"/>
    </row>
    <row r="2358" spans="3:4">
      <c r="C2358" s="100"/>
      <c r="D2358" s="100"/>
    </row>
    <row r="2359" spans="3:4">
      <c r="C2359" s="100"/>
      <c r="D2359" s="100"/>
    </row>
    <row r="2360" spans="3:4">
      <c r="C2360" s="100"/>
      <c r="D2360" s="100"/>
    </row>
    <row r="2361" spans="3:4">
      <c r="C2361" s="100"/>
      <c r="D2361" s="100"/>
    </row>
    <row r="2362" spans="3:4">
      <c r="C2362" s="100"/>
      <c r="D2362" s="100"/>
    </row>
    <row r="2363" spans="3:4">
      <c r="C2363" s="100"/>
      <c r="D2363" s="100"/>
    </row>
    <row r="2364" spans="3:4">
      <c r="C2364" s="100"/>
      <c r="D2364" s="100"/>
    </row>
    <row r="2365" spans="3:4">
      <c r="C2365" s="100"/>
      <c r="D2365" s="100"/>
    </row>
    <row r="2366" spans="3:4">
      <c r="C2366" s="100"/>
      <c r="D2366" s="100"/>
    </row>
    <row r="2367" spans="3:4">
      <c r="C2367" s="100"/>
      <c r="D2367" s="100"/>
    </row>
    <row r="2368" spans="3:4">
      <c r="C2368" s="100"/>
      <c r="D2368" s="100"/>
    </row>
    <row r="2369" spans="3:4">
      <c r="C2369" s="100"/>
      <c r="D2369" s="100"/>
    </row>
    <row r="2370" spans="3:4">
      <c r="C2370" s="100"/>
      <c r="D2370" s="100"/>
    </row>
    <row r="2371" spans="3:4">
      <c r="C2371" s="100"/>
      <c r="D2371" s="100"/>
    </row>
    <row r="2372" spans="3:4">
      <c r="C2372" s="100"/>
      <c r="D2372" s="100"/>
    </row>
    <row r="2373" spans="3:4">
      <c r="C2373" s="100"/>
      <c r="D2373" s="100"/>
    </row>
    <row r="2374" spans="3:4">
      <c r="C2374" s="100"/>
      <c r="D2374" s="100"/>
    </row>
    <row r="2375" spans="3:4">
      <c r="C2375" s="100"/>
      <c r="D2375" s="100"/>
    </row>
    <row r="2376" spans="3:4">
      <c r="C2376" s="100"/>
      <c r="D2376" s="100"/>
    </row>
    <row r="2377" spans="3:4">
      <c r="C2377" s="100"/>
      <c r="D2377" s="100"/>
    </row>
    <row r="2378" spans="3:4">
      <c r="C2378" s="100"/>
      <c r="D2378" s="100"/>
    </row>
    <row r="2379" spans="3:4">
      <c r="C2379" s="100"/>
      <c r="D2379" s="100"/>
    </row>
    <row r="2380" spans="3:4">
      <c r="C2380" s="100"/>
      <c r="D2380" s="100"/>
    </row>
    <row r="2381" spans="3:4">
      <c r="C2381" s="100"/>
      <c r="D2381" s="100"/>
    </row>
    <row r="2382" spans="3:4">
      <c r="C2382" s="100"/>
      <c r="D2382" s="100"/>
    </row>
    <row r="2383" spans="3:4">
      <c r="C2383" s="100"/>
      <c r="D2383" s="100"/>
    </row>
    <row r="2384" spans="3:4">
      <c r="C2384" s="100"/>
      <c r="D2384" s="100"/>
    </row>
    <row r="2385" spans="3:4">
      <c r="C2385" s="100"/>
      <c r="D2385" s="100"/>
    </row>
    <row r="2386" spans="3:4">
      <c r="C2386" s="100"/>
      <c r="D2386" s="100"/>
    </row>
    <row r="2387" spans="3:4">
      <c r="C2387" s="100"/>
      <c r="D2387" s="100"/>
    </row>
    <row r="2388" spans="3:4">
      <c r="C2388" s="100"/>
      <c r="D2388" s="100"/>
    </row>
    <row r="2389" spans="3:4">
      <c r="C2389" s="100"/>
      <c r="D2389" s="100"/>
    </row>
    <row r="2390" spans="3:4">
      <c r="C2390" s="100"/>
      <c r="D2390" s="100"/>
    </row>
    <row r="2391" spans="3:4">
      <c r="C2391" s="100"/>
      <c r="D2391" s="100"/>
    </row>
    <row r="2392" spans="3:4">
      <c r="C2392" s="100"/>
      <c r="D2392" s="100"/>
    </row>
    <row r="2393" spans="3:4">
      <c r="C2393" s="100"/>
      <c r="D2393" s="100"/>
    </row>
    <row r="2394" spans="3:4">
      <c r="C2394" s="100"/>
      <c r="D2394" s="100"/>
    </row>
    <row r="2395" spans="3:4">
      <c r="C2395" s="100"/>
      <c r="D2395" s="100"/>
    </row>
    <row r="2396" spans="3:4">
      <c r="C2396" s="100"/>
      <c r="D2396" s="100"/>
    </row>
    <row r="2397" spans="3:4">
      <c r="C2397" s="100"/>
      <c r="D2397" s="100"/>
    </row>
    <row r="2398" spans="3:4">
      <c r="C2398" s="100"/>
      <c r="D2398" s="100"/>
    </row>
    <row r="2399" spans="3:4">
      <c r="C2399" s="100"/>
      <c r="D2399" s="100"/>
    </row>
    <row r="2400" spans="3:4">
      <c r="C2400" s="100"/>
      <c r="D2400" s="100"/>
    </row>
    <row r="2401" spans="3:4">
      <c r="C2401" s="100"/>
      <c r="D2401" s="100"/>
    </row>
    <row r="2402" spans="3:4">
      <c r="C2402" s="100"/>
      <c r="D2402" s="100"/>
    </row>
    <row r="2403" spans="3:4">
      <c r="C2403" s="100"/>
      <c r="D2403" s="100"/>
    </row>
    <row r="2404" spans="3:4">
      <c r="C2404" s="100"/>
      <c r="D2404" s="100"/>
    </row>
    <row r="2405" spans="3:4">
      <c r="C2405" s="100"/>
      <c r="D2405" s="100"/>
    </row>
    <row r="2406" spans="3:4">
      <c r="C2406" s="100"/>
      <c r="D2406" s="100"/>
    </row>
    <row r="2407" spans="3:4">
      <c r="C2407" s="100"/>
      <c r="D2407" s="100"/>
    </row>
    <row r="2408" spans="3:4">
      <c r="C2408" s="100"/>
      <c r="D2408" s="100"/>
    </row>
    <row r="2409" spans="3:4">
      <c r="C2409" s="100"/>
      <c r="D2409" s="100"/>
    </row>
    <row r="2410" spans="3:4">
      <c r="C2410" s="100"/>
      <c r="D2410" s="100"/>
    </row>
    <row r="2411" spans="3:4">
      <c r="C2411" s="100"/>
      <c r="D2411" s="100"/>
    </row>
    <row r="2412" spans="3:4">
      <c r="C2412" s="100"/>
      <c r="D2412" s="100"/>
    </row>
    <row r="2413" spans="3:4">
      <c r="C2413" s="100"/>
      <c r="D2413" s="100"/>
    </row>
    <row r="2414" spans="3:4">
      <c r="C2414" s="100"/>
      <c r="D2414" s="100"/>
    </row>
    <row r="2415" spans="3:4">
      <c r="C2415" s="100"/>
      <c r="D2415" s="100"/>
    </row>
    <row r="2416" spans="3:4">
      <c r="C2416" s="100"/>
      <c r="D2416" s="100"/>
    </row>
    <row r="2417" spans="3:4">
      <c r="C2417" s="100"/>
      <c r="D2417" s="100"/>
    </row>
    <row r="2418" spans="3:4">
      <c r="C2418" s="100"/>
      <c r="D2418" s="100"/>
    </row>
    <row r="2419" spans="3:4">
      <c r="C2419" s="100"/>
      <c r="D2419" s="100"/>
    </row>
    <row r="2420" spans="3:4">
      <c r="C2420" s="100"/>
      <c r="D2420" s="100"/>
    </row>
    <row r="2421" spans="3:4">
      <c r="C2421" s="100"/>
      <c r="D2421" s="100"/>
    </row>
    <row r="2422" spans="3:4">
      <c r="C2422" s="100"/>
      <c r="D2422" s="100"/>
    </row>
    <row r="2423" spans="3:4">
      <c r="C2423" s="100"/>
      <c r="D2423" s="100"/>
    </row>
    <row r="2424" spans="3:4">
      <c r="C2424" s="100"/>
      <c r="D2424" s="100"/>
    </row>
    <row r="2425" spans="3:4">
      <c r="C2425" s="100"/>
      <c r="D2425" s="100"/>
    </row>
    <row r="2426" spans="3:4">
      <c r="C2426" s="100"/>
      <c r="D2426" s="100"/>
    </row>
    <row r="2427" spans="3:4">
      <c r="C2427" s="100"/>
      <c r="D2427" s="100"/>
    </row>
    <row r="2428" spans="3:4">
      <c r="C2428" s="100"/>
      <c r="D2428" s="100"/>
    </row>
    <row r="2429" spans="3:4">
      <c r="C2429" s="100"/>
      <c r="D2429" s="100"/>
    </row>
    <row r="2430" spans="3:4">
      <c r="C2430" s="100"/>
      <c r="D2430" s="100"/>
    </row>
    <row r="2431" spans="3:4">
      <c r="C2431" s="100"/>
      <c r="D2431" s="100"/>
    </row>
    <row r="2432" spans="3:4">
      <c r="C2432" s="100"/>
      <c r="D2432" s="100"/>
    </row>
    <row r="2433" spans="3:4">
      <c r="C2433" s="100"/>
      <c r="D2433" s="100"/>
    </row>
    <row r="2434" spans="3:4">
      <c r="C2434" s="100"/>
      <c r="D2434" s="100"/>
    </row>
    <row r="2435" spans="3:4">
      <c r="C2435" s="100"/>
      <c r="D2435" s="100"/>
    </row>
    <row r="2436" spans="3:4">
      <c r="C2436" s="100"/>
      <c r="D2436" s="100"/>
    </row>
    <row r="2437" spans="3:4">
      <c r="C2437" s="100"/>
      <c r="D2437" s="100"/>
    </row>
    <row r="2438" spans="3:4">
      <c r="C2438" s="100"/>
      <c r="D2438" s="100"/>
    </row>
    <row r="2439" spans="3:4">
      <c r="C2439" s="100"/>
      <c r="D2439" s="100"/>
    </row>
    <row r="2440" spans="3:4">
      <c r="C2440" s="100"/>
      <c r="D2440" s="100"/>
    </row>
    <row r="2441" spans="3:4">
      <c r="C2441" s="100"/>
      <c r="D2441" s="100"/>
    </row>
    <row r="2442" spans="3:4">
      <c r="C2442" s="100"/>
      <c r="D2442" s="100"/>
    </row>
    <row r="2443" spans="3:4">
      <c r="C2443" s="100"/>
      <c r="D2443" s="100"/>
    </row>
    <row r="2444" spans="3:4">
      <c r="C2444" s="100"/>
      <c r="D2444" s="100"/>
    </row>
    <row r="2445" spans="3:4">
      <c r="C2445" s="100"/>
      <c r="D2445" s="100"/>
    </row>
    <row r="2446" spans="3:4">
      <c r="C2446" s="100"/>
      <c r="D2446" s="100"/>
    </row>
    <row r="2447" spans="3:4">
      <c r="C2447" s="100"/>
      <c r="D2447" s="100"/>
    </row>
    <row r="2448" spans="3:4">
      <c r="C2448" s="100"/>
      <c r="D2448" s="100"/>
    </row>
    <row r="2449" spans="3:4">
      <c r="C2449" s="100"/>
      <c r="D2449" s="100"/>
    </row>
    <row r="2450" spans="3:4">
      <c r="C2450" s="100"/>
      <c r="D2450" s="100"/>
    </row>
    <row r="2451" spans="3:4">
      <c r="C2451" s="100"/>
      <c r="D2451" s="100"/>
    </row>
    <row r="2452" spans="3:4">
      <c r="C2452" s="100"/>
      <c r="D2452" s="100"/>
    </row>
    <row r="2453" spans="3:4">
      <c r="C2453" s="100"/>
      <c r="D2453" s="100"/>
    </row>
    <row r="2454" spans="3:4">
      <c r="C2454" s="100"/>
      <c r="D2454" s="100"/>
    </row>
    <row r="2455" spans="3:4">
      <c r="C2455" s="100"/>
      <c r="D2455" s="100"/>
    </row>
    <row r="2456" spans="3:4">
      <c r="C2456" s="100"/>
      <c r="D2456" s="100"/>
    </row>
    <row r="2457" spans="3:4">
      <c r="C2457" s="100"/>
      <c r="D2457" s="100"/>
    </row>
    <row r="2458" spans="3:4">
      <c r="C2458" s="100"/>
      <c r="D2458" s="100"/>
    </row>
    <row r="2459" spans="3:4">
      <c r="C2459" s="100"/>
      <c r="D2459" s="100"/>
    </row>
    <row r="2460" spans="3:4">
      <c r="C2460" s="100"/>
      <c r="D2460" s="100"/>
    </row>
    <row r="2461" spans="3:4">
      <c r="C2461" s="100"/>
      <c r="D2461" s="100"/>
    </row>
    <row r="2462" spans="3:4">
      <c r="C2462" s="100"/>
      <c r="D2462" s="100"/>
    </row>
    <row r="2463" spans="3:4">
      <c r="C2463" s="100"/>
      <c r="D2463" s="100"/>
    </row>
    <row r="2464" spans="3:4">
      <c r="C2464" s="100"/>
      <c r="D2464" s="100"/>
    </row>
    <row r="2465" spans="3:4">
      <c r="C2465" s="100"/>
      <c r="D2465" s="100"/>
    </row>
    <row r="2466" spans="3:4">
      <c r="C2466" s="100"/>
      <c r="D2466" s="100"/>
    </row>
    <row r="2467" spans="3:4">
      <c r="C2467" s="100"/>
      <c r="D2467" s="100"/>
    </row>
    <row r="2468" spans="3:4">
      <c r="C2468" s="100"/>
      <c r="D2468" s="100"/>
    </row>
    <row r="2469" spans="3:4">
      <c r="C2469" s="100"/>
      <c r="D2469" s="100"/>
    </row>
    <row r="2470" spans="3:4">
      <c r="C2470" s="100"/>
      <c r="D2470" s="100"/>
    </row>
    <row r="2471" spans="3:4">
      <c r="C2471" s="100"/>
      <c r="D2471" s="100"/>
    </row>
    <row r="2472" spans="3:4">
      <c r="C2472" s="100"/>
      <c r="D2472" s="100"/>
    </row>
    <row r="2473" spans="3:4">
      <c r="C2473" s="100"/>
      <c r="D2473" s="100"/>
    </row>
    <row r="2474" spans="3:4">
      <c r="C2474" s="100"/>
      <c r="D2474" s="100"/>
    </row>
    <row r="2475" spans="3:4">
      <c r="C2475" s="100"/>
      <c r="D2475" s="100"/>
    </row>
    <row r="2476" spans="3:4">
      <c r="C2476" s="100"/>
      <c r="D2476" s="100"/>
    </row>
    <row r="2477" spans="3:4">
      <c r="C2477" s="100"/>
      <c r="D2477" s="100"/>
    </row>
    <row r="2478" spans="3:4">
      <c r="C2478" s="100"/>
      <c r="D2478" s="100"/>
    </row>
    <row r="2479" spans="3:4">
      <c r="C2479" s="100"/>
      <c r="D2479" s="100"/>
    </row>
    <row r="2480" spans="3:4">
      <c r="C2480" s="100"/>
      <c r="D2480" s="100"/>
    </row>
    <row r="2481" spans="3:4">
      <c r="C2481" s="100"/>
      <c r="D2481" s="100"/>
    </row>
    <row r="2482" spans="3:4">
      <c r="C2482" s="100"/>
      <c r="D2482" s="100"/>
    </row>
    <row r="2483" spans="3:4">
      <c r="C2483" s="100"/>
      <c r="D2483" s="100"/>
    </row>
    <row r="2484" spans="3:4">
      <c r="C2484" s="100"/>
      <c r="D2484" s="100"/>
    </row>
    <row r="2485" spans="3:4">
      <c r="C2485" s="100"/>
      <c r="D2485" s="100"/>
    </row>
    <row r="2486" spans="3:4">
      <c r="C2486" s="100"/>
      <c r="D2486" s="100"/>
    </row>
    <row r="2487" spans="3:4">
      <c r="C2487" s="100"/>
      <c r="D2487" s="100"/>
    </row>
    <row r="2488" spans="3:4">
      <c r="C2488" s="100"/>
      <c r="D2488" s="100"/>
    </row>
    <row r="2489" spans="3:4">
      <c r="C2489" s="100"/>
      <c r="D2489" s="100"/>
    </row>
    <row r="2490" spans="3:4">
      <c r="C2490" s="100"/>
      <c r="D2490" s="100"/>
    </row>
    <row r="2491" spans="3:4">
      <c r="C2491" s="100"/>
      <c r="D2491" s="100"/>
    </row>
    <row r="2492" spans="3:4">
      <c r="C2492" s="100"/>
      <c r="D2492" s="100"/>
    </row>
    <row r="2493" spans="3:4">
      <c r="C2493" s="100"/>
      <c r="D2493" s="100"/>
    </row>
    <row r="2494" spans="3:4">
      <c r="C2494" s="100"/>
      <c r="D2494" s="100"/>
    </row>
    <row r="2495" spans="3:4">
      <c r="C2495" s="100"/>
      <c r="D2495" s="100"/>
    </row>
    <row r="2496" spans="3:4">
      <c r="C2496" s="100"/>
      <c r="D2496" s="100"/>
    </row>
    <row r="2497" spans="3:4">
      <c r="C2497" s="100"/>
      <c r="D2497" s="100"/>
    </row>
    <row r="2498" spans="3:4">
      <c r="C2498" s="100"/>
      <c r="D2498" s="100"/>
    </row>
    <row r="2499" spans="3:4">
      <c r="C2499" s="100"/>
      <c r="D2499" s="100"/>
    </row>
    <row r="2500" spans="3:4">
      <c r="C2500" s="100"/>
      <c r="D2500" s="100"/>
    </row>
    <row r="2501" spans="3:4">
      <c r="C2501" s="100"/>
      <c r="D2501" s="100"/>
    </row>
    <row r="2502" spans="3:4">
      <c r="C2502" s="100"/>
      <c r="D2502" s="100"/>
    </row>
    <row r="2503" spans="3:4">
      <c r="C2503" s="100"/>
      <c r="D2503" s="100"/>
    </row>
    <row r="2504" spans="3:4">
      <c r="C2504" s="100"/>
      <c r="D2504" s="100"/>
    </row>
    <row r="2505" spans="3:4">
      <c r="C2505" s="100"/>
      <c r="D2505" s="100"/>
    </row>
    <row r="2506" spans="3:4">
      <c r="C2506" s="100"/>
      <c r="D2506" s="100"/>
    </row>
    <row r="2507" spans="3:4">
      <c r="C2507" s="100"/>
      <c r="D2507" s="100"/>
    </row>
    <row r="2508" spans="3:4">
      <c r="C2508" s="100"/>
      <c r="D2508" s="100"/>
    </row>
    <row r="2509" spans="3:4">
      <c r="C2509" s="100"/>
      <c r="D2509" s="100"/>
    </row>
    <row r="2510" spans="3:4">
      <c r="C2510" s="100"/>
      <c r="D2510" s="100"/>
    </row>
    <row r="2511" spans="3:4">
      <c r="C2511" s="100"/>
      <c r="D2511" s="100"/>
    </row>
    <row r="2512" spans="3:4">
      <c r="C2512" s="100"/>
      <c r="D2512" s="100"/>
    </row>
    <row r="2513" spans="3:4">
      <c r="C2513" s="100"/>
      <c r="D2513" s="100"/>
    </row>
    <row r="2514" spans="3:4">
      <c r="C2514" s="100"/>
      <c r="D2514" s="100"/>
    </row>
    <row r="2515" spans="3:4">
      <c r="C2515" s="100"/>
      <c r="D2515" s="100"/>
    </row>
    <row r="2516" spans="3:4">
      <c r="C2516" s="100"/>
      <c r="D2516" s="100"/>
    </row>
    <row r="2517" spans="3:4">
      <c r="C2517" s="100"/>
      <c r="D2517" s="100"/>
    </row>
    <row r="2518" spans="3:4">
      <c r="C2518" s="100"/>
      <c r="D2518" s="100"/>
    </row>
    <row r="2519" spans="3:4">
      <c r="C2519" s="100"/>
      <c r="D2519" s="100"/>
    </row>
    <row r="2520" spans="3:4">
      <c r="C2520" s="100"/>
      <c r="D2520" s="100"/>
    </row>
    <row r="2521" spans="3:4">
      <c r="C2521" s="100"/>
      <c r="D2521" s="100"/>
    </row>
    <row r="2522" spans="3:4">
      <c r="C2522" s="100"/>
      <c r="D2522" s="100"/>
    </row>
    <row r="2523" spans="3:4">
      <c r="C2523" s="100"/>
      <c r="D2523" s="100"/>
    </row>
    <row r="2524" spans="3:4">
      <c r="C2524" s="100"/>
      <c r="D2524" s="100"/>
    </row>
    <row r="2525" spans="3:4">
      <c r="C2525" s="100"/>
      <c r="D2525" s="100"/>
    </row>
    <row r="2526" spans="3:4">
      <c r="C2526" s="100"/>
      <c r="D2526" s="100"/>
    </row>
    <row r="2527" spans="3:4">
      <c r="C2527" s="100"/>
      <c r="D2527" s="100"/>
    </row>
    <row r="2528" spans="3:4">
      <c r="C2528" s="100"/>
      <c r="D2528" s="100"/>
    </row>
    <row r="2529" spans="3:4">
      <c r="C2529" s="100"/>
      <c r="D2529" s="100"/>
    </row>
    <row r="2530" spans="3:4">
      <c r="C2530" s="100"/>
      <c r="D2530" s="100"/>
    </row>
    <row r="2531" spans="3:4">
      <c r="C2531" s="100"/>
      <c r="D2531" s="100"/>
    </row>
    <row r="2532" spans="3:4">
      <c r="C2532" s="100"/>
      <c r="D2532" s="100"/>
    </row>
    <row r="2533" spans="3:4">
      <c r="C2533" s="100"/>
      <c r="D2533" s="100"/>
    </row>
    <row r="2534" spans="3:4">
      <c r="C2534" s="100"/>
      <c r="D2534" s="100"/>
    </row>
    <row r="2535" spans="3:4">
      <c r="C2535" s="100"/>
      <c r="D2535" s="100"/>
    </row>
    <row r="2536" spans="3:4">
      <c r="C2536" s="100"/>
      <c r="D2536" s="100"/>
    </row>
    <row r="2537" spans="3:4">
      <c r="C2537" s="100"/>
      <c r="D2537" s="100"/>
    </row>
    <row r="2538" spans="3:4">
      <c r="C2538" s="100"/>
      <c r="D2538" s="100"/>
    </row>
    <row r="2539" spans="3:4">
      <c r="C2539" s="100"/>
      <c r="D2539" s="100"/>
    </row>
    <row r="2540" spans="3:4">
      <c r="C2540" s="100"/>
      <c r="D2540" s="100"/>
    </row>
    <row r="2541" spans="3:4">
      <c r="C2541" s="100"/>
      <c r="D2541" s="100"/>
    </row>
    <row r="2542" spans="3:4">
      <c r="C2542" s="100"/>
      <c r="D2542" s="100"/>
    </row>
    <row r="2543" spans="3:4">
      <c r="C2543" s="100"/>
      <c r="D2543" s="100"/>
    </row>
    <row r="2544" spans="3:4">
      <c r="C2544" s="100"/>
      <c r="D2544" s="100"/>
    </row>
    <row r="2545" spans="3:4">
      <c r="C2545" s="100"/>
      <c r="D2545" s="100"/>
    </row>
    <row r="2546" spans="3:4">
      <c r="C2546" s="100"/>
      <c r="D2546" s="100"/>
    </row>
    <row r="2547" spans="3:4">
      <c r="C2547" s="100"/>
      <c r="D2547" s="100"/>
    </row>
    <row r="2548" spans="3:4">
      <c r="C2548" s="100"/>
      <c r="D2548" s="100"/>
    </row>
    <row r="2549" spans="3:4">
      <c r="C2549" s="100"/>
      <c r="D2549" s="100"/>
    </row>
    <row r="2550" spans="3:4">
      <c r="C2550" s="100"/>
      <c r="D2550" s="100"/>
    </row>
    <row r="2551" spans="3:4">
      <c r="C2551" s="100"/>
      <c r="D2551" s="100"/>
    </row>
    <row r="2552" spans="3:4">
      <c r="C2552" s="100"/>
      <c r="D2552" s="100"/>
    </row>
    <row r="2553" spans="3:4">
      <c r="C2553" s="100"/>
      <c r="D2553" s="100"/>
    </row>
    <row r="2554" spans="3:4">
      <c r="C2554" s="100"/>
      <c r="D2554" s="100"/>
    </row>
    <row r="2555" spans="3:4">
      <c r="C2555" s="100"/>
      <c r="D2555" s="100"/>
    </row>
    <row r="2556" spans="3:4">
      <c r="C2556" s="100"/>
      <c r="D2556" s="100"/>
    </row>
    <row r="2557" spans="3:4">
      <c r="C2557" s="100"/>
      <c r="D2557" s="100"/>
    </row>
    <row r="2558" spans="3:4">
      <c r="C2558" s="100"/>
      <c r="D2558" s="100"/>
    </row>
    <row r="2559" spans="3:4">
      <c r="C2559" s="100"/>
      <c r="D2559" s="100"/>
    </row>
    <row r="2560" spans="3:4">
      <c r="C2560" s="100"/>
      <c r="D2560" s="100"/>
    </row>
    <row r="2561" spans="3:4">
      <c r="C2561" s="100"/>
      <c r="D2561" s="100"/>
    </row>
    <row r="2562" spans="3:4">
      <c r="C2562" s="100"/>
      <c r="D2562" s="100"/>
    </row>
    <row r="2563" spans="3:4">
      <c r="C2563" s="100"/>
      <c r="D2563" s="100"/>
    </row>
    <row r="2564" spans="3:4">
      <c r="C2564" s="100"/>
      <c r="D2564" s="100"/>
    </row>
    <row r="2565" spans="3:4">
      <c r="C2565" s="100"/>
      <c r="D2565" s="100"/>
    </row>
    <row r="2566" spans="3:4">
      <c r="C2566" s="100"/>
      <c r="D2566" s="100"/>
    </row>
    <row r="2567" spans="3:4">
      <c r="C2567" s="100"/>
      <c r="D2567" s="100"/>
    </row>
    <row r="2568" spans="3:4">
      <c r="C2568" s="100"/>
      <c r="D2568" s="100"/>
    </row>
    <row r="2569" spans="3:4">
      <c r="C2569" s="100"/>
      <c r="D2569" s="100"/>
    </row>
    <row r="2570" spans="3:4">
      <c r="C2570" s="100"/>
      <c r="D2570" s="100"/>
    </row>
    <row r="2571" spans="3:4">
      <c r="C2571" s="100"/>
      <c r="D2571" s="100"/>
    </row>
    <row r="2572" spans="3:4">
      <c r="C2572" s="100"/>
      <c r="D2572" s="100"/>
    </row>
    <row r="2573" spans="3:4">
      <c r="C2573" s="100"/>
      <c r="D2573" s="100"/>
    </row>
    <row r="2574" spans="3:4">
      <c r="C2574" s="100"/>
      <c r="D2574" s="100"/>
    </row>
    <row r="2575" spans="3:4">
      <c r="C2575" s="100"/>
      <c r="D2575" s="100"/>
    </row>
    <row r="2576" spans="3:4">
      <c r="C2576" s="100"/>
      <c r="D2576" s="100"/>
    </row>
    <row r="2577" spans="3:4">
      <c r="C2577" s="100"/>
      <c r="D2577" s="100"/>
    </row>
    <row r="2578" spans="3:4">
      <c r="C2578" s="100"/>
      <c r="D2578" s="100"/>
    </row>
    <row r="2579" spans="3:4">
      <c r="C2579" s="100"/>
      <c r="D2579" s="100"/>
    </row>
    <row r="2580" spans="3:4">
      <c r="C2580" s="100"/>
      <c r="D2580" s="100"/>
    </row>
    <row r="2581" spans="3:4">
      <c r="C2581" s="100"/>
      <c r="D2581" s="100"/>
    </row>
    <row r="2582" spans="3:4">
      <c r="C2582" s="100"/>
      <c r="D2582" s="100"/>
    </row>
    <row r="2583" spans="3:4">
      <c r="C2583" s="100"/>
      <c r="D2583" s="100"/>
    </row>
    <row r="2584" spans="3:4">
      <c r="C2584" s="100"/>
      <c r="D2584" s="100"/>
    </row>
    <row r="2585" spans="3:4">
      <c r="C2585" s="100"/>
      <c r="D2585" s="100"/>
    </row>
    <row r="2586" spans="3:4">
      <c r="C2586" s="100"/>
      <c r="D2586" s="100"/>
    </row>
  </sheetData>
  <mergeCells count="2">
    <mergeCell ref="S51:T51"/>
    <mergeCell ref="W51:X51"/>
  </mergeCells>
  <phoneticPr fontId="150" type="noConversion"/>
  <conditionalFormatting pivot="1" sqref="E11:G23">
    <cfRule type="iconSet" priority="18">
      <iconSet reverse="1">
        <cfvo type="percent" val="0"/>
        <cfvo type="percent" val="0" gte="0"/>
        <cfvo type="percent" val="30"/>
      </iconSet>
    </cfRule>
  </conditionalFormatting>
  <conditionalFormatting pivot="1" sqref="L11:N21">
    <cfRule type="iconSet" priority="14">
      <iconSet reverse="1">
        <cfvo type="percent" val="0"/>
        <cfvo type="percent" val="0" gte="0"/>
        <cfvo type="percent" val="30"/>
      </iconSet>
    </cfRule>
  </conditionalFormatting>
  <conditionalFormatting pivot="1" sqref="D81:D92">
    <cfRule type="iconSet" priority="9">
      <iconSet reverse="1">
        <cfvo type="percent" val="0"/>
        <cfvo type="num" val="0" gte="0"/>
        <cfvo type="num" val="0.3"/>
      </iconSet>
    </cfRule>
  </conditionalFormatting>
  <conditionalFormatting pivot="1" sqref="D102:D111">
    <cfRule type="iconSet" priority="8">
      <iconSet reverse="1">
        <cfvo type="percent" val="0"/>
        <cfvo type="num" val="0" gte="0"/>
        <cfvo type="num" val="0.3"/>
      </iconSet>
    </cfRule>
  </conditionalFormatting>
  <conditionalFormatting pivot="1" sqref="D188:D199">
    <cfRule type="iconSet" priority="7">
      <iconSet>
        <cfvo type="percent" val="0"/>
        <cfvo type="num" val="0" gte="0"/>
        <cfvo type="num" val="0.3"/>
      </iconSet>
    </cfRule>
  </conditionalFormatting>
  <conditionalFormatting pivot="1" sqref="L189:L198">
    <cfRule type="iconSet" priority="6">
      <iconSet reverse="1">
        <cfvo type="percent" val="0"/>
        <cfvo type="num" val="0" gte="0"/>
        <cfvo type="num" val="0.3"/>
      </iconSet>
    </cfRule>
  </conditionalFormatting>
  <conditionalFormatting pivot="1" sqref="D268:D279">
    <cfRule type="iconSet" priority="5">
      <iconSet reverse="1">
        <cfvo type="percent" val="0"/>
        <cfvo type="num" val="0" gte="0"/>
        <cfvo type="num" val="0.3"/>
      </iconSet>
    </cfRule>
  </conditionalFormatting>
  <conditionalFormatting pivot="1" sqref="M267:M276">
    <cfRule type="iconSet" priority="4">
      <iconSet reverse="1">
        <cfvo type="percent" val="0"/>
        <cfvo type="num" val="0" gte="0"/>
        <cfvo type="num" val="0.3"/>
      </iconSet>
    </cfRule>
  </conditionalFormatting>
  <conditionalFormatting sqref="E81:E94">
    <cfRule type="iconSet" priority="1">
      <iconSet reverse="1">
        <cfvo type="percent" val="0"/>
        <cfvo type="percent" val="0" gte="0"/>
        <cfvo type="percent" val="30"/>
      </iconSet>
    </cfRule>
  </conditionalFormatting>
  <pageMargins left="0.7" right="0.7" top="0.75" bottom="0.75" header="0.3" footer="0.3"/>
  <pageSetup orientation="portrait" r:id="rId37"/>
  <drawing r:id="rId38"/>
  <extLst>
    <ext xmlns:x14="http://schemas.microsoft.com/office/spreadsheetml/2009/9/main" uri="{78C0D931-6437-407d-A8EE-F0AAD7539E65}">
      <x14:conditionalFormattings>
        <x14:conditionalFormatting xmlns:xm="http://schemas.microsoft.com/office/excel/2006/main">
          <x14:cfRule type="iconSet" priority="12374"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L26:N26</xm:sqref>
        </x14:conditionalFormatting>
      </x14:conditionalFormattings>
    </ext>
    <ext xmlns:x14="http://schemas.microsoft.com/office/spreadsheetml/2009/9/main" uri="{A8765BA9-456A-4dab-B4F3-ACF838C121DE}">
      <x14:slicerList>
        <x14:slicer r:id="rId39"/>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2:I94"/>
  <sheetViews>
    <sheetView workbookViewId="0">
      <selection activeCell="I13" sqref="I1:I1048576"/>
    </sheetView>
  </sheetViews>
  <sheetFormatPr defaultRowHeight="15.5"/>
  <cols>
    <col min="1" max="1" width="25.58203125" customWidth="1"/>
    <col min="2" max="2" width="27.33203125" bestFit="1" customWidth="1"/>
    <col min="3" max="4" width="27.6640625" bestFit="1" customWidth="1"/>
    <col min="7" max="7" width="20" bestFit="1" customWidth="1"/>
  </cols>
  <sheetData>
    <row r="2" spans="1:9">
      <c r="A2" s="423" t="s">
        <v>20</v>
      </c>
      <c r="B2" s="417" t="s">
        <v>2977</v>
      </c>
      <c r="C2" s="417"/>
      <c r="D2" s="417"/>
    </row>
    <row r="3" spans="1:9">
      <c r="A3" s="423" t="s">
        <v>34</v>
      </c>
      <c r="B3" s="417" t="s">
        <v>34</v>
      </c>
      <c r="C3" s="417"/>
      <c r="D3" s="417"/>
    </row>
    <row r="4" spans="1:9">
      <c r="A4" s="423" t="s">
        <v>35</v>
      </c>
      <c r="B4" s="417" t="s">
        <v>3147</v>
      </c>
      <c r="C4" s="417"/>
      <c r="D4" s="417"/>
    </row>
    <row r="6" spans="1:9">
      <c r="A6" s="423" t="s">
        <v>21</v>
      </c>
      <c r="B6" s="423" t="s">
        <v>22</v>
      </c>
      <c r="C6" s="423" t="s">
        <v>1764</v>
      </c>
      <c r="D6" s="423" t="s">
        <v>1766</v>
      </c>
      <c r="F6" s="163"/>
      <c r="G6" s="163" t="s">
        <v>22</v>
      </c>
      <c r="H6" s="163" t="s">
        <v>1764</v>
      </c>
      <c r="I6" s="163"/>
    </row>
    <row r="7" spans="1:9">
      <c r="A7" s="417" t="s">
        <v>37</v>
      </c>
      <c r="B7" s="417" t="s">
        <v>195</v>
      </c>
      <c r="C7" s="417" t="s">
        <v>919</v>
      </c>
      <c r="D7" s="417" t="s">
        <v>141</v>
      </c>
      <c r="F7" s="158"/>
      <c r="G7" s="158" t="s">
        <v>195</v>
      </c>
      <c r="H7" s="417" t="s">
        <v>919</v>
      </c>
      <c r="I7" s="417"/>
    </row>
    <row r="8" spans="1:9">
      <c r="A8" s="417" t="s">
        <v>37</v>
      </c>
      <c r="B8" s="417" t="s">
        <v>195</v>
      </c>
      <c r="C8" s="417" t="s">
        <v>192</v>
      </c>
      <c r="D8" s="417" t="s">
        <v>192</v>
      </c>
      <c r="F8" s="158"/>
      <c r="G8" s="158" t="s">
        <v>195</v>
      </c>
      <c r="H8" s="417" t="s">
        <v>141</v>
      </c>
      <c r="I8" s="417"/>
    </row>
    <row r="9" spans="1:9">
      <c r="A9" s="417" t="s">
        <v>37</v>
      </c>
      <c r="B9" s="417" t="s">
        <v>195</v>
      </c>
      <c r="C9" s="417" t="s">
        <v>242</v>
      </c>
      <c r="D9" s="417" t="s">
        <v>242</v>
      </c>
      <c r="F9" s="158"/>
      <c r="G9" s="158" t="s">
        <v>195</v>
      </c>
      <c r="H9" s="417" t="s">
        <v>276</v>
      </c>
      <c r="I9" s="417"/>
    </row>
    <row r="10" spans="1:9">
      <c r="A10" s="417" t="s">
        <v>37</v>
      </c>
      <c r="B10" s="417" t="s">
        <v>195</v>
      </c>
      <c r="C10" s="417" t="s">
        <v>276</v>
      </c>
      <c r="D10" s="417" t="s">
        <v>276</v>
      </c>
      <c r="F10" s="158"/>
      <c r="G10" s="158" t="s">
        <v>146</v>
      </c>
      <c r="H10" s="417" t="s">
        <v>241</v>
      </c>
      <c r="I10" s="417"/>
    </row>
    <row r="11" spans="1:9">
      <c r="A11" s="417" t="s">
        <v>37</v>
      </c>
      <c r="B11" s="417" t="s">
        <v>195</v>
      </c>
      <c r="C11" s="417" t="s">
        <v>3237</v>
      </c>
      <c r="D11" s="417" t="s">
        <v>3237</v>
      </c>
      <c r="F11" s="158"/>
      <c r="G11" s="158" t="s">
        <v>146</v>
      </c>
      <c r="H11" s="417" t="s">
        <v>141</v>
      </c>
      <c r="I11" s="417"/>
    </row>
    <row r="12" spans="1:9">
      <c r="A12" s="417" t="s">
        <v>37</v>
      </c>
      <c r="B12" s="417" t="s">
        <v>146</v>
      </c>
      <c r="C12" s="417" t="s">
        <v>141</v>
      </c>
      <c r="D12" s="417" t="s">
        <v>141</v>
      </c>
      <c r="F12" s="158"/>
      <c r="G12" s="158" t="s">
        <v>148</v>
      </c>
      <c r="H12" s="417" t="s">
        <v>241</v>
      </c>
      <c r="I12" s="417"/>
    </row>
    <row r="13" spans="1:9">
      <c r="A13" s="417" t="s">
        <v>37</v>
      </c>
      <c r="B13" s="417" t="s">
        <v>146</v>
      </c>
      <c r="C13" s="417" t="s">
        <v>242</v>
      </c>
      <c r="D13" s="417" t="s">
        <v>242</v>
      </c>
      <c r="F13" s="158"/>
      <c r="G13" s="158" t="s">
        <v>148</v>
      </c>
      <c r="H13" s="417" t="s">
        <v>141</v>
      </c>
      <c r="I13" s="417"/>
    </row>
    <row r="14" spans="1:9">
      <c r="A14" s="417" t="s">
        <v>37</v>
      </c>
      <c r="B14" s="417" t="s">
        <v>148</v>
      </c>
      <c r="C14" s="417" t="s">
        <v>141</v>
      </c>
      <c r="D14" s="417" t="s">
        <v>141</v>
      </c>
      <c r="F14" s="158"/>
      <c r="G14" s="158" t="s">
        <v>38</v>
      </c>
      <c r="H14" s="417" t="s">
        <v>141</v>
      </c>
      <c r="I14" s="417"/>
    </row>
    <row r="15" spans="1:9">
      <c r="A15" s="417" t="s">
        <v>37</v>
      </c>
      <c r="B15" s="417" t="s">
        <v>148</v>
      </c>
      <c r="C15" s="417" t="s">
        <v>36</v>
      </c>
      <c r="D15" s="417" t="s">
        <v>36</v>
      </c>
      <c r="F15" s="158"/>
      <c r="G15" s="158" t="s">
        <v>152</v>
      </c>
      <c r="H15" s="417" t="s">
        <v>241</v>
      </c>
      <c r="I15" s="417"/>
    </row>
    <row r="16" spans="1:9">
      <c r="A16" s="417" t="s">
        <v>37</v>
      </c>
      <c r="B16" s="417" t="s">
        <v>148</v>
      </c>
      <c r="C16" s="417" t="s">
        <v>242</v>
      </c>
      <c r="D16" s="417" t="s">
        <v>242</v>
      </c>
      <c r="F16" s="158"/>
      <c r="G16" s="158" t="s">
        <v>152</v>
      </c>
      <c r="H16" s="417" t="s">
        <v>919</v>
      </c>
      <c r="I16" s="417"/>
    </row>
    <row r="17" spans="1:9">
      <c r="A17" s="417" t="s">
        <v>37</v>
      </c>
      <c r="B17" s="417" t="s">
        <v>38</v>
      </c>
      <c r="C17" s="417" t="s">
        <v>141</v>
      </c>
      <c r="D17" s="417" t="s">
        <v>141</v>
      </c>
      <c r="F17" s="158"/>
      <c r="G17" s="158" t="s">
        <v>152</v>
      </c>
      <c r="H17" s="417" t="s">
        <v>141</v>
      </c>
      <c r="I17" s="417"/>
    </row>
    <row r="18" spans="1:9">
      <c r="A18" s="417" t="s">
        <v>37</v>
      </c>
      <c r="B18" s="417" t="s">
        <v>38</v>
      </c>
      <c r="C18" s="417" t="s">
        <v>36</v>
      </c>
      <c r="D18" s="417" t="s">
        <v>36</v>
      </c>
      <c r="F18" s="158"/>
      <c r="G18" s="158" t="s">
        <v>157</v>
      </c>
      <c r="H18" s="417" t="s">
        <v>241</v>
      </c>
      <c r="I18" s="417"/>
    </row>
    <row r="19" spans="1:9">
      <c r="A19" s="417" t="s">
        <v>37</v>
      </c>
      <c r="B19" s="417" t="s">
        <v>38</v>
      </c>
      <c r="C19" s="417" t="s">
        <v>192</v>
      </c>
      <c r="D19" s="417" t="s">
        <v>192</v>
      </c>
      <c r="F19" s="158"/>
      <c r="G19" s="158" t="s">
        <v>157</v>
      </c>
      <c r="H19" s="417" t="s">
        <v>141</v>
      </c>
      <c r="I19" s="417"/>
    </row>
    <row r="20" spans="1:9">
      <c r="A20" s="417" t="s">
        <v>37</v>
      </c>
      <c r="B20" s="417" t="s">
        <v>152</v>
      </c>
      <c r="C20" s="417" t="s">
        <v>141</v>
      </c>
      <c r="D20" s="417" t="s">
        <v>141</v>
      </c>
      <c r="F20" s="158"/>
      <c r="G20" s="158" t="s">
        <v>205</v>
      </c>
      <c r="H20" s="417" t="s">
        <v>141</v>
      </c>
      <c r="I20" s="417"/>
    </row>
    <row r="21" spans="1:9">
      <c r="A21" s="417" t="s">
        <v>37</v>
      </c>
      <c r="B21" s="417" t="s">
        <v>152</v>
      </c>
      <c r="C21" s="417" t="s">
        <v>36</v>
      </c>
      <c r="D21" s="417" t="s">
        <v>36</v>
      </c>
      <c r="F21" s="158"/>
      <c r="G21" s="158" t="s">
        <v>205</v>
      </c>
      <c r="H21" s="417" t="s">
        <v>276</v>
      </c>
      <c r="I21" s="417"/>
    </row>
    <row r="22" spans="1:9">
      <c r="A22" s="417" t="s">
        <v>37</v>
      </c>
      <c r="B22" s="417" t="s">
        <v>152</v>
      </c>
      <c r="C22" s="417" t="s">
        <v>3202</v>
      </c>
      <c r="D22" s="417" t="s">
        <v>141</v>
      </c>
      <c r="F22" s="158"/>
      <c r="G22" s="158" t="s">
        <v>159</v>
      </c>
      <c r="H22" s="417" t="s">
        <v>241</v>
      </c>
      <c r="I22" s="417"/>
    </row>
    <row r="23" spans="1:9">
      <c r="A23" s="417" t="s">
        <v>37</v>
      </c>
      <c r="B23" s="417" t="s">
        <v>157</v>
      </c>
      <c r="C23" s="417" t="s">
        <v>141</v>
      </c>
      <c r="D23" s="417" t="s">
        <v>141</v>
      </c>
      <c r="F23" s="158"/>
      <c r="G23" s="158" t="s">
        <v>159</v>
      </c>
      <c r="H23" s="417" t="s">
        <v>919</v>
      </c>
      <c r="I23" s="417"/>
    </row>
    <row r="24" spans="1:9">
      <c r="A24" s="417" t="s">
        <v>37</v>
      </c>
      <c r="B24" s="417" t="s">
        <v>205</v>
      </c>
      <c r="C24" s="417" t="s">
        <v>141</v>
      </c>
      <c r="D24" s="417" t="s">
        <v>141</v>
      </c>
      <c r="F24" s="162"/>
      <c r="G24" s="158" t="s">
        <v>159</v>
      </c>
      <c r="H24" s="417" t="s">
        <v>141</v>
      </c>
      <c r="I24" s="417"/>
    </row>
    <row r="25" spans="1:9">
      <c r="A25" s="417" t="s">
        <v>37</v>
      </c>
      <c r="B25" s="417" t="s">
        <v>205</v>
      </c>
      <c r="C25" s="417" t="s">
        <v>36</v>
      </c>
      <c r="D25" s="417" t="s">
        <v>36</v>
      </c>
      <c r="G25" s="158" t="s">
        <v>214</v>
      </c>
      <c r="H25" s="417" t="s">
        <v>141</v>
      </c>
      <c r="I25" s="417"/>
    </row>
    <row r="26" spans="1:9">
      <c r="A26" s="417" t="s">
        <v>37</v>
      </c>
      <c r="B26" s="417" t="s">
        <v>205</v>
      </c>
      <c r="C26" s="417" t="s">
        <v>192</v>
      </c>
      <c r="D26" s="417" t="s">
        <v>192</v>
      </c>
      <c r="G26" s="158" t="s">
        <v>184</v>
      </c>
      <c r="H26" s="417" t="s">
        <v>241</v>
      </c>
      <c r="I26" s="417"/>
    </row>
    <row r="27" spans="1:9">
      <c r="A27" s="417" t="s">
        <v>37</v>
      </c>
      <c r="B27" s="417" t="s">
        <v>205</v>
      </c>
      <c r="C27" s="417" t="s">
        <v>276</v>
      </c>
      <c r="D27" s="417" t="s">
        <v>276</v>
      </c>
      <c r="G27" s="158" t="s">
        <v>184</v>
      </c>
      <c r="H27" s="417" t="s">
        <v>141</v>
      </c>
      <c r="I27" s="417"/>
    </row>
    <row r="28" spans="1:9">
      <c r="A28" s="417" t="s">
        <v>37</v>
      </c>
      <c r="B28" s="417" t="s">
        <v>205</v>
      </c>
      <c r="C28" s="417" t="s">
        <v>3156</v>
      </c>
      <c r="D28" s="417" t="s">
        <v>3156</v>
      </c>
      <c r="G28" s="158" t="s">
        <v>863</v>
      </c>
      <c r="H28" s="417" t="s">
        <v>241</v>
      </c>
      <c r="I28" s="417"/>
    </row>
    <row r="29" spans="1:9">
      <c r="A29" s="417" t="s">
        <v>37</v>
      </c>
      <c r="B29" s="417" t="s">
        <v>159</v>
      </c>
      <c r="C29" s="417" t="s">
        <v>141</v>
      </c>
      <c r="D29" s="417" t="s">
        <v>141</v>
      </c>
      <c r="G29" s="158" t="s">
        <v>863</v>
      </c>
      <c r="H29" s="417" t="s">
        <v>141</v>
      </c>
      <c r="I29" s="417"/>
    </row>
    <row r="30" spans="1:9">
      <c r="A30" s="417" t="s">
        <v>37</v>
      </c>
      <c r="B30" s="417" t="s">
        <v>159</v>
      </c>
      <c r="C30" s="417" t="s">
        <v>36</v>
      </c>
      <c r="D30" s="417" t="s">
        <v>36</v>
      </c>
      <c r="G30" s="158" t="s">
        <v>142</v>
      </c>
      <c r="H30" s="417" t="s">
        <v>241</v>
      </c>
      <c r="I30" s="417"/>
    </row>
    <row r="31" spans="1:9">
      <c r="A31" s="417" t="s">
        <v>37</v>
      </c>
      <c r="B31" s="417" t="s">
        <v>159</v>
      </c>
      <c r="C31" s="417" t="s">
        <v>242</v>
      </c>
      <c r="D31" s="417" t="s">
        <v>242</v>
      </c>
      <c r="G31" s="158" t="s">
        <v>142</v>
      </c>
      <c r="H31" s="417" t="s">
        <v>919</v>
      </c>
      <c r="I31" s="417"/>
    </row>
    <row r="32" spans="1:9">
      <c r="A32" s="417" t="s">
        <v>37</v>
      </c>
      <c r="B32" s="417" t="s">
        <v>159</v>
      </c>
      <c r="C32" s="417" t="s">
        <v>3203</v>
      </c>
      <c r="D32" s="417" t="s">
        <v>141</v>
      </c>
      <c r="G32" s="158" t="s">
        <v>142</v>
      </c>
      <c r="H32" s="417" t="s">
        <v>141</v>
      </c>
      <c r="I32" s="417"/>
    </row>
    <row r="33" spans="1:4">
      <c r="A33" s="417" t="s">
        <v>37</v>
      </c>
      <c r="B33" s="417" t="s">
        <v>214</v>
      </c>
      <c r="C33" s="417" t="s">
        <v>141</v>
      </c>
      <c r="D33" s="417" t="s">
        <v>141</v>
      </c>
    </row>
    <row r="34" spans="1:4">
      <c r="A34" s="417" t="s">
        <v>37</v>
      </c>
      <c r="B34" s="417" t="s">
        <v>214</v>
      </c>
      <c r="C34" s="417" t="s">
        <v>192</v>
      </c>
      <c r="D34" s="417" t="s">
        <v>192</v>
      </c>
    </row>
    <row r="35" spans="1:4">
      <c r="A35" s="417" t="s">
        <v>37</v>
      </c>
      <c r="B35" s="417" t="s">
        <v>214</v>
      </c>
      <c r="C35" s="417" t="s">
        <v>3156</v>
      </c>
      <c r="D35" s="417" t="s">
        <v>3156</v>
      </c>
    </row>
    <row r="36" spans="1:4">
      <c r="A36" s="417" t="s">
        <v>37</v>
      </c>
      <c r="B36" s="417" t="s">
        <v>184</v>
      </c>
      <c r="C36" s="417" t="s">
        <v>141</v>
      </c>
      <c r="D36" s="417" t="s">
        <v>141</v>
      </c>
    </row>
    <row r="37" spans="1:4">
      <c r="A37" s="417" t="s">
        <v>37</v>
      </c>
      <c r="B37" s="417" t="s">
        <v>863</v>
      </c>
      <c r="C37" s="417" t="s">
        <v>141</v>
      </c>
      <c r="D37" s="417" t="s">
        <v>141</v>
      </c>
    </row>
    <row r="38" spans="1:4">
      <c r="A38" s="417" t="s">
        <v>37</v>
      </c>
      <c r="B38" s="417" t="s">
        <v>863</v>
      </c>
      <c r="C38" s="417" t="s">
        <v>36</v>
      </c>
      <c r="D38" s="417" t="s">
        <v>36</v>
      </c>
    </row>
    <row r="39" spans="1:4">
      <c r="A39" s="417" t="s">
        <v>37</v>
      </c>
      <c r="B39" s="417" t="s">
        <v>142</v>
      </c>
      <c r="C39" s="417" t="s">
        <v>141</v>
      </c>
      <c r="D39" s="417" t="s">
        <v>141</v>
      </c>
    </row>
    <row r="40" spans="1:4">
      <c r="A40" s="417" t="s">
        <v>37</v>
      </c>
      <c r="B40" s="417" t="s">
        <v>142</v>
      </c>
      <c r="C40" s="417" t="s">
        <v>36</v>
      </c>
      <c r="D40" s="417" t="s">
        <v>36</v>
      </c>
    </row>
    <row r="41" spans="1:4">
      <c r="A41" s="417" t="s">
        <v>37</v>
      </c>
      <c r="B41" s="417" t="s">
        <v>142</v>
      </c>
      <c r="C41" s="417" t="s">
        <v>192</v>
      </c>
      <c r="D41" s="417" t="s">
        <v>192</v>
      </c>
    </row>
    <row r="42" spans="1:4">
      <c r="A42" s="417" t="s">
        <v>37</v>
      </c>
      <c r="B42" s="417" t="s">
        <v>142</v>
      </c>
      <c r="C42" s="417" t="s">
        <v>242</v>
      </c>
      <c r="D42" s="417" t="s">
        <v>242</v>
      </c>
    </row>
    <row r="43" spans="1:4">
      <c r="A43" s="417" t="s">
        <v>37</v>
      </c>
      <c r="B43" s="417" t="s">
        <v>142</v>
      </c>
      <c r="C43" s="417" t="s">
        <v>3203</v>
      </c>
      <c r="D43" s="417" t="s">
        <v>141</v>
      </c>
    </row>
    <row r="44" spans="1:4">
      <c r="A44" s="417" t="s">
        <v>37</v>
      </c>
      <c r="B44" s="417" t="s">
        <v>142</v>
      </c>
      <c r="C44" s="417" t="s">
        <v>3241</v>
      </c>
      <c r="D44" s="417" t="s">
        <v>3245</v>
      </c>
    </row>
    <row r="45" spans="1:4">
      <c r="A45" s="417" t="s">
        <v>515</v>
      </c>
      <c r="B45" s="417" t="s">
        <v>534</v>
      </c>
      <c r="C45" s="417" t="s">
        <v>192</v>
      </c>
      <c r="D45" s="417" t="s">
        <v>192</v>
      </c>
    </row>
    <row r="46" spans="1:4">
      <c r="A46" s="417" t="s">
        <v>515</v>
      </c>
      <c r="B46" s="417" t="s">
        <v>556</v>
      </c>
      <c r="C46" s="417" t="s">
        <v>3117</v>
      </c>
      <c r="D46" s="417" t="s">
        <v>2808</v>
      </c>
    </row>
    <row r="47" spans="1:4">
      <c r="A47" s="417" t="s">
        <v>515</v>
      </c>
      <c r="B47" s="417" t="s">
        <v>519</v>
      </c>
      <c r="C47" s="417" t="s">
        <v>192</v>
      </c>
      <c r="D47" s="417" t="s">
        <v>192</v>
      </c>
    </row>
    <row r="48" spans="1:4">
      <c r="A48" s="417" t="s">
        <v>515</v>
      </c>
      <c r="B48" s="417" t="s">
        <v>960</v>
      </c>
      <c r="C48" s="417" t="s">
        <v>192</v>
      </c>
      <c r="D48" s="417" t="s">
        <v>192</v>
      </c>
    </row>
    <row r="49" spans="1:4">
      <c r="A49" s="417" t="s">
        <v>515</v>
      </c>
      <c r="B49" s="417" t="s">
        <v>961</v>
      </c>
      <c r="C49" s="417" t="s">
        <v>192</v>
      </c>
      <c r="D49" s="417" t="s">
        <v>192</v>
      </c>
    </row>
    <row r="50" spans="1:4">
      <c r="A50" s="417" t="s">
        <v>515</v>
      </c>
      <c r="B50" s="417" t="s">
        <v>961</v>
      </c>
      <c r="C50" s="417" t="s">
        <v>3117</v>
      </c>
      <c r="D50" s="417" t="s">
        <v>2808</v>
      </c>
    </row>
    <row r="51" spans="1:4">
      <c r="A51" s="417" t="s">
        <v>515</v>
      </c>
      <c r="B51" s="417" t="s">
        <v>963</v>
      </c>
      <c r="C51" s="417" t="s">
        <v>2159</v>
      </c>
      <c r="D51" s="417" t="s">
        <v>2159</v>
      </c>
    </row>
    <row r="52" spans="1:4">
      <c r="A52" s="417" t="s">
        <v>515</v>
      </c>
      <c r="B52" s="417" t="s">
        <v>522</v>
      </c>
      <c r="C52" s="417" t="s">
        <v>192</v>
      </c>
      <c r="D52" s="417" t="s">
        <v>192</v>
      </c>
    </row>
    <row r="53" spans="1:4">
      <c r="A53" s="417" t="s">
        <v>515</v>
      </c>
      <c r="B53" s="417" t="s">
        <v>522</v>
      </c>
      <c r="C53" s="417" t="s">
        <v>2356</v>
      </c>
      <c r="D53" s="417" t="s">
        <v>2356</v>
      </c>
    </row>
    <row r="54" spans="1:4">
      <c r="A54" s="417" t="s">
        <v>515</v>
      </c>
      <c r="B54" s="417" t="s">
        <v>525</v>
      </c>
      <c r="C54" s="417" t="s">
        <v>192</v>
      </c>
      <c r="D54" s="417" t="s">
        <v>192</v>
      </c>
    </row>
    <row r="55" spans="1:4">
      <c r="A55" s="417" t="s">
        <v>515</v>
      </c>
      <c r="B55" s="417" t="s">
        <v>525</v>
      </c>
      <c r="C55" s="417" t="s">
        <v>3117</v>
      </c>
      <c r="D55" s="417" t="s">
        <v>2808</v>
      </c>
    </row>
    <row r="56" spans="1:4">
      <c r="A56" s="417" t="s">
        <v>515</v>
      </c>
      <c r="B56" s="417" t="s">
        <v>516</v>
      </c>
      <c r="C56" s="417" t="s">
        <v>192</v>
      </c>
      <c r="D56" s="417" t="s">
        <v>192</v>
      </c>
    </row>
    <row r="57" spans="1:4">
      <c r="A57" s="417" t="s">
        <v>515</v>
      </c>
      <c r="B57" s="417" t="s">
        <v>516</v>
      </c>
      <c r="C57" s="417" t="s">
        <v>2356</v>
      </c>
      <c r="D57" s="417" t="s">
        <v>2356</v>
      </c>
    </row>
    <row r="58" spans="1:4">
      <c r="A58" s="417" t="s">
        <v>515</v>
      </c>
      <c r="B58" s="417" t="s">
        <v>536</v>
      </c>
      <c r="C58" s="417" t="s">
        <v>192</v>
      </c>
      <c r="D58" s="417" t="s">
        <v>192</v>
      </c>
    </row>
    <row r="59" spans="1:4">
      <c r="A59" s="417" t="s">
        <v>515</v>
      </c>
      <c r="B59" s="417" t="s">
        <v>536</v>
      </c>
      <c r="C59" s="417" t="s">
        <v>2969</v>
      </c>
      <c r="D59" s="417" t="s">
        <v>2969</v>
      </c>
    </row>
    <row r="94" spans="1:2">
      <c r="A94" s="423"/>
      <c r="B94" s="423"/>
    </row>
  </sheetData>
  <phoneticPr fontId="150" type="noConversion"/>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0BE5-0F45-4A34-9583-B71B613DD3E7}">
  <dimension ref="B1:M78"/>
  <sheetViews>
    <sheetView topLeftCell="G61" workbookViewId="0">
      <selection activeCell="K16" sqref="K16"/>
    </sheetView>
  </sheetViews>
  <sheetFormatPr defaultRowHeight="15.5"/>
  <cols>
    <col min="2" max="2" width="18.33203125" customWidth="1"/>
    <col min="3" max="3" width="18.1640625" customWidth="1"/>
    <col min="4" max="4" width="10.6640625" customWidth="1"/>
    <col min="6" max="6" width="28.6640625" bestFit="1" customWidth="1"/>
    <col min="7" max="7" width="16.33203125" bestFit="1" customWidth="1"/>
    <col min="9" max="9" width="11.9140625" bestFit="1" customWidth="1"/>
    <col min="10" max="10" width="16.33203125" bestFit="1" customWidth="1"/>
    <col min="11" max="11" width="60.58203125" bestFit="1" customWidth="1"/>
  </cols>
  <sheetData>
    <row r="1" spans="2:13">
      <c r="B1" t="s">
        <v>21</v>
      </c>
      <c r="C1" t="s">
        <v>2814</v>
      </c>
      <c r="D1" t="s">
        <v>2815</v>
      </c>
      <c r="F1" s="423" t="s">
        <v>21</v>
      </c>
      <c r="G1" s="423" t="s">
        <v>2814</v>
      </c>
      <c r="I1" s="163" t="s">
        <v>21</v>
      </c>
      <c r="J1" s="163" t="s">
        <v>2814</v>
      </c>
      <c r="K1" t="s">
        <v>3129</v>
      </c>
      <c r="L1" t="s">
        <v>2942</v>
      </c>
      <c r="M1" t="s">
        <v>2219</v>
      </c>
    </row>
    <row r="2" spans="2:13">
      <c r="B2" s="158" t="s">
        <v>37</v>
      </c>
      <c r="C2" s="417" t="s">
        <v>919</v>
      </c>
      <c r="D2" t="s">
        <v>2966</v>
      </c>
      <c r="F2" s="417" t="s">
        <v>2703</v>
      </c>
      <c r="G2" s="417" t="s">
        <v>2817</v>
      </c>
      <c r="I2" s="1018" t="s">
        <v>2705</v>
      </c>
      <c r="J2" s="1018" t="s">
        <v>36</v>
      </c>
      <c r="K2" s="1015" t="s">
        <v>3166</v>
      </c>
      <c r="L2" s="1019" t="s">
        <v>2943</v>
      </c>
      <c r="M2" t="s">
        <v>3142</v>
      </c>
    </row>
    <row r="3" spans="2:13">
      <c r="B3" s="158" t="s">
        <v>37</v>
      </c>
      <c r="C3" s="417" t="s">
        <v>141</v>
      </c>
      <c r="D3" s="417" t="s">
        <v>2966</v>
      </c>
      <c r="F3" s="417" t="s">
        <v>2703</v>
      </c>
      <c r="G3" s="417" t="s">
        <v>2933</v>
      </c>
      <c r="I3" s="1020" t="s">
        <v>613</v>
      </c>
      <c r="J3" s="1015" t="s">
        <v>3132</v>
      </c>
      <c r="K3" s="1015" t="s">
        <v>3167</v>
      </c>
      <c r="L3" s="1016" t="s">
        <v>3141</v>
      </c>
      <c r="M3" t="s">
        <v>3142</v>
      </c>
    </row>
    <row r="4" spans="2:13">
      <c r="B4" s="158" t="s">
        <v>37</v>
      </c>
      <c r="C4" s="417" t="s">
        <v>36</v>
      </c>
      <c r="D4" s="417" t="s">
        <v>2966</v>
      </c>
      <c r="F4" s="417" t="s">
        <v>613</v>
      </c>
      <c r="G4" s="417" t="s">
        <v>311</v>
      </c>
      <c r="I4" s="1015" t="s">
        <v>613</v>
      </c>
      <c r="J4" s="1015" t="s">
        <v>311</v>
      </c>
      <c r="K4" s="1015" t="s">
        <v>3168</v>
      </c>
      <c r="L4" s="1015" t="s">
        <v>2944</v>
      </c>
    </row>
    <row r="5" spans="2:13">
      <c r="B5" s="158" t="s">
        <v>37</v>
      </c>
      <c r="C5" s="417" t="s">
        <v>192</v>
      </c>
      <c r="D5" s="417" t="s">
        <v>2966</v>
      </c>
      <c r="F5" s="417" t="s">
        <v>613</v>
      </c>
      <c r="G5" s="417" t="s">
        <v>2813</v>
      </c>
      <c r="I5" s="1018" t="s">
        <v>613</v>
      </c>
      <c r="J5" s="1015" t="s">
        <v>2813</v>
      </c>
      <c r="K5" s="1015" t="s">
        <v>3169</v>
      </c>
      <c r="L5" s="1015" t="s">
        <v>2943</v>
      </c>
    </row>
    <row r="6" spans="2:13">
      <c r="B6" s="158" t="s">
        <v>37</v>
      </c>
      <c r="C6" s="417" t="s">
        <v>242</v>
      </c>
      <c r="D6" s="417" t="s">
        <v>2966</v>
      </c>
      <c r="F6" s="417" t="s">
        <v>613</v>
      </c>
      <c r="G6" s="417" t="s">
        <v>36</v>
      </c>
      <c r="I6" s="1018" t="s">
        <v>613</v>
      </c>
      <c r="J6" s="1015" t="s">
        <v>36</v>
      </c>
      <c r="K6" s="1015" t="s">
        <v>3166</v>
      </c>
      <c r="L6" s="1015" t="s">
        <v>2943</v>
      </c>
    </row>
    <row r="7" spans="2:13">
      <c r="B7" s="158" t="s">
        <v>37</v>
      </c>
      <c r="C7" s="417" t="s">
        <v>276</v>
      </c>
      <c r="D7" s="417" t="s">
        <v>2966</v>
      </c>
      <c r="F7" s="417" t="s">
        <v>613</v>
      </c>
      <c r="G7" s="417" t="s">
        <v>2810</v>
      </c>
      <c r="I7" s="1018" t="s">
        <v>613</v>
      </c>
      <c r="J7" s="1015" t="s">
        <v>2810</v>
      </c>
      <c r="K7" s="1015" t="s">
        <v>2810</v>
      </c>
      <c r="L7" s="1015" t="s">
        <v>2944</v>
      </c>
    </row>
    <row r="8" spans="2:13">
      <c r="B8" s="158" t="s">
        <v>37</v>
      </c>
      <c r="C8" s="417" t="s">
        <v>2649</v>
      </c>
      <c r="D8" s="417" t="s">
        <v>2966</v>
      </c>
      <c r="F8" s="417" t="s">
        <v>613</v>
      </c>
      <c r="G8" s="417" t="s">
        <v>2081</v>
      </c>
      <c r="I8" s="1018" t="s">
        <v>613</v>
      </c>
      <c r="J8" s="1015" t="s">
        <v>2081</v>
      </c>
      <c r="K8" s="1015" t="s">
        <v>3170</v>
      </c>
      <c r="L8" s="1015" t="s">
        <v>2944</v>
      </c>
    </row>
    <row r="9" spans="2:13">
      <c r="B9" s="162" t="s">
        <v>37</v>
      </c>
      <c r="C9" s="417" t="s">
        <v>241</v>
      </c>
      <c r="D9" s="417" t="s">
        <v>2966</v>
      </c>
      <c r="F9" s="417" t="s">
        <v>613</v>
      </c>
      <c r="G9" s="417" t="s">
        <v>297</v>
      </c>
      <c r="I9" s="1018" t="s">
        <v>613</v>
      </c>
      <c r="J9" s="1015" t="s">
        <v>297</v>
      </c>
      <c r="K9" s="1015" t="s">
        <v>3171</v>
      </c>
      <c r="L9" s="1015" t="s">
        <v>2944</v>
      </c>
    </row>
    <row r="10" spans="2:13">
      <c r="B10" s="158" t="s">
        <v>37</v>
      </c>
      <c r="C10" s="417" t="s">
        <v>291</v>
      </c>
      <c r="D10" s="417" t="s">
        <v>2966</v>
      </c>
      <c r="F10" s="417" t="s">
        <v>613</v>
      </c>
      <c r="G10" s="417" t="s">
        <v>2809</v>
      </c>
      <c r="I10" s="1020" t="s">
        <v>613</v>
      </c>
      <c r="J10" s="1015" t="s">
        <v>3131</v>
      </c>
      <c r="K10" s="1015" t="s">
        <v>3172</v>
      </c>
      <c r="L10" s="1015" t="s">
        <v>2944</v>
      </c>
    </row>
    <row r="11" spans="2:13">
      <c r="B11" s="158" t="s">
        <v>515</v>
      </c>
      <c r="C11" s="417" t="s">
        <v>2159</v>
      </c>
      <c r="D11" s="417" t="s">
        <v>2966</v>
      </c>
      <c r="F11" s="417" t="s">
        <v>37</v>
      </c>
      <c r="G11" s="417" t="s">
        <v>369</v>
      </c>
      <c r="I11" s="1018" t="s">
        <v>613</v>
      </c>
      <c r="J11" s="1015" t="s">
        <v>241</v>
      </c>
      <c r="K11" s="1015" t="s">
        <v>3173</v>
      </c>
      <c r="L11" s="1019" t="s">
        <v>2948</v>
      </c>
      <c r="M11" t="s">
        <v>3142</v>
      </c>
    </row>
    <row r="12" spans="2:13">
      <c r="B12" s="158" t="s">
        <v>515</v>
      </c>
      <c r="C12" s="417" t="s">
        <v>192</v>
      </c>
      <c r="D12" s="417" t="s">
        <v>2966</v>
      </c>
      <c r="F12" s="417" t="s">
        <v>37</v>
      </c>
      <c r="G12" s="417" t="s">
        <v>919</v>
      </c>
      <c r="I12" s="1018" t="s">
        <v>37</v>
      </c>
      <c r="J12" s="1015" t="s">
        <v>3135</v>
      </c>
      <c r="K12" s="1015" t="s">
        <v>3135</v>
      </c>
      <c r="L12" s="1015" t="s">
        <v>2943</v>
      </c>
    </row>
    <row r="13" spans="2:13">
      <c r="B13" s="162" t="s">
        <v>515</v>
      </c>
      <c r="C13" s="417" t="s">
        <v>2940</v>
      </c>
      <c r="D13" s="417" t="s">
        <v>2966</v>
      </c>
      <c r="F13" s="417" t="s">
        <v>37</v>
      </c>
      <c r="G13" s="417" t="s">
        <v>141</v>
      </c>
      <c r="I13" s="1015" t="s">
        <v>37</v>
      </c>
      <c r="J13" s="1015" t="s">
        <v>369</v>
      </c>
      <c r="K13" s="1015" t="s">
        <v>3174</v>
      </c>
      <c r="L13" s="1015" t="s">
        <v>2944</v>
      </c>
    </row>
    <row r="14" spans="2:13">
      <c r="B14" s="158" t="s">
        <v>515</v>
      </c>
      <c r="C14" s="417" t="s">
        <v>36</v>
      </c>
      <c r="D14" s="417" t="s">
        <v>2966</v>
      </c>
      <c r="F14" s="417" t="s">
        <v>37</v>
      </c>
      <c r="G14" s="417" t="s">
        <v>36</v>
      </c>
      <c r="I14" s="1018" t="s">
        <v>37</v>
      </c>
      <c r="J14" s="1015" t="s">
        <v>919</v>
      </c>
      <c r="K14" s="1015" t="s">
        <v>3175</v>
      </c>
      <c r="L14" s="1015" t="s">
        <v>2944</v>
      </c>
    </row>
    <row r="15" spans="2:13">
      <c r="B15" s="158" t="s">
        <v>515</v>
      </c>
      <c r="C15" s="417" t="s">
        <v>311</v>
      </c>
      <c r="D15" s="417" t="s">
        <v>2966</v>
      </c>
      <c r="F15" s="417" t="s">
        <v>37</v>
      </c>
      <c r="G15" s="417" t="s">
        <v>192</v>
      </c>
      <c r="I15" s="1018" t="s">
        <v>37</v>
      </c>
      <c r="J15" s="1015" t="s">
        <v>141</v>
      </c>
      <c r="K15" s="1015" t="s">
        <v>3176</v>
      </c>
      <c r="L15" s="1015" t="s">
        <v>2943</v>
      </c>
    </row>
    <row r="16" spans="2:13">
      <c r="B16" s="158" t="s">
        <v>515</v>
      </c>
      <c r="C16" s="417" t="s">
        <v>2808</v>
      </c>
      <c r="D16" s="417" t="s">
        <v>2966</v>
      </c>
      <c r="F16" s="417" t="s">
        <v>37</v>
      </c>
      <c r="G16" s="417" t="s">
        <v>242</v>
      </c>
      <c r="I16" s="1018" t="s">
        <v>37</v>
      </c>
      <c r="J16" s="1015" t="s">
        <v>36</v>
      </c>
      <c r="K16" s="1015" t="s">
        <v>3166</v>
      </c>
      <c r="L16" s="1015" t="s">
        <v>2943</v>
      </c>
    </row>
    <row r="17" spans="2:13">
      <c r="B17" s="417" t="s">
        <v>304</v>
      </c>
      <c r="C17" s="417" t="s">
        <v>1756</v>
      </c>
      <c r="D17" s="417" t="s">
        <v>2966</v>
      </c>
      <c r="F17" s="417" t="s">
        <v>37</v>
      </c>
      <c r="G17" s="417" t="s">
        <v>276</v>
      </c>
      <c r="I17" s="1018" t="s">
        <v>37</v>
      </c>
      <c r="J17" s="1015" t="s">
        <v>3130</v>
      </c>
      <c r="K17" s="1015" t="s">
        <v>3165</v>
      </c>
      <c r="L17" s="1015" t="s">
        <v>2943</v>
      </c>
    </row>
    <row r="18" spans="2:13">
      <c r="B18" s="417" t="s">
        <v>304</v>
      </c>
      <c r="C18" s="417" t="s">
        <v>355</v>
      </c>
      <c r="D18" s="417" t="s">
        <v>2966</v>
      </c>
      <c r="F18" s="417" t="s">
        <v>37</v>
      </c>
      <c r="G18" s="417" t="s">
        <v>2649</v>
      </c>
      <c r="I18" s="1018" t="s">
        <v>37</v>
      </c>
      <c r="J18" s="1015" t="s">
        <v>242</v>
      </c>
      <c r="K18" s="1015" t="s">
        <v>3177</v>
      </c>
      <c r="L18" s="1015" t="s">
        <v>2943</v>
      </c>
    </row>
    <row r="19" spans="2:13">
      <c r="B19" s="417" t="s">
        <v>304</v>
      </c>
      <c r="C19" s="417" t="s">
        <v>276</v>
      </c>
      <c r="D19" s="417" t="s">
        <v>2966</v>
      </c>
      <c r="F19" s="417" t="s">
        <v>37</v>
      </c>
      <c r="G19" s="417" t="s">
        <v>241</v>
      </c>
      <c r="I19" s="1018" t="s">
        <v>37</v>
      </c>
      <c r="J19" s="1015" t="s">
        <v>276</v>
      </c>
      <c r="K19" s="1015" t="s">
        <v>3178</v>
      </c>
      <c r="L19" s="1015" t="s">
        <v>2944</v>
      </c>
    </row>
    <row r="20" spans="2:13">
      <c r="B20" s="417" t="s">
        <v>304</v>
      </c>
      <c r="C20" s="417" t="s">
        <v>358</v>
      </c>
      <c r="D20" s="417" t="s">
        <v>2966</v>
      </c>
      <c r="F20" s="417" t="s">
        <v>37</v>
      </c>
      <c r="G20" s="417" t="s">
        <v>291</v>
      </c>
      <c r="I20" s="1018" t="s">
        <v>37</v>
      </c>
      <c r="J20" s="1015" t="s">
        <v>2649</v>
      </c>
      <c r="K20" s="1015" t="s">
        <v>3179</v>
      </c>
      <c r="L20" s="1015" t="s">
        <v>2943</v>
      </c>
    </row>
    <row r="21" spans="2:13">
      <c r="B21" s="417" t="s">
        <v>304</v>
      </c>
      <c r="C21" s="417" t="s">
        <v>297</v>
      </c>
      <c r="D21" s="417" t="s">
        <v>2966</v>
      </c>
      <c r="F21" s="417" t="s">
        <v>37</v>
      </c>
      <c r="G21" s="417" t="s">
        <v>3128</v>
      </c>
      <c r="I21" s="1020" t="s">
        <v>37</v>
      </c>
      <c r="J21" s="1015" t="s">
        <v>241</v>
      </c>
      <c r="K21" s="1015" t="s">
        <v>3173</v>
      </c>
      <c r="L21" s="1015" t="s">
        <v>2948</v>
      </c>
    </row>
    <row r="22" spans="2:13">
      <c r="B22" s="158" t="s">
        <v>304</v>
      </c>
      <c r="C22" s="158" t="s">
        <v>369</v>
      </c>
      <c r="D22" s="417" t="s">
        <v>2806</v>
      </c>
      <c r="F22" s="417" t="s">
        <v>2347</v>
      </c>
      <c r="G22" s="417" t="s">
        <v>2817</v>
      </c>
      <c r="I22" s="1018" t="s">
        <v>37</v>
      </c>
      <c r="J22" s="1015" t="s">
        <v>291</v>
      </c>
      <c r="K22" s="1015" t="s">
        <v>3180</v>
      </c>
      <c r="L22" s="1015" t="s">
        <v>2943</v>
      </c>
    </row>
    <row r="23" spans="2:13">
      <c r="B23" s="158" t="s">
        <v>304</v>
      </c>
      <c r="C23" s="158" t="s">
        <v>303</v>
      </c>
      <c r="D23" s="417" t="s">
        <v>2806</v>
      </c>
      <c r="F23" s="417" t="s">
        <v>2347</v>
      </c>
      <c r="G23" s="417" t="s">
        <v>2933</v>
      </c>
      <c r="I23" s="1020" t="s">
        <v>2707</v>
      </c>
      <c r="J23" s="1015" t="s">
        <v>3143</v>
      </c>
      <c r="K23" s="1015" t="s">
        <v>3181</v>
      </c>
      <c r="L23" s="1016" t="s">
        <v>2944</v>
      </c>
      <c r="M23" t="s">
        <v>3142</v>
      </c>
    </row>
    <row r="24" spans="2:13">
      <c r="B24" s="158" t="s">
        <v>304</v>
      </c>
      <c r="C24" s="158" t="s">
        <v>2939</v>
      </c>
      <c r="D24" s="417" t="s">
        <v>2806</v>
      </c>
      <c r="F24" s="417" t="s">
        <v>2708</v>
      </c>
      <c r="G24" s="417" t="s">
        <v>36</v>
      </c>
      <c r="I24" s="1015" t="s">
        <v>2707</v>
      </c>
      <c r="J24" s="1015" t="s">
        <v>241</v>
      </c>
      <c r="K24" s="1015" t="s">
        <v>3173</v>
      </c>
      <c r="L24" s="1016" t="s">
        <v>2948</v>
      </c>
      <c r="M24" t="s">
        <v>3142</v>
      </c>
    </row>
    <row r="25" spans="2:13">
      <c r="B25" s="158" t="s">
        <v>304</v>
      </c>
      <c r="C25" s="158" t="s">
        <v>2938</v>
      </c>
      <c r="D25" s="417" t="s">
        <v>2806</v>
      </c>
      <c r="F25" s="417" t="s">
        <v>2708</v>
      </c>
      <c r="G25" s="417" t="s">
        <v>2810</v>
      </c>
      <c r="I25" s="1018" t="s">
        <v>2347</v>
      </c>
      <c r="J25" s="1015" t="s">
        <v>2817</v>
      </c>
      <c r="K25" s="1015" t="s">
        <v>3182</v>
      </c>
      <c r="L25" s="1015" t="s">
        <v>2944</v>
      </c>
    </row>
    <row r="26" spans="2:13">
      <c r="B26" s="158" t="s">
        <v>304</v>
      </c>
      <c r="C26" s="158" t="s">
        <v>3125</v>
      </c>
      <c r="D26" s="417" t="s">
        <v>2806</v>
      </c>
      <c r="F26" s="417" t="s">
        <v>2708</v>
      </c>
      <c r="G26" s="417" t="s">
        <v>3127</v>
      </c>
      <c r="I26" s="1018" t="s">
        <v>2347</v>
      </c>
      <c r="J26" s="1015" t="s">
        <v>2933</v>
      </c>
      <c r="K26" s="1015" t="s">
        <v>3183</v>
      </c>
      <c r="L26" s="1015" t="s">
        <v>3141</v>
      </c>
    </row>
    <row r="27" spans="2:13">
      <c r="B27" s="158" t="s">
        <v>304</v>
      </c>
      <c r="C27" s="158" t="s">
        <v>3126</v>
      </c>
      <c r="D27" s="417" t="s">
        <v>2806</v>
      </c>
      <c r="F27" s="417" t="s">
        <v>304</v>
      </c>
      <c r="G27" s="417" t="s">
        <v>1756</v>
      </c>
      <c r="I27" s="1018" t="s">
        <v>2347</v>
      </c>
      <c r="J27" s="1017" t="s">
        <v>36</v>
      </c>
      <c r="K27" s="1015" t="s">
        <v>3166</v>
      </c>
      <c r="L27" s="1016" t="s">
        <v>2943</v>
      </c>
      <c r="M27" t="s">
        <v>3142</v>
      </c>
    </row>
    <row r="28" spans="2:13">
      <c r="B28" s="158" t="s">
        <v>304</v>
      </c>
      <c r="C28" s="158" t="s">
        <v>355</v>
      </c>
      <c r="D28" s="417" t="s">
        <v>2806</v>
      </c>
      <c r="F28" s="417" t="s">
        <v>304</v>
      </c>
      <c r="G28" s="417" t="s">
        <v>323</v>
      </c>
      <c r="I28" s="1018" t="s">
        <v>2347</v>
      </c>
      <c r="J28" s="1017" t="s">
        <v>2929</v>
      </c>
      <c r="K28" s="1015" t="s">
        <v>3184</v>
      </c>
      <c r="L28" s="1016" t="s">
        <v>2944</v>
      </c>
      <c r="M28" t="s">
        <v>3142</v>
      </c>
    </row>
    <row r="29" spans="2:13">
      <c r="B29" s="158" t="s">
        <v>304</v>
      </c>
      <c r="C29" s="158" t="s">
        <v>276</v>
      </c>
      <c r="D29" s="417" t="s">
        <v>2806</v>
      </c>
      <c r="F29" s="417" t="s">
        <v>304</v>
      </c>
      <c r="G29" s="417" t="s">
        <v>2811</v>
      </c>
      <c r="I29" s="1018" t="s">
        <v>2347</v>
      </c>
      <c r="J29" s="1015" t="s">
        <v>3143</v>
      </c>
      <c r="K29" s="1015" t="s">
        <v>3181</v>
      </c>
      <c r="L29" s="1019" t="s">
        <v>2944</v>
      </c>
      <c r="M29" t="s">
        <v>3142</v>
      </c>
    </row>
    <row r="30" spans="2:13">
      <c r="B30" s="158" t="s">
        <v>304</v>
      </c>
      <c r="C30" s="158" t="s">
        <v>297</v>
      </c>
      <c r="D30" s="417" t="s">
        <v>2806</v>
      </c>
      <c r="F30" s="417" t="s">
        <v>304</v>
      </c>
      <c r="G30" s="417" t="s">
        <v>369</v>
      </c>
      <c r="I30" s="1015" t="s">
        <v>2347</v>
      </c>
      <c r="J30" s="1015" t="s">
        <v>241</v>
      </c>
      <c r="K30" s="1015" t="s">
        <v>3173</v>
      </c>
      <c r="L30" s="1016" t="s">
        <v>2948</v>
      </c>
      <c r="M30" t="s">
        <v>3142</v>
      </c>
    </row>
    <row r="31" spans="2:13" s="417" customFormat="1">
      <c r="B31" s="162" t="s">
        <v>304</v>
      </c>
      <c r="C31" s="417" t="s">
        <v>2687</v>
      </c>
      <c r="D31" s="417" t="s">
        <v>2806</v>
      </c>
      <c r="F31" s="417" t="s">
        <v>304</v>
      </c>
      <c r="G31" s="417" t="s">
        <v>919</v>
      </c>
      <c r="I31" s="1018" t="s">
        <v>2708</v>
      </c>
      <c r="J31" s="1015" t="s">
        <v>3127</v>
      </c>
      <c r="K31" s="1015" t="s">
        <v>3134</v>
      </c>
      <c r="L31" s="1015" t="s">
        <v>2943</v>
      </c>
    </row>
    <row r="32" spans="2:13">
      <c r="B32" s="162" t="s">
        <v>515</v>
      </c>
      <c r="C32" s="158" t="s">
        <v>311</v>
      </c>
      <c r="D32" s="417" t="s">
        <v>2806</v>
      </c>
      <c r="F32" s="417" t="s">
        <v>304</v>
      </c>
      <c r="G32" s="417" t="s">
        <v>2812</v>
      </c>
      <c r="I32" s="1015" t="s">
        <v>2708</v>
      </c>
      <c r="J32" s="1015" t="s">
        <v>36</v>
      </c>
      <c r="K32" s="1015" t="s">
        <v>3166</v>
      </c>
      <c r="L32" s="1015" t="s">
        <v>2943</v>
      </c>
    </row>
    <row r="33" spans="2:13" s="417" customFormat="1">
      <c r="B33" s="162" t="s">
        <v>613</v>
      </c>
      <c r="C33" s="417" t="s">
        <v>36</v>
      </c>
      <c r="D33" s="417" t="s">
        <v>2807</v>
      </c>
      <c r="F33" s="417" t="s">
        <v>304</v>
      </c>
      <c r="G33" s="417" t="s">
        <v>303</v>
      </c>
      <c r="I33" s="1018" t="s">
        <v>2708</v>
      </c>
      <c r="J33" s="1015" t="s">
        <v>2810</v>
      </c>
      <c r="K33" s="1015" t="s">
        <v>2810</v>
      </c>
      <c r="L33" s="1015" t="s">
        <v>2944</v>
      </c>
    </row>
    <row r="34" spans="2:13">
      <c r="B34" s="158" t="s">
        <v>613</v>
      </c>
      <c r="C34" s="158" t="s">
        <v>2810</v>
      </c>
      <c r="D34" s="417" t="s">
        <v>2807</v>
      </c>
      <c r="F34" s="417" t="s">
        <v>304</v>
      </c>
      <c r="G34" s="417" t="s">
        <v>2687</v>
      </c>
      <c r="I34" s="1015" t="s">
        <v>2708</v>
      </c>
      <c r="J34" s="1015" t="s">
        <v>241</v>
      </c>
      <c r="K34" s="1015" t="s">
        <v>3173</v>
      </c>
      <c r="L34" s="1016" t="s">
        <v>2948</v>
      </c>
      <c r="M34" t="s">
        <v>3142</v>
      </c>
    </row>
    <row r="35" spans="2:13" s="417" customFormat="1">
      <c r="B35" s="158" t="s">
        <v>613</v>
      </c>
      <c r="C35" s="417" t="s">
        <v>311</v>
      </c>
      <c r="D35" s="417" t="s">
        <v>2807</v>
      </c>
      <c r="F35" s="417" t="s">
        <v>304</v>
      </c>
      <c r="G35" s="417" t="s">
        <v>2081</v>
      </c>
      <c r="I35" s="1015" t="s">
        <v>2703</v>
      </c>
      <c r="J35" s="1015" t="s">
        <v>2817</v>
      </c>
      <c r="K35" s="1015" t="s">
        <v>3182</v>
      </c>
      <c r="L35" s="1015" t="s">
        <v>2944</v>
      </c>
      <c r="M35"/>
    </row>
    <row r="36" spans="2:13">
      <c r="B36" s="162" t="s">
        <v>613</v>
      </c>
      <c r="C36" s="417" t="s">
        <v>297</v>
      </c>
      <c r="D36" s="417" t="s">
        <v>2807</v>
      </c>
      <c r="F36" s="417" t="s">
        <v>304</v>
      </c>
      <c r="G36" s="417" t="s">
        <v>358</v>
      </c>
      <c r="I36" s="1018" t="s">
        <v>2703</v>
      </c>
      <c r="J36" s="1015" t="s">
        <v>2933</v>
      </c>
      <c r="K36" s="1015" t="s">
        <v>3183</v>
      </c>
      <c r="L36" s="1015" t="s">
        <v>3141</v>
      </c>
      <c r="M36" s="417"/>
    </row>
    <row r="37" spans="2:13">
      <c r="B37" s="158" t="s">
        <v>613</v>
      </c>
      <c r="C37" s="158" t="s">
        <v>2081</v>
      </c>
      <c r="D37" s="417" t="s">
        <v>2807</v>
      </c>
      <c r="F37" s="417" t="s">
        <v>304</v>
      </c>
      <c r="G37" s="417" t="s">
        <v>297</v>
      </c>
      <c r="I37" s="1018" t="s">
        <v>304</v>
      </c>
      <c r="J37" s="1015" t="s">
        <v>3125</v>
      </c>
      <c r="K37" s="1017" t="s">
        <v>3139</v>
      </c>
      <c r="L37" s="1015" t="s">
        <v>3141</v>
      </c>
    </row>
    <row r="38" spans="2:13" s="417" customFormat="1">
      <c r="B38" s="158" t="s">
        <v>613</v>
      </c>
      <c r="C38" s="417" t="s">
        <v>2813</v>
      </c>
      <c r="D38" s="417" t="s">
        <v>2807</v>
      </c>
      <c r="F38" s="417" t="s">
        <v>304</v>
      </c>
      <c r="G38" s="417" t="s">
        <v>276</v>
      </c>
      <c r="I38" s="1015" t="s">
        <v>304</v>
      </c>
      <c r="J38" s="1015" t="s">
        <v>1756</v>
      </c>
      <c r="K38" s="1015" t="s">
        <v>3185</v>
      </c>
      <c r="L38" s="1015" t="s">
        <v>2943</v>
      </c>
      <c r="M38"/>
    </row>
    <row r="39" spans="2:13">
      <c r="B39" s="158" t="s">
        <v>613</v>
      </c>
      <c r="C39" s="417" t="s">
        <v>2809</v>
      </c>
      <c r="D39" s="417" t="s">
        <v>2807</v>
      </c>
      <c r="F39" s="417" t="s">
        <v>304</v>
      </c>
      <c r="G39" s="417" t="s">
        <v>241</v>
      </c>
      <c r="I39" s="1018" t="s">
        <v>304</v>
      </c>
      <c r="J39" s="1015" t="s">
        <v>323</v>
      </c>
      <c r="K39" s="1015" t="s">
        <v>3186</v>
      </c>
      <c r="L39" s="1015" t="s">
        <v>2944</v>
      </c>
      <c r="M39" s="417"/>
    </row>
    <row r="40" spans="2:13">
      <c r="B40" s="158" t="s">
        <v>2708</v>
      </c>
      <c r="C40" s="158" t="s">
        <v>2810</v>
      </c>
      <c r="D40" s="417" t="s">
        <v>2807</v>
      </c>
      <c r="F40" s="417" t="s">
        <v>304</v>
      </c>
      <c r="G40" s="417" t="s">
        <v>355</v>
      </c>
      <c r="I40" s="1018" t="s">
        <v>304</v>
      </c>
      <c r="J40" s="1015" t="s">
        <v>2811</v>
      </c>
      <c r="K40" s="1015" t="s">
        <v>3187</v>
      </c>
      <c r="L40" s="1015" t="s">
        <v>2944</v>
      </c>
    </row>
    <row r="41" spans="2:13" s="417" customFormat="1">
      <c r="B41" s="158" t="s">
        <v>2708</v>
      </c>
      <c r="C41" s="417" t="s">
        <v>36</v>
      </c>
      <c r="D41" s="417" t="s">
        <v>2807</v>
      </c>
      <c r="F41" s="417" t="s">
        <v>304</v>
      </c>
      <c r="G41" s="417" t="s">
        <v>2939</v>
      </c>
      <c r="I41" s="1018" t="s">
        <v>304</v>
      </c>
      <c r="J41" s="1015" t="s">
        <v>369</v>
      </c>
      <c r="K41" s="1015" t="s">
        <v>3174</v>
      </c>
      <c r="L41" s="1015" t="s">
        <v>2944</v>
      </c>
      <c r="M41"/>
    </row>
    <row r="42" spans="2:13">
      <c r="B42" s="162" t="s">
        <v>2708</v>
      </c>
      <c r="C42" s="417" t="s">
        <v>36</v>
      </c>
      <c r="D42" s="417" t="s">
        <v>2807</v>
      </c>
      <c r="F42" s="417" t="s">
        <v>304</v>
      </c>
      <c r="G42" s="417" t="s">
        <v>2938</v>
      </c>
      <c r="I42" s="1018" t="s">
        <v>304</v>
      </c>
      <c r="J42" s="1015" t="s">
        <v>919</v>
      </c>
      <c r="K42" s="1015" t="s">
        <v>3175</v>
      </c>
      <c r="L42" s="1015" t="s">
        <v>2944</v>
      </c>
    </row>
    <row r="43" spans="2:13">
      <c r="B43" s="162" t="s">
        <v>2708</v>
      </c>
      <c r="C43" s="158" t="s">
        <v>3127</v>
      </c>
      <c r="D43" s="417" t="s">
        <v>2807</v>
      </c>
      <c r="F43" s="417" t="s">
        <v>304</v>
      </c>
      <c r="G43" s="417" t="s">
        <v>3125</v>
      </c>
      <c r="I43" s="1018" t="s">
        <v>304</v>
      </c>
      <c r="J43" s="1015" t="s">
        <v>2812</v>
      </c>
      <c r="K43" s="1015" t="s">
        <v>3188</v>
      </c>
      <c r="L43" s="1015" t="s">
        <v>2944</v>
      </c>
    </row>
    <row r="44" spans="2:13">
      <c r="B44" s="162" t="s">
        <v>2711</v>
      </c>
      <c r="C44" s="417" t="s">
        <v>319</v>
      </c>
      <c r="D44" s="417" t="s">
        <v>2807</v>
      </c>
      <c r="F44" s="417" t="s">
        <v>304</v>
      </c>
      <c r="G44" s="417" t="s">
        <v>3126</v>
      </c>
      <c r="I44" s="1018" t="s">
        <v>304</v>
      </c>
      <c r="J44" s="1015" t="s">
        <v>2810</v>
      </c>
      <c r="K44" s="1015" t="s">
        <v>2810</v>
      </c>
      <c r="L44" s="1015" t="s">
        <v>2944</v>
      </c>
      <c r="M44" s="417"/>
    </row>
    <row r="45" spans="2:13">
      <c r="B45" s="162" t="s">
        <v>2711</v>
      </c>
      <c r="C45" s="158" t="s">
        <v>2935</v>
      </c>
      <c r="D45" s="417" t="s">
        <v>2807</v>
      </c>
      <c r="F45" s="417" t="s">
        <v>304</v>
      </c>
      <c r="G45" s="417" t="s">
        <v>2934</v>
      </c>
      <c r="I45" s="1020" t="s">
        <v>304</v>
      </c>
      <c r="J45" s="1015" t="s">
        <v>2687</v>
      </c>
      <c r="K45" s="1015" t="s">
        <v>2808</v>
      </c>
      <c r="L45" s="1015" t="s">
        <v>2943</v>
      </c>
    </row>
    <row r="46" spans="2:13" s="417" customFormat="1">
      <c r="B46" s="162" t="s">
        <v>2711</v>
      </c>
      <c r="C46" s="417" t="s">
        <v>36</v>
      </c>
      <c r="D46" s="417" t="s">
        <v>2807</v>
      </c>
      <c r="F46" s="417" t="s">
        <v>304</v>
      </c>
      <c r="G46" s="417" t="s">
        <v>2129</v>
      </c>
      <c r="I46" s="1018" t="s">
        <v>304</v>
      </c>
      <c r="J46" s="1015" t="s">
        <v>355</v>
      </c>
      <c r="K46" s="1015" t="s">
        <v>3189</v>
      </c>
      <c r="L46" s="1015" t="s">
        <v>2944</v>
      </c>
      <c r="M46"/>
    </row>
    <row r="47" spans="2:13">
      <c r="B47" s="158" t="s">
        <v>2711</v>
      </c>
      <c r="C47" s="417" t="s">
        <v>319</v>
      </c>
      <c r="D47" s="417" t="s">
        <v>2807</v>
      </c>
      <c r="F47" s="417" t="s">
        <v>304</v>
      </c>
      <c r="G47" s="417" t="s">
        <v>605</v>
      </c>
      <c r="I47" s="1018" t="s">
        <v>304</v>
      </c>
      <c r="J47" s="1015" t="s">
        <v>2081</v>
      </c>
      <c r="K47" s="1015" t="s">
        <v>3170</v>
      </c>
      <c r="L47" s="1015" t="s">
        <v>2944</v>
      </c>
    </row>
    <row r="48" spans="2:13">
      <c r="B48" s="162" t="s">
        <v>2711</v>
      </c>
      <c r="C48" s="417" t="s">
        <v>2965</v>
      </c>
      <c r="D48" s="417" t="s">
        <v>2807</v>
      </c>
      <c r="F48" s="417" t="s">
        <v>2711</v>
      </c>
      <c r="G48" s="417" t="s">
        <v>36</v>
      </c>
      <c r="I48" s="1018" t="s">
        <v>304</v>
      </c>
      <c r="J48" s="1015" t="s">
        <v>358</v>
      </c>
      <c r="K48" s="1015" t="s">
        <v>3190</v>
      </c>
      <c r="L48" s="1015" t="s">
        <v>2944</v>
      </c>
      <c r="M48" s="417"/>
    </row>
    <row r="49" spans="2:13">
      <c r="B49" s="158" t="s">
        <v>304</v>
      </c>
      <c r="C49" s="158" t="s">
        <v>323</v>
      </c>
      <c r="D49" s="417" t="s">
        <v>2807</v>
      </c>
      <c r="F49" s="417" t="s">
        <v>2711</v>
      </c>
      <c r="G49" s="417" t="s">
        <v>319</v>
      </c>
      <c r="I49" s="1020" t="s">
        <v>304</v>
      </c>
      <c r="J49" s="1015" t="s">
        <v>297</v>
      </c>
      <c r="K49" s="1015" t="s">
        <v>3171</v>
      </c>
      <c r="L49" s="1015" t="s">
        <v>2944</v>
      </c>
    </row>
    <row r="50" spans="2:13" s="417" customFormat="1">
      <c r="B50" s="158" t="s">
        <v>304</v>
      </c>
      <c r="C50" s="417" t="s">
        <v>2934</v>
      </c>
      <c r="D50" s="417" t="s">
        <v>2807</v>
      </c>
      <c r="F50" s="417" t="s">
        <v>2711</v>
      </c>
      <c r="G50" s="417" t="s">
        <v>2935</v>
      </c>
      <c r="I50" s="1018" t="s">
        <v>304</v>
      </c>
      <c r="J50" s="1015" t="s">
        <v>2938</v>
      </c>
      <c r="K50" s="1015" t="s">
        <v>3191</v>
      </c>
      <c r="L50" s="1015" t="s">
        <v>3141</v>
      </c>
      <c r="M50"/>
    </row>
    <row r="51" spans="2:13">
      <c r="B51" s="158" t="s">
        <v>304</v>
      </c>
      <c r="C51" s="417" t="s">
        <v>241</v>
      </c>
      <c r="D51" s="417" t="s">
        <v>2807</v>
      </c>
      <c r="F51" s="417" t="s">
        <v>2711</v>
      </c>
      <c r="G51" s="417" t="s">
        <v>2965</v>
      </c>
      <c r="I51" s="1018" t="s">
        <v>304</v>
      </c>
      <c r="J51" s="1015" t="s">
        <v>276</v>
      </c>
      <c r="K51" s="1015" t="s">
        <v>3178</v>
      </c>
      <c r="L51" s="1015" t="s">
        <v>2944</v>
      </c>
    </row>
    <row r="52" spans="2:13">
      <c r="B52" s="158" t="s">
        <v>304</v>
      </c>
      <c r="C52" s="417" t="s">
        <v>2811</v>
      </c>
      <c r="D52" s="417" t="s">
        <v>2807</v>
      </c>
      <c r="F52" s="417" t="s">
        <v>515</v>
      </c>
      <c r="G52" s="417" t="s">
        <v>311</v>
      </c>
      <c r="I52" s="1018" t="s">
        <v>304</v>
      </c>
      <c r="J52" s="1015" t="s">
        <v>3126</v>
      </c>
      <c r="K52" s="1017" t="s">
        <v>3140</v>
      </c>
      <c r="L52" s="1015" t="s">
        <v>3141</v>
      </c>
      <c r="M52" s="417"/>
    </row>
    <row r="53" spans="2:13">
      <c r="B53" s="158" t="s">
        <v>304</v>
      </c>
      <c r="C53" s="417" t="s">
        <v>369</v>
      </c>
      <c r="D53" s="417" t="s">
        <v>2807</v>
      </c>
      <c r="F53" s="417" t="s">
        <v>515</v>
      </c>
      <c r="G53" s="417" t="s">
        <v>2159</v>
      </c>
      <c r="I53" s="1018" t="s">
        <v>304</v>
      </c>
      <c r="J53" s="1015" t="s">
        <v>3131</v>
      </c>
      <c r="K53" s="1015" t="s">
        <v>3172</v>
      </c>
      <c r="L53" s="1015" t="s">
        <v>2944</v>
      </c>
    </row>
    <row r="54" spans="2:13" s="417" customFormat="1">
      <c r="B54" s="158" t="s">
        <v>304</v>
      </c>
      <c r="C54" s="417" t="s">
        <v>919</v>
      </c>
      <c r="D54" s="417" t="s">
        <v>2807</v>
      </c>
      <c r="F54" s="417" t="s">
        <v>515</v>
      </c>
      <c r="G54" s="417" t="s">
        <v>36</v>
      </c>
      <c r="I54" s="1018" t="s">
        <v>304</v>
      </c>
      <c r="J54" s="1015" t="s">
        <v>2939</v>
      </c>
      <c r="K54" s="1015" t="s">
        <v>3192</v>
      </c>
      <c r="L54" s="1015" t="s">
        <v>2943</v>
      </c>
      <c r="M54"/>
    </row>
    <row r="55" spans="2:13">
      <c r="B55" s="158" t="s">
        <v>304</v>
      </c>
      <c r="C55" s="158" t="s">
        <v>2081</v>
      </c>
      <c r="D55" s="417" t="s">
        <v>2807</v>
      </c>
      <c r="F55" s="417" t="s">
        <v>515</v>
      </c>
      <c r="G55" s="417" t="s">
        <v>2808</v>
      </c>
      <c r="I55" s="1020" t="s">
        <v>304</v>
      </c>
      <c r="J55" s="1015" t="s">
        <v>605</v>
      </c>
      <c r="K55" s="1015" t="s">
        <v>3193</v>
      </c>
      <c r="L55" s="1015" t="s">
        <v>2948</v>
      </c>
    </row>
    <row r="56" spans="2:13">
      <c r="B56" s="158" t="s">
        <v>304</v>
      </c>
      <c r="C56" s="417" t="s">
        <v>2812</v>
      </c>
      <c r="D56" s="417" t="s">
        <v>2807</v>
      </c>
      <c r="F56" s="417" t="s">
        <v>515</v>
      </c>
      <c r="G56" s="417" t="s">
        <v>192</v>
      </c>
      <c r="I56" s="1018" t="s">
        <v>304</v>
      </c>
      <c r="J56" s="1015" t="s">
        <v>241</v>
      </c>
      <c r="K56" s="1015" t="s">
        <v>3173</v>
      </c>
      <c r="L56" s="1015" t="s">
        <v>2948</v>
      </c>
    </row>
    <row r="57" spans="2:13">
      <c r="B57" s="158" t="s">
        <v>304</v>
      </c>
      <c r="C57" s="158" t="s">
        <v>2129</v>
      </c>
      <c r="D57" s="417" t="s">
        <v>2807</v>
      </c>
      <c r="F57" s="417" t="s">
        <v>515</v>
      </c>
      <c r="G57" s="417" t="s">
        <v>2940</v>
      </c>
      <c r="I57" s="1018" t="s">
        <v>304</v>
      </c>
      <c r="J57" s="1015" t="s">
        <v>2129</v>
      </c>
      <c r="K57" s="1015" t="s">
        <v>3194</v>
      </c>
      <c r="L57" s="1015" t="s">
        <v>2948</v>
      </c>
      <c r="M57" s="417"/>
    </row>
    <row r="58" spans="2:13">
      <c r="B58" s="158" t="s">
        <v>304</v>
      </c>
      <c r="C58" s="158" t="s">
        <v>605</v>
      </c>
      <c r="D58" s="417" t="s">
        <v>2807</v>
      </c>
      <c r="F58" s="417" t="s">
        <v>3124</v>
      </c>
      <c r="G58" s="417" t="s">
        <v>3124</v>
      </c>
      <c r="I58" s="1018" t="s">
        <v>2711</v>
      </c>
      <c r="J58" s="1015" t="s">
        <v>319</v>
      </c>
      <c r="K58" s="1015" t="s">
        <v>3195</v>
      </c>
      <c r="L58" s="1015" t="s">
        <v>2944</v>
      </c>
      <c r="M58" s="417"/>
    </row>
    <row r="59" spans="2:13">
      <c r="B59" s="158" t="s">
        <v>2347</v>
      </c>
      <c r="C59" s="158" t="s">
        <v>2817</v>
      </c>
      <c r="D59" s="417" t="s">
        <v>2807</v>
      </c>
      <c r="F59" s="417" t="s">
        <v>1285</v>
      </c>
      <c r="I59" s="1018" t="s">
        <v>2711</v>
      </c>
      <c r="J59" s="1015" t="s">
        <v>3132</v>
      </c>
      <c r="K59" s="1015" t="s">
        <v>3167</v>
      </c>
      <c r="L59" s="1015" t="s">
        <v>3141</v>
      </c>
      <c r="M59" s="417"/>
    </row>
    <row r="60" spans="2:13">
      <c r="B60" s="158" t="s">
        <v>2347</v>
      </c>
      <c r="C60" s="158" t="s">
        <v>2933</v>
      </c>
      <c r="D60" s="417" t="s">
        <v>2807</v>
      </c>
      <c r="I60" s="1015" t="s">
        <v>2711</v>
      </c>
      <c r="J60" s="1015" t="s">
        <v>36</v>
      </c>
      <c r="K60" s="1015" t="s">
        <v>3166</v>
      </c>
      <c r="L60" s="1015" t="s">
        <v>2943</v>
      </c>
      <c r="M60" s="417"/>
    </row>
    <row r="61" spans="2:13">
      <c r="B61" s="158" t="s">
        <v>2703</v>
      </c>
      <c r="C61" s="158" t="s">
        <v>2817</v>
      </c>
      <c r="D61" s="417" t="s">
        <v>2807</v>
      </c>
      <c r="I61" s="1018" t="s">
        <v>2711</v>
      </c>
      <c r="J61" s="1015" t="s">
        <v>3133</v>
      </c>
      <c r="K61" s="1015" t="s">
        <v>2965</v>
      </c>
      <c r="L61" s="1015" t="s">
        <v>2943</v>
      </c>
      <c r="M61" s="417"/>
    </row>
    <row r="62" spans="2:13">
      <c r="B62" s="158" t="s">
        <v>2703</v>
      </c>
      <c r="C62" s="158" t="s">
        <v>2933</v>
      </c>
      <c r="D62" s="417" t="s">
        <v>2807</v>
      </c>
      <c r="I62" s="1015" t="s">
        <v>2711</v>
      </c>
      <c r="J62" s="1015" t="s">
        <v>241</v>
      </c>
      <c r="K62" s="1015" t="s">
        <v>3173</v>
      </c>
      <c r="L62" s="1016" t="s">
        <v>2948</v>
      </c>
      <c r="M62" s="417" t="s">
        <v>3142</v>
      </c>
    </row>
    <row r="63" spans="2:13">
      <c r="B63" s="158" t="s">
        <v>37</v>
      </c>
      <c r="C63" s="158" t="s">
        <v>369</v>
      </c>
      <c r="D63" s="417" t="s">
        <v>2807</v>
      </c>
      <c r="I63" s="1015" t="s">
        <v>2712</v>
      </c>
      <c r="J63" s="1015" t="s">
        <v>241</v>
      </c>
      <c r="K63" s="1015" t="s">
        <v>3173</v>
      </c>
      <c r="L63" s="1016" t="s">
        <v>2948</v>
      </c>
      <c r="M63" s="417" t="s">
        <v>3142</v>
      </c>
    </row>
    <row r="64" spans="2:13">
      <c r="B64" s="158" t="s">
        <v>37</v>
      </c>
      <c r="C64" s="158" t="s">
        <v>3128</v>
      </c>
      <c r="D64" s="417" t="s">
        <v>2807</v>
      </c>
      <c r="I64" s="1015" t="s">
        <v>515</v>
      </c>
      <c r="J64" s="1015" t="s">
        <v>311</v>
      </c>
      <c r="K64" s="1015" t="s">
        <v>3168</v>
      </c>
      <c r="L64" s="1015" t="s">
        <v>2944</v>
      </c>
      <c r="M64" s="417"/>
    </row>
    <row r="65" spans="2:13">
      <c r="B65" s="158" t="s">
        <v>515</v>
      </c>
      <c r="C65" s="158" t="s">
        <v>311</v>
      </c>
      <c r="D65" s="417" t="s">
        <v>2807</v>
      </c>
      <c r="I65" s="1018" t="s">
        <v>515</v>
      </c>
      <c r="J65" s="1015" t="s">
        <v>2940</v>
      </c>
      <c r="K65" s="1015" t="s">
        <v>3196</v>
      </c>
      <c r="L65" s="1015" t="s">
        <v>3141</v>
      </c>
      <c r="M65" s="417"/>
    </row>
    <row r="66" spans="2:13">
      <c r="B66" s="158"/>
      <c r="C66" s="158"/>
      <c r="D66" s="417"/>
      <c r="I66" s="1018" t="s">
        <v>515</v>
      </c>
      <c r="J66" s="1015" t="s">
        <v>2159</v>
      </c>
      <c r="K66" s="1015" t="s">
        <v>3197</v>
      </c>
      <c r="L66" s="1015" t="s">
        <v>2944</v>
      </c>
      <c r="M66" s="417"/>
    </row>
    <row r="67" spans="2:13">
      <c r="B67" s="158"/>
      <c r="C67" s="158"/>
      <c r="D67" s="417"/>
      <c r="I67" s="1018" t="s">
        <v>515</v>
      </c>
      <c r="J67" s="1015" t="s">
        <v>36</v>
      </c>
      <c r="K67" s="1015" t="s">
        <v>3166</v>
      </c>
      <c r="L67" s="1015" t="s">
        <v>2943</v>
      </c>
      <c r="M67" s="417"/>
    </row>
    <row r="68" spans="2:13">
      <c r="B68" s="158"/>
      <c r="C68" s="158"/>
      <c r="D68" s="417"/>
      <c r="I68" s="1018" t="s">
        <v>515</v>
      </c>
      <c r="J68" s="1015" t="s">
        <v>3130</v>
      </c>
      <c r="K68" s="1015" t="s">
        <v>3165</v>
      </c>
      <c r="L68" s="1015" t="s">
        <v>2943</v>
      </c>
      <c r="M68" s="417"/>
    </row>
    <row r="69" spans="2:13">
      <c r="B69" s="158"/>
      <c r="C69" s="158"/>
      <c r="D69" s="417"/>
      <c r="I69" s="1018" t="s">
        <v>515</v>
      </c>
      <c r="J69" s="1015" t="s">
        <v>2687</v>
      </c>
      <c r="K69" s="1015" t="s">
        <v>2808</v>
      </c>
      <c r="L69" s="1015" t="s">
        <v>2943</v>
      </c>
      <c r="M69" s="417"/>
    </row>
    <row r="70" spans="2:13">
      <c r="B70" s="158"/>
      <c r="C70" s="158"/>
      <c r="D70" s="417"/>
      <c r="I70" s="1020" t="s">
        <v>515</v>
      </c>
      <c r="J70" s="1015" t="s">
        <v>241</v>
      </c>
      <c r="K70" s="1015" t="s">
        <v>3173</v>
      </c>
      <c r="L70" s="1016" t="s">
        <v>2948</v>
      </c>
      <c r="M70" s="417" t="s">
        <v>3142</v>
      </c>
    </row>
    <row r="71" spans="2:13">
      <c r="B71" s="158"/>
      <c r="C71" s="158"/>
      <c r="D71" s="417"/>
      <c r="I71" s="1018" t="s">
        <v>2653</v>
      </c>
      <c r="J71" s="1015" t="s">
        <v>36</v>
      </c>
      <c r="K71" s="1015" t="s">
        <v>3166</v>
      </c>
      <c r="L71" s="1016" t="s">
        <v>2943</v>
      </c>
      <c r="M71" s="417" t="s">
        <v>3142</v>
      </c>
    </row>
    <row r="72" spans="2:13">
      <c r="B72" s="158"/>
      <c r="C72" s="158"/>
      <c r="D72" s="417"/>
      <c r="I72" s="1018" t="s">
        <v>2653</v>
      </c>
      <c r="J72" s="1021" t="s">
        <v>3144</v>
      </c>
      <c r="K72" s="1015" t="s">
        <v>3198</v>
      </c>
      <c r="L72" s="1015" t="s">
        <v>3141</v>
      </c>
      <c r="M72" s="417" t="s">
        <v>3142</v>
      </c>
    </row>
    <row r="73" spans="2:13">
      <c r="B73" s="158"/>
      <c r="C73" s="158"/>
      <c r="D73" s="417"/>
      <c r="I73" s="1018" t="s">
        <v>2653</v>
      </c>
      <c r="J73" s="1015" t="s">
        <v>358</v>
      </c>
      <c r="K73" s="1015" t="s">
        <v>3190</v>
      </c>
      <c r="L73" s="1016" t="s">
        <v>2944</v>
      </c>
      <c r="M73" s="417" t="s">
        <v>3142</v>
      </c>
    </row>
    <row r="74" spans="2:13">
      <c r="B74" s="162"/>
      <c r="C74" s="158"/>
      <c r="D74" s="417"/>
      <c r="I74" s="1018" t="s">
        <v>2653</v>
      </c>
      <c r="J74" s="1015" t="s">
        <v>3143</v>
      </c>
      <c r="K74" s="1015" t="s">
        <v>3181</v>
      </c>
      <c r="L74" s="1019" t="s">
        <v>2944</v>
      </c>
      <c r="M74" s="417" t="s">
        <v>3142</v>
      </c>
    </row>
    <row r="75" spans="2:13">
      <c r="I75" s="1018" t="s">
        <v>2653</v>
      </c>
      <c r="J75" s="1015" t="s">
        <v>241</v>
      </c>
      <c r="K75" s="1015" t="s">
        <v>3173</v>
      </c>
      <c r="L75" s="1016" t="s">
        <v>2948</v>
      </c>
      <c r="M75" s="417" t="s">
        <v>3142</v>
      </c>
    </row>
    <row r="76" spans="2:13">
      <c r="I76" s="1015" t="s">
        <v>2714</v>
      </c>
      <c r="J76" s="1015" t="s">
        <v>3137</v>
      </c>
      <c r="K76" s="1015" t="s">
        <v>3138</v>
      </c>
      <c r="L76" s="1016" t="s">
        <v>2943</v>
      </c>
      <c r="M76" s="417" t="s">
        <v>3142</v>
      </c>
    </row>
    <row r="77" spans="2:13">
      <c r="I77" s="1015" t="s">
        <v>2714</v>
      </c>
      <c r="J77" s="1015" t="s">
        <v>241</v>
      </c>
      <c r="K77" s="1015" t="s">
        <v>3173</v>
      </c>
      <c r="L77" s="1016" t="s">
        <v>2948</v>
      </c>
      <c r="M77" s="417" t="s">
        <v>3142</v>
      </c>
    </row>
    <row r="78" spans="2:13">
      <c r="I78" s="1018" t="s">
        <v>2714</v>
      </c>
      <c r="J78" s="1015" t="s">
        <v>3136</v>
      </c>
      <c r="K78" s="1015" t="s">
        <v>3199</v>
      </c>
      <c r="L78" s="1016" t="s">
        <v>2944</v>
      </c>
      <c r="M78" s="417" t="s">
        <v>3142</v>
      </c>
    </row>
  </sheetData>
  <pageMargins left="0.7" right="0.7" top="0.75" bottom="0.75" header="0.3" footer="0.3"/>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98CFD-A465-4CB5-BC57-26DE2B21377E}">
  <dimension ref="A1:O100"/>
  <sheetViews>
    <sheetView topLeftCell="A2" workbookViewId="0">
      <selection activeCell="F16" sqref="F16"/>
    </sheetView>
  </sheetViews>
  <sheetFormatPr defaultRowHeight="15.5"/>
  <cols>
    <col min="2" max="2" width="11.9140625" bestFit="1" customWidth="1"/>
    <col min="3" max="3" width="14.1640625" bestFit="1" customWidth="1"/>
    <col min="4" max="4" width="13.33203125" customWidth="1"/>
    <col min="6" max="6" width="15.9140625" bestFit="1" customWidth="1"/>
    <col min="7" max="7" width="10.6640625" bestFit="1" customWidth="1"/>
    <col min="9" max="9" width="12.83203125" bestFit="1" customWidth="1"/>
    <col min="11" max="11" width="10.5" customWidth="1"/>
    <col min="12" max="12" width="22" bestFit="1" customWidth="1"/>
    <col min="14" max="14" width="15.83203125" bestFit="1" customWidth="1"/>
    <col min="15" max="16" width="16.58203125" bestFit="1" customWidth="1"/>
    <col min="17" max="17" width="12.9140625" bestFit="1" customWidth="1"/>
    <col min="18" max="18" width="16.58203125" bestFit="1" customWidth="1"/>
    <col min="19" max="19" width="12.9140625" bestFit="1" customWidth="1"/>
    <col min="20" max="20" width="16.58203125" bestFit="1" customWidth="1"/>
    <col min="21" max="21" width="12.9140625" bestFit="1" customWidth="1"/>
    <col min="22" max="22" width="16.58203125" bestFit="1" customWidth="1"/>
    <col min="23" max="23" width="12.9140625" bestFit="1" customWidth="1"/>
    <col min="24" max="24" width="16.58203125" bestFit="1" customWidth="1"/>
    <col min="25" max="25" width="12.9140625" bestFit="1" customWidth="1"/>
    <col min="26" max="26" width="16.58203125" bestFit="1" customWidth="1"/>
    <col min="27" max="27" width="12.9140625" bestFit="1" customWidth="1"/>
    <col min="28" max="28" width="16.58203125" bestFit="1" customWidth="1"/>
    <col min="29" max="29" width="12.9140625" bestFit="1" customWidth="1"/>
    <col min="30" max="30" width="16.58203125" bestFit="1" customWidth="1"/>
    <col min="31" max="31" width="12.9140625" bestFit="1" customWidth="1"/>
    <col min="32" max="32" width="16.58203125" bestFit="1" customWidth="1"/>
    <col min="33" max="33" width="12.9140625" bestFit="1" customWidth="1"/>
    <col min="34" max="34" width="16.58203125" bestFit="1" customWidth="1"/>
    <col min="35" max="35" width="12.9140625" bestFit="1" customWidth="1"/>
    <col min="36" max="36" width="16.58203125" bestFit="1" customWidth="1"/>
    <col min="37" max="37" width="12.9140625" bestFit="1" customWidth="1"/>
    <col min="38" max="38" width="16.58203125" bestFit="1" customWidth="1"/>
    <col min="39" max="39" width="12.9140625" bestFit="1" customWidth="1"/>
    <col min="40" max="40" width="16.58203125" bestFit="1" customWidth="1"/>
    <col min="41" max="41" width="12.9140625" bestFit="1" customWidth="1"/>
    <col min="42" max="42" width="16.58203125" bestFit="1" customWidth="1"/>
    <col min="43" max="43" width="12.9140625" bestFit="1" customWidth="1"/>
    <col min="44" max="44" width="16.58203125" bestFit="1" customWidth="1"/>
    <col min="45" max="45" width="12.9140625" bestFit="1" customWidth="1"/>
    <col min="46" max="46" width="16.58203125" bestFit="1" customWidth="1"/>
    <col min="47" max="47" width="12.9140625" bestFit="1" customWidth="1"/>
    <col min="48" max="48" width="16.58203125" bestFit="1" customWidth="1"/>
    <col min="49" max="49" width="12.9140625" bestFit="1" customWidth="1"/>
    <col min="50" max="50" width="16.58203125" bestFit="1" customWidth="1"/>
    <col min="51" max="51" width="12.9140625" bestFit="1" customWidth="1"/>
    <col min="52" max="52" width="16.58203125" bestFit="1" customWidth="1"/>
    <col min="53" max="53" width="12.9140625" bestFit="1" customWidth="1"/>
    <col min="54" max="54" width="16.58203125" bestFit="1" customWidth="1"/>
    <col min="55" max="55" width="12.9140625" bestFit="1" customWidth="1"/>
    <col min="56" max="56" width="16.58203125" bestFit="1" customWidth="1"/>
    <col min="57" max="57" width="12.9140625" bestFit="1" customWidth="1"/>
    <col min="58" max="58" width="16.58203125" bestFit="1" customWidth="1"/>
    <col min="59" max="59" width="12.9140625" bestFit="1" customWidth="1"/>
    <col min="60" max="60" width="16.58203125" bestFit="1" customWidth="1"/>
    <col min="61" max="61" width="12.9140625" bestFit="1" customWidth="1"/>
    <col min="62" max="62" width="16.58203125" bestFit="1" customWidth="1"/>
    <col min="63" max="63" width="12.9140625" bestFit="1" customWidth="1"/>
    <col min="64" max="64" width="16.58203125" bestFit="1" customWidth="1"/>
    <col min="65" max="65" width="12.9140625" bestFit="1" customWidth="1"/>
    <col min="66" max="66" width="16.58203125" bestFit="1" customWidth="1"/>
    <col min="67" max="67" width="12.9140625" bestFit="1" customWidth="1"/>
    <col min="68" max="68" width="16.58203125" bestFit="1" customWidth="1"/>
    <col min="69" max="69" width="12.9140625" bestFit="1" customWidth="1"/>
    <col min="70" max="70" width="16.58203125" bestFit="1" customWidth="1"/>
    <col min="71" max="71" width="12.9140625" bestFit="1" customWidth="1"/>
    <col min="72" max="72" width="16.58203125" bestFit="1" customWidth="1"/>
    <col min="73" max="73" width="12.9140625" bestFit="1" customWidth="1"/>
    <col min="74" max="74" width="16.58203125" bestFit="1" customWidth="1"/>
    <col min="75" max="75" width="12.9140625" bestFit="1" customWidth="1"/>
    <col min="76" max="76" width="16.58203125" bestFit="1" customWidth="1"/>
    <col min="77" max="77" width="12.9140625" bestFit="1" customWidth="1"/>
    <col min="78" max="78" width="16.58203125" bestFit="1" customWidth="1"/>
    <col min="79" max="79" width="12.9140625" bestFit="1" customWidth="1"/>
    <col min="80" max="80" width="16.58203125" bestFit="1" customWidth="1"/>
    <col min="81" max="81" width="12.9140625" bestFit="1" customWidth="1"/>
    <col min="82" max="82" width="16.58203125" bestFit="1" customWidth="1"/>
    <col min="83" max="83" width="12.9140625" bestFit="1" customWidth="1"/>
    <col min="84" max="84" width="16.58203125" bestFit="1" customWidth="1"/>
    <col min="85" max="85" width="12.9140625" bestFit="1" customWidth="1"/>
    <col min="86" max="86" width="16.58203125" bestFit="1" customWidth="1"/>
    <col min="87" max="87" width="12.9140625" bestFit="1" customWidth="1"/>
    <col min="88" max="88" width="16.58203125" bestFit="1" customWidth="1"/>
    <col min="89" max="89" width="12.9140625" bestFit="1" customWidth="1"/>
    <col min="90" max="90" width="16.58203125" bestFit="1" customWidth="1"/>
    <col min="91" max="91" width="12.9140625" bestFit="1" customWidth="1"/>
    <col min="92" max="92" width="16.58203125" bestFit="1" customWidth="1"/>
    <col min="93" max="93" width="12.9140625" bestFit="1" customWidth="1"/>
    <col min="94" max="94" width="16.58203125" bestFit="1" customWidth="1"/>
    <col min="95" max="95" width="12.9140625" bestFit="1" customWidth="1"/>
    <col min="96" max="96" width="16.58203125" bestFit="1" customWidth="1"/>
    <col min="97" max="97" width="12.9140625" bestFit="1" customWidth="1"/>
    <col min="98" max="98" width="16.58203125" bestFit="1" customWidth="1"/>
    <col min="99" max="99" width="12.9140625" bestFit="1" customWidth="1"/>
    <col min="100" max="100" width="16.58203125" bestFit="1" customWidth="1"/>
    <col min="101" max="101" width="12.9140625" bestFit="1" customWidth="1"/>
    <col min="102" max="102" width="16.58203125" bestFit="1" customWidth="1"/>
    <col min="103" max="103" width="12.9140625" bestFit="1" customWidth="1"/>
    <col min="104" max="104" width="16.58203125" bestFit="1" customWidth="1"/>
    <col min="105" max="105" width="18" bestFit="1" customWidth="1"/>
    <col min="106" max="106" width="21.6640625" bestFit="1" customWidth="1"/>
  </cols>
  <sheetData>
    <row r="1" spans="1:15">
      <c r="B1" s="790" t="s">
        <v>21</v>
      </c>
      <c r="C1" s="791" t="s">
        <v>2814</v>
      </c>
      <c r="D1" s="792" t="s">
        <v>2815</v>
      </c>
    </row>
    <row r="2" spans="1:15">
      <c r="A2" s="158"/>
      <c r="B2" s="782" t="s">
        <v>2705</v>
      </c>
      <c r="C2" s="793" t="s">
        <v>2816</v>
      </c>
      <c r="D2" s="794" t="s">
        <v>2807</v>
      </c>
      <c r="F2" s="423" t="s">
        <v>21</v>
      </c>
      <c r="G2" s="423" t="s">
        <v>2814</v>
      </c>
      <c r="I2" s="423" t="s">
        <v>1283</v>
      </c>
      <c r="K2" s="781" t="s">
        <v>2814</v>
      </c>
      <c r="L2" s="781" t="s">
        <v>2942</v>
      </c>
    </row>
    <row r="3" spans="1:15">
      <c r="A3" s="158"/>
      <c r="B3" s="782" t="s">
        <v>2705</v>
      </c>
      <c r="C3" s="793" t="s">
        <v>241</v>
      </c>
      <c r="D3" s="794" t="s">
        <v>2807</v>
      </c>
      <c r="F3" s="417" t="s">
        <v>2705</v>
      </c>
      <c r="G3" s="417" t="s">
        <v>2816</v>
      </c>
      <c r="I3" s="487" t="s">
        <v>319</v>
      </c>
      <c r="K3" s="800" t="s">
        <v>2935</v>
      </c>
      <c r="L3" s="800" t="s">
        <v>2946</v>
      </c>
      <c r="N3" s="423" t="s">
        <v>1283</v>
      </c>
      <c r="O3" t="s">
        <v>2949</v>
      </c>
    </row>
    <row r="4" spans="1:15">
      <c r="A4" s="158"/>
      <c r="B4" s="782" t="s">
        <v>613</v>
      </c>
      <c r="C4" s="793" t="s">
        <v>311</v>
      </c>
      <c r="D4" s="794" t="s">
        <v>2807</v>
      </c>
      <c r="F4" s="417" t="s">
        <v>2705</v>
      </c>
      <c r="G4" s="417" t="s">
        <v>241</v>
      </c>
      <c r="I4" s="487" t="s">
        <v>2817</v>
      </c>
      <c r="K4" s="800" t="s">
        <v>2813</v>
      </c>
      <c r="L4" s="800" t="s">
        <v>2946</v>
      </c>
      <c r="N4" s="487" t="s">
        <v>2946</v>
      </c>
      <c r="O4" s="416">
        <v>5</v>
      </c>
    </row>
    <row r="5" spans="1:15">
      <c r="A5" s="158"/>
      <c r="B5" s="782" t="s">
        <v>613</v>
      </c>
      <c r="C5" s="793" t="s">
        <v>2813</v>
      </c>
      <c r="D5" s="794" t="s">
        <v>2807</v>
      </c>
      <c r="F5" s="417" t="s">
        <v>613</v>
      </c>
      <c r="G5" s="417" t="s">
        <v>311</v>
      </c>
      <c r="I5" s="487" t="s">
        <v>2935</v>
      </c>
      <c r="K5" s="800" t="s">
        <v>2933</v>
      </c>
      <c r="L5" s="800" t="s">
        <v>2946</v>
      </c>
      <c r="N5" s="487" t="s">
        <v>2944</v>
      </c>
      <c r="O5" s="416">
        <v>23</v>
      </c>
    </row>
    <row r="6" spans="1:15">
      <c r="A6" s="158"/>
      <c r="B6" s="782" t="s">
        <v>613</v>
      </c>
      <c r="C6" s="793" t="s">
        <v>36</v>
      </c>
      <c r="D6" s="794" t="s">
        <v>2807</v>
      </c>
      <c r="F6" s="417" t="s">
        <v>613</v>
      </c>
      <c r="G6" s="417" t="s">
        <v>2813</v>
      </c>
      <c r="I6" s="487" t="s">
        <v>311</v>
      </c>
      <c r="K6" s="800" t="s">
        <v>2932</v>
      </c>
      <c r="L6" s="800" t="s">
        <v>2946</v>
      </c>
      <c r="N6" s="487" t="s">
        <v>2943</v>
      </c>
      <c r="O6" s="416">
        <v>14</v>
      </c>
    </row>
    <row r="7" spans="1:15">
      <c r="A7" s="158"/>
      <c r="B7" s="782" t="s">
        <v>613</v>
      </c>
      <c r="C7" s="793" t="s">
        <v>2810</v>
      </c>
      <c r="D7" s="794" t="s">
        <v>2807</v>
      </c>
      <c r="F7" s="417" t="s">
        <v>613</v>
      </c>
      <c r="G7" s="417" t="s">
        <v>36</v>
      </c>
      <c r="I7" s="487" t="s">
        <v>1756</v>
      </c>
      <c r="K7" s="800" t="s">
        <v>2938</v>
      </c>
      <c r="L7" s="800" t="s">
        <v>2946</v>
      </c>
      <c r="N7" s="487" t="s">
        <v>2947</v>
      </c>
      <c r="O7" s="416">
        <v>1</v>
      </c>
    </row>
    <row r="8" spans="1:15">
      <c r="A8" s="158"/>
      <c r="B8" s="782" t="s">
        <v>613</v>
      </c>
      <c r="C8" s="793" t="s">
        <v>2081</v>
      </c>
      <c r="D8" s="794" t="s">
        <v>2807</v>
      </c>
      <c r="F8" s="417" t="s">
        <v>613</v>
      </c>
      <c r="G8" s="417" t="s">
        <v>2810</v>
      </c>
      <c r="I8" s="487" t="s">
        <v>323</v>
      </c>
      <c r="K8" s="800" t="s">
        <v>319</v>
      </c>
      <c r="L8" s="800" t="s">
        <v>2944</v>
      </c>
      <c r="N8" s="487" t="s">
        <v>2948</v>
      </c>
      <c r="O8" s="416">
        <v>2</v>
      </c>
    </row>
    <row r="9" spans="1:15">
      <c r="A9" s="158"/>
      <c r="B9" s="782" t="s">
        <v>613</v>
      </c>
      <c r="C9" s="793" t="s">
        <v>2809</v>
      </c>
      <c r="D9" s="794" t="s">
        <v>2807</v>
      </c>
      <c r="F9" s="417" t="s">
        <v>613</v>
      </c>
      <c r="G9" s="417" t="s">
        <v>2081</v>
      </c>
      <c r="I9" s="487" t="s">
        <v>2811</v>
      </c>
      <c r="K9" s="800" t="s">
        <v>2817</v>
      </c>
      <c r="L9" s="800" t="s">
        <v>2944</v>
      </c>
      <c r="N9" s="487" t="s">
        <v>1285</v>
      </c>
      <c r="O9" s="416">
        <v>45</v>
      </c>
    </row>
    <row r="10" spans="1:15">
      <c r="A10" s="158"/>
      <c r="B10" s="782" t="s">
        <v>613</v>
      </c>
      <c r="C10" s="793" t="s">
        <v>241</v>
      </c>
      <c r="D10" s="794" t="s">
        <v>2807</v>
      </c>
      <c r="F10" s="417" t="s">
        <v>613</v>
      </c>
      <c r="G10" s="417" t="s">
        <v>2809</v>
      </c>
      <c r="I10" s="487" t="s">
        <v>2813</v>
      </c>
      <c r="K10" s="800" t="s">
        <v>311</v>
      </c>
      <c r="L10" s="800" t="s">
        <v>2944</v>
      </c>
    </row>
    <row r="11" spans="1:15">
      <c r="A11" s="158"/>
      <c r="B11" s="788" t="s">
        <v>37</v>
      </c>
      <c r="C11" s="795" t="s">
        <v>939</v>
      </c>
      <c r="D11" s="794" t="s">
        <v>2807</v>
      </c>
      <c r="F11" s="417" t="s">
        <v>613</v>
      </c>
      <c r="G11" s="417" t="s">
        <v>241</v>
      </c>
      <c r="I11" s="487" t="s">
        <v>2933</v>
      </c>
      <c r="K11" s="800" t="s">
        <v>323</v>
      </c>
      <c r="L11" s="800" t="s">
        <v>2944</v>
      </c>
    </row>
    <row r="12" spans="1:15">
      <c r="A12" s="158"/>
      <c r="B12" s="782" t="s">
        <v>37</v>
      </c>
      <c r="C12" s="793" t="s">
        <v>36</v>
      </c>
      <c r="D12" s="794" t="s">
        <v>2807</v>
      </c>
      <c r="F12" s="417" t="s">
        <v>37</v>
      </c>
      <c r="G12" s="417" t="s">
        <v>2159</v>
      </c>
      <c r="I12" s="487" t="s">
        <v>369</v>
      </c>
      <c r="K12" s="800" t="s">
        <v>2811</v>
      </c>
      <c r="L12" s="800" t="s">
        <v>2944</v>
      </c>
    </row>
    <row r="13" spans="1:15">
      <c r="A13" s="162"/>
      <c r="B13" s="782" t="s">
        <v>37</v>
      </c>
      <c r="C13" s="793" t="s">
        <v>2649</v>
      </c>
      <c r="D13" s="794" t="s">
        <v>2807</v>
      </c>
      <c r="F13" s="417" t="s">
        <v>37</v>
      </c>
      <c r="G13" s="417" t="s">
        <v>939</v>
      </c>
      <c r="I13" s="487" t="s">
        <v>2940</v>
      </c>
      <c r="K13" s="800" t="s">
        <v>369</v>
      </c>
      <c r="L13" s="800" t="s">
        <v>2944</v>
      </c>
    </row>
    <row r="14" spans="1:15">
      <c r="A14" s="158"/>
      <c r="B14" s="783" t="s">
        <v>37</v>
      </c>
      <c r="C14" s="793" t="s">
        <v>241</v>
      </c>
      <c r="D14" s="796" t="s">
        <v>2807</v>
      </c>
      <c r="F14" s="417" t="s">
        <v>37</v>
      </c>
      <c r="G14" s="417" t="s">
        <v>919</v>
      </c>
      <c r="I14" s="487" t="s">
        <v>2159</v>
      </c>
      <c r="K14" s="800" t="s">
        <v>2159</v>
      </c>
      <c r="L14" s="800" t="s">
        <v>2944</v>
      </c>
    </row>
    <row r="15" spans="1:15">
      <c r="A15" s="158"/>
      <c r="B15" s="782" t="s">
        <v>2707</v>
      </c>
      <c r="C15" s="793" t="s">
        <v>311</v>
      </c>
      <c r="D15" s="796" t="s">
        <v>2807</v>
      </c>
      <c r="F15" s="417" t="s">
        <v>37</v>
      </c>
      <c r="G15" s="417" t="s">
        <v>141</v>
      </c>
      <c r="I15" s="487" t="s">
        <v>939</v>
      </c>
      <c r="K15" s="800" t="s">
        <v>919</v>
      </c>
      <c r="L15" s="800" t="s">
        <v>2944</v>
      </c>
    </row>
    <row r="16" spans="1:15">
      <c r="A16" s="158"/>
      <c r="B16" s="782" t="s">
        <v>2707</v>
      </c>
      <c r="C16" s="793" t="s">
        <v>36</v>
      </c>
      <c r="D16" s="796" t="s">
        <v>2807</v>
      </c>
      <c r="F16" s="417" t="s">
        <v>37</v>
      </c>
      <c r="G16" s="417" t="s">
        <v>36</v>
      </c>
      <c r="I16" s="487" t="s">
        <v>919</v>
      </c>
      <c r="K16" s="800" t="s">
        <v>2805</v>
      </c>
      <c r="L16" s="800" t="s">
        <v>2944</v>
      </c>
    </row>
    <row r="17" spans="1:12">
      <c r="A17" s="162"/>
      <c r="B17" s="782" t="s">
        <v>2707</v>
      </c>
      <c r="C17" s="793" t="s">
        <v>2930</v>
      </c>
      <c r="D17" s="796" t="s">
        <v>2807</v>
      </c>
      <c r="F17" s="417" t="s">
        <v>37</v>
      </c>
      <c r="G17" s="417" t="s">
        <v>192</v>
      </c>
      <c r="I17" s="487" t="s">
        <v>2805</v>
      </c>
      <c r="K17" s="800" t="s">
        <v>2812</v>
      </c>
      <c r="L17" s="800" t="s">
        <v>2944</v>
      </c>
    </row>
    <row r="18" spans="1:12">
      <c r="B18" s="782" t="s">
        <v>2707</v>
      </c>
      <c r="C18" s="793" t="s">
        <v>2929</v>
      </c>
      <c r="D18" s="796" t="s">
        <v>2807</v>
      </c>
      <c r="F18" s="417" t="s">
        <v>37</v>
      </c>
      <c r="G18" s="417" t="s">
        <v>2081</v>
      </c>
      <c r="I18" s="487" t="s">
        <v>141</v>
      </c>
      <c r="K18" s="800" t="s">
        <v>315</v>
      </c>
      <c r="L18" s="800" t="s">
        <v>2944</v>
      </c>
    </row>
    <row r="19" spans="1:12">
      <c r="B19" s="782" t="s">
        <v>2707</v>
      </c>
      <c r="C19" s="793" t="s">
        <v>241</v>
      </c>
      <c r="D19" s="796" t="s">
        <v>2807</v>
      </c>
      <c r="F19" s="417" t="s">
        <v>37</v>
      </c>
      <c r="G19" s="417" t="s">
        <v>242</v>
      </c>
      <c r="I19" s="487" t="s">
        <v>36</v>
      </c>
      <c r="K19" s="800" t="s">
        <v>2810</v>
      </c>
      <c r="L19" s="800" t="s">
        <v>2944</v>
      </c>
    </row>
    <row r="20" spans="1:12">
      <c r="B20" s="782" t="s">
        <v>2707</v>
      </c>
      <c r="C20" s="793" t="s">
        <v>2928</v>
      </c>
      <c r="D20" s="796" t="s">
        <v>2807</v>
      </c>
      <c r="F20" s="417" t="s">
        <v>37</v>
      </c>
      <c r="G20" s="417" t="s">
        <v>276</v>
      </c>
      <c r="I20" s="487" t="s">
        <v>2930</v>
      </c>
      <c r="K20" s="800" t="s">
        <v>2929</v>
      </c>
      <c r="L20" s="800" t="s">
        <v>2944</v>
      </c>
    </row>
    <row r="21" spans="1:12">
      <c r="B21" s="782" t="s">
        <v>2347</v>
      </c>
      <c r="C21" s="793" t="s">
        <v>2817</v>
      </c>
      <c r="D21" s="796" t="s">
        <v>2807</v>
      </c>
      <c r="F21" s="417" t="s">
        <v>37</v>
      </c>
      <c r="G21" s="417" t="s">
        <v>2649</v>
      </c>
      <c r="I21" s="487" t="s">
        <v>2812</v>
      </c>
      <c r="K21" s="800" t="s">
        <v>2936</v>
      </c>
      <c r="L21" s="800" t="s">
        <v>2944</v>
      </c>
    </row>
    <row r="22" spans="1:12">
      <c r="B22" s="782" t="s">
        <v>2347</v>
      </c>
      <c r="C22" s="793" t="s">
        <v>2933</v>
      </c>
      <c r="D22" s="796" t="s">
        <v>2807</v>
      </c>
      <c r="F22" s="417" t="s">
        <v>37</v>
      </c>
      <c r="G22" s="417" t="s">
        <v>241</v>
      </c>
      <c r="I22" s="487" t="s">
        <v>315</v>
      </c>
      <c r="K22" s="800" t="s">
        <v>2081</v>
      </c>
      <c r="L22" s="800" t="s">
        <v>2944</v>
      </c>
    </row>
    <row r="23" spans="1:12">
      <c r="B23" s="782" t="s">
        <v>2347</v>
      </c>
      <c r="C23" s="793" t="s">
        <v>36</v>
      </c>
      <c r="D23" s="796" t="s">
        <v>2807</v>
      </c>
      <c r="F23" s="417" t="s">
        <v>37</v>
      </c>
      <c r="G23" s="417" t="s">
        <v>2927</v>
      </c>
      <c r="I23" s="487" t="s">
        <v>2810</v>
      </c>
      <c r="K23" s="800" t="s">
        <v>2816</v>
      </c>
      <c r="L23" s="800" t="s">
        <v>2944</v>
      </c>
    </row>
    <row r="24" spans="1:12">
      <c r="B24" s="782" t="s">
        <v>2347</v>
      </c>
      <c r="C24" s="793" t="s">
        <v>2929</v>
      </c>
      <c r="D24" s="796" t="s">
        <v>2807</v>
      </c>
      <c r="F24" s="417" t="s">
        <v>37</v>
      </c>
      <c r="G24" s="417" t="s">
        <v>291</v>
      </c>
      <c r="I24" s="487" t="s">
        <v>2929</v>
      </c>
      <c r="K24" s="800" t="s">
        <v>358</v>
      </c>
      <c r="L24" s="800" t="s">
        <v>2944</v>
      </c>
    </row>
    <row r="25" spans="1:12">
      <c r="B25" s="782" t="s">
        <v>2347</v>
      </c>
      <c r="C25" s="793" t="s">
        <v>2816</v>
      </c>
      <c r="D25" s="796" t="s">
        <v>2807</v>
      </c>
      <c r="F25" s="417" t="s">
        <v>37</v>
      </c>
      <c r="G25" s="417" t="s">
        <v>2148</v>
      </c>
      <c r="I25" s="487" t="s">
        <v>192</v>
      </c>
      <c r="K25" s="800" t="s">
        <v>297</v>
      </c>
      <c r="L25" s="800" t="s">
        <v>2944</v>
      </c>
    </row>
    <row r="26" spans="1:12">
      <c r="B26" s="782" t="s">
        <v>2347</v>
      </c>
      <c r="C26" s="793" t="s">
        <v>2818</v>
      </c>
      <c r="D26" s="796" t="s">
        <v>2807</v>
      </c>
      <c r="F26" s="417" t="s">
        <v>2707</v>
      </c>
      <c r="G26" s="417" t="s">
        <v>311</v>
      </c>
      <c r="I26" s="487" t="s">
        <v>2931</v>
      </c>
      <c r="K26" s="800" t="s">
        <v>276</v>
      </c>
      <c r="L26" s="800" t="s">
        <v>2944</v>
      </c>
    </row>
    <row r="27" spans="1:12">
      <c r="B27" s="782" t="s">
        <v>2347</v>
      </c>
      <c r="C27" s="793" t="s">
        <v>241</v>
      </c>
      <c r="D27" s="796" t="s">
        <v>2807</v>
      </c>
      <c r="F27" s="417" t="s">
        <v>2707</v>
      </c>
      <c r="G27" s="417" t="s">
        <v>36</v>
      </c>
      <c r="I27" s="487" t="s">
        <v>2932</v>
      </c>
      <c r="K27" s="800" t="s">
        <v>2934</v>
      </c>
      <c r="L27" s="800" t="s">
        <v>2944</v>
      </c>
    </row>
    <row r="28" spans="1:12">
      <c r="B28" s="782" t="s">
        <v>2708</v>
      </c>
      <c r="C28" s="793" t="s">
        <v>36</v>
      </c>
      <c r="D28" s="796" t="s">
        <v>2807</v>
      </c>
      <c r="F28" s="417" t="s">
        <v>2707</v>
      </c>
      <c r="G28" s="417" t="s">
        <v>2930</v>
      </c>
      <c r="I28" s="487" t="s">
        <v>2936</v>
      </c>
      <c r="K28" s="800" t="s">
        <v>2809</v>
      </c>
      <c r="L28" s="800" t="s">
        <v>2944</v>
      </c>
    </row>
    <row r="29" spans="1:12">
      <c r="B29" s="782" t="s">
        <v>2708</v>
      </c>
      <c r="C29" s="793" t="s">
        <v>2810</v>
      </c>
      <c r="D29" s="796" t="s">
        <v>2807</v>
      </c>
      <c r="F29" s="417" t="s">
        <v>2707</v>
      </c>
      <c r="G29" s="417" t="s">
        <v>2929</v>
      </c>
      <c r="I29" s="487" t="s">
        <v>2081</v>
      </c>
      <c r="K29" s="800" t="s">
        <v>2927</v>
      </c>
      <c r="L29" s="800" t="s">
        <v>2944</v>
      </c>
    </row>
    <row r="30" spans="1:12">
      <c r="B30" s="782" t="s">
        <v>2941</v>
      </c>
      <c r="C30" s="793" t="s">
        <v>311</v>
      </c>
      <c r="D30" s="796" t="s">
        <v>2807</v>
      </c>
      <c r="F30" s="417" t="s">
        <v>2707</v>
      </c>
      <c r="G30" s="417" t="s">
        <v>241</v>
      </c>
      <c r="I30" s="487" t="s">
        <v>2937</v>
      </c>
      <c r="K30" s="800" t="s">
        <v>2945</v>
      </c>
      <c r="L30" s="800" t="s">
        <v>2944</v>
      </c>
    </row>
    <row r="31" spans="1:12">
      <c r="B31" s="782" t="s">
        <v>2941</v>
      </c>
      <c r="C31" s="793" t="s">
        <v>2932</v>
      </c>
      <c r="D31" s="796" t="s">
        <v>2807</v>
      </c>
      <c r="F31" s="417" t="s">
        <v>2707</v>
      </c>
      <c r="G31" s="417" t="s">
        <v>2928</v>
      </c>
      <c r="I31" s="487" t="s">
        <v>2816</v>
      </c>
      <c r="K31" s="800" t="s">
        <v>1756</v>
      </c>
      <c r="L31" s="800" t="s">
        <v>2943</v>
      </c>
    </row>
    <row r="32" spans="1:12">
      <c r="B32" s="782" t="s">
        <v>2941</v>
      </c>
      <c r="C32" s="793" t="s">
        <v>2816</v>
      </c>
      <c r="D32" s="796" t="s">
        <v>2807</v>
      </c>
      <c r="F32" s="417" t="s">
        <v>2347</v>
      </c>
      <c r="G32" s="417" t="s">
        <v>2817</v>
      </c>
      <c r="I32" s="487" t="s">
        <v>358</v>
      </c>
      <c r="K32" s="800" t="s">
        <v>2940</v>
      </c>
      <c r="L32" s="800" t="s">
        <v>2943</v>
      </c>
    </row>
    <row r="33" spans="2:12">
      <c r="B33" s="782" t="s">
        <v>2941</v>
      </c>
      <c r="C33" s="793" t="s">
        <v>241</v>
      </c>
      <c r="D33" s="796" t="s">
        <v>2807</v>
      </c>
      <c r="F33" s="417" t="s">
        <v>2347</v>
      </c>
      <c r="G33" s="417" t="s">
        <v>2933</v>
      </c>
      <c r="I33" s="487" t="s">
        <v>297</v>
      </c>
      <c r="K33" s="800" t="s">
        <v>141</v>
      </c>
      <c r="L33" s="800" t="s">
        <v>2943</v>
      </c>
    </row>
    <row r="34" spans="2:12">
      <c r="B34" s="782" t="s">
        <v>304</v>
      </c>
      <c r="C34" s="793" t="s">
        <v>323</v>
      </c>
      <c r="D34" s="796" t="s">
        <v>2807</v>
      </c>
      <c r="F34" s="417" t="s">
        <v>2347</v>
      </c>
      <c r="G34" s="417" t="s">
        <v>36</v>
      </c>
      <c r="I34" s="487" t="s">
        <v>2938</v>
      </c>
      <c r="K34" s="800" t="s">
        <v>36</v>
      </c>
      <c r="L34" s="800" t="s">
        <v>2943</v>
      </c>
    </row>
    <row r="35" spans="2:12">
      <c r="B35" s="782" t="s">
        <v>304</v>
      </c>
      <c r="C35" s="793" t="s">
        <v>2811</v>
      </c>
      <c r="D35" s="796" t="s">
        <v>2807</v>
      </c>
      <c r="F35" s="417" t="s">
        <v>2347</v>
      </c>
      <c r="G35" s="417" t="s">
        <v>2929</v>
      </c>
      <c r="I35" s="487" t="s">
        <v>242</v>
      </c>
      <c r="K35" s="800" t="s">
        <v>2930</v>
      </c>
      <c r="L35" s="800" t="s">
        <v>2943</v>
      </c>
    </row>
    <row r="36" spans="2:12">
      <c r="B36" s="788" t="s">
        <v>304</v>
      </c>
      <c r="C36" s="793" t="s">
        <v>369</v>
      </c>
      <c r="D36" s="793" t="s">
        <v>2807</v>
      </c>
      <c r="F36" s="417" t="s">
        <v>2347</v>
      </c>
      <c r="G36" s="417" t="s">
        <v>2816</v>
      </c>
      <c r="I36" s="487" t="s">
        <v>276</v>
      </c>
      <c r="K36" s="800" t="s">
        <v>192</v>
      </c>
      <c r="L36" s="800" t="s">
        <v>2943</v>
      </c>
    </row>
    <row r="37" spans="2:12">
      <c r="B37" s="782" t="s">
        <v>304</v>
      </c>
      <c r="C37" s="793" t="s">
        <v>919</v>
      </c>
      <c r="D37" s="793" t="s">
        <v>2807</v>
      </c>
      <c r="F37" s="417" t="s">
        <v>2347</v>
      </c>
      <c r="G37" s="417" t="s">
        <v>2818</v>
      </c>
      <c r="I37" s="487" t="s">
        <v>2649</v>
      </c>
      <c r="K37" s="800" t="s">
        <v>2931</v>
      </c>
      <c r="L37" s="800" t="s">
        <v>2943</v>
      </c>
    </row>
    <row r="38" spans="2:12">
      <c r="B38" s="782" t="s">
        <v>304</v>
      </c>
      <c r="C38" s="793" t="s">
        <v>2812</v>
      </c>
      <c r="D38" s="793" t="s">
        <v>2807</v>
      </c>
      <c r="F38" s="417" t="s">
        <v>2347</v>
      </c>
      <c r="G38" s="417" t="s">
        <v>241</v>
      </c>
      <c r="I38" s="487" t="s">
        <v>2934</v>
      </c>
      <c r="K38" s="800" t="s">
        <v>2937</v>
      </c>
      <c r="L38" s="800" t="s">
        <v>2943</v>
      </c>
    </row>
    <row r="39" spans="2:12">
      <c r="B39" s="787" t="s">
        <v>304</v>
      </c>
      <c r="C39" s="797" t="s">
        <v>2081</v>
      </c>
      <c r="D39" s="793" t="s">
        <v>2807</v>
      </c>
      <c r="F39" s="417" t="s">
        <v>2708</v>
      </c>
      <c r="G39" s="417" t="s">
        <v>36</v>
      </c>
      <c r="I39" s="487" t="s">
        <v>2809</v>
      </c>
      <c r="K39" s="800" t="s">
        <v>242</v>
      </c>
      <c r="L39" s="800" t="s">
        <v>2943</v>
      </c>
    </row>
    <row r="40" spans="2:12">
      <c r="B40" s="786" t="s">
        <v>304</v>
      </c>
      <c r="C40" s="797" t="s">
        <v>358</v>
      </c>
      <c r="D40" s="793" t="s">
        <v>2807</v>
      </c>
      <c r="F40" s="417" t="s">
        <v>2708</v>
      </c>
      <c r="G40" s="417" t="s">
        <v>2810</v>
      </c>
      <c r="I40" s="487" t="s">
        <v>2939</v>
      </c>
      <c r="K40" s="800" t="s">
        <v>2649</v>
      </c>
      <c r="L40" s="800" t="s">
        <v>2943</v>
      </c>
    </row>
    <row r="41" spans="2:12">
      <c r="B41" s="786" t="s">
        <v>304</v>
      </c>
      <c r="C41" s="797" t="s">
        <v>276</v>
      </c>
      <c r="D41" s="793" t="s">
        <v>2807</v>
      </c>
      <c r="F41" s="417" t="s">
        <v>2941</v>
      </c>
      <c r="G41" s="417" t="s">
        <v>311</v>
      </c>
      <c r="I41" s="487" t="s">
        <v>2818</v>
      </c>
      <c r="K41" s="800" t="s">
        <v>2939</v>
      </c>
      <c r="L41" s="800" t="s">
        <v>2943</v>
      </c>
    </row>
    <row r="42" spans="2:12">
      <c r="B42" s="786" t="s">
        <v>304</v>
      </c>
      <c r="C42" s="797" t="s">
        <v>2934</v>
      </c>
      <c r="D42" s="793" t="s">
        <v>2807</v>
      </c>
      <c r="F42" s="417" t="s">
        <v>2941</v>
      </c>
      <c r="G42" s="417" t="s">
        <v>2932</v>
      </c>
      <c r="I42" s="487" t="s">
        <v>241</v>
      </c>
      <c r="K42" s="800" t="s">
        <v>2818</v>
      </c>
      <c r="L42" s="800" t="s">
        <v>2943</v>
      </c>
    </row>
    <row r="43" spans="2:12">
      <c r="B43" s="786" t="s">
        <v>304</v>
      </c>
      <c r="C43" s="797" t="s">
        <v>241</v>
      </c>
      <c r="D43" s="793" t="s">
        <v>2807</v>
      </c>
      <c r="F43" s="417" t="s">
        <v>2941</v>
      </c>
      <c r="G43" s="417" t="s">
        <v>2816</v>
      </c>
      <c r="I43" s="487" t="s">
        <v>2927</v>
      </c>
      <c r="K43" s="800" t="s">
        <v>2928</v>
      </c>
      <c r="L43" s="800" t="s">
        <v>2943</v>
      </c>
    </row>
    <row r="44" spans="2:12">
      <c r="B44" s="784" t="s">
        <v>304</v>
      </c>
      <c r="C44" s="797" t="s">
        <v>2129</v>
      </c>
      <c r="D44" s="793" t="s">
        <v>2807</v>
      </c>
      <c r="F44" s="417" t="s">
        <v>2941</v>
      </c>
      <c r="G44" s="417" t="s">
        <v>241</v>
      </c>
      <c r="I44" s="487" t="s">
        <v>2928</v>
      </c>
      <c r="K44" s="800" t="s">
        <v>291</v>
      </c>
      <c r="L44" s="800" t="s">
        <v>2943</v>
      </c>
    </row>
    <row r="45" spans="2:12">
      <c r="B45" s="787" t="s">
        <v>2711</v>
      </c>
      <c r="C45" s="797" t="s">
        <v>319</v>
      </c>
      <c r="D45" s="793" t="s">
        <v>2807</v>
      </c>
      <c r="F45" s="417" t="s">
        <v>304</v>
      </c>
      <c r="G45" s="417" t="s">
        <v>1756</v>
      </c>
      <c r="I45" s="487" t="s">
        <v>2129</v>
      </c>
      <c r="K45" s="800" t="s">
        <v>939</v>
      </c>
      <c r="L45" s="800" t="s">
        <v>2947</v>
      </c>
    </row>
    <row r="46" spans="2:12">
      <c r="B46" s="784" t="s">
        <v>2711</v>
      </c>
      <c r="C46" s="797" t="s">
        <v>2935</v>
      </c>
      <c r="D46" s="793" t="s">
        <v>2807</v>
      </c>
      <c r="F46" s="417" t="s">
        <v>304</v>
      </c>
      <c r="G46" s="417" t="s">
        <v>323</v>
      </c>
      <c r="I46" s="487" t="s">
        <v>291</v>
      </c>
      <c r="K46" s="800" t="s">
        <v>241</v>
      </c>
      <c r="L46" s="800" t="s">
        <v>2948</v>
      </c>
    </row>
    <row r="47" spans="2:12">
      <c r="B47" s="784" t="s">
        <v>2711</v>
      </c>
      <c r="C47" s="798" t="s">
        <v>36</v>
      </c>
      <c r="D47" s="793" t="s">
        <v>2807</v>
      </c>
      <c r="F47" s="417" t="s">
        <v>304</v>
      </c>
      <c r="G47" s="417" t="s">
        <v>2811</v>
      </c>
      <c r="I47" s="487" t="s">
        <v>2148</v>
      </c>
      <c r="K47" s="800" t="s">
        <v>2129</v>
      </c>
      <c r="L47" s="800" t="s">
        <v>2948</v>
      </c>
    </row>
    <row r="48" spans="2:12">
      <c r="B48" s="784" t="s">
        <v>2711</v>
      </c>
      <c r="C48" s="798" t="s">
        <v>241</v>
      </c>
      <c r="D48" s="793" t="s">
        <v>2807</v>
      </c>
      <c r="F48" s="417" t="s">
        <v>304</v>
      </c>
      <c r="G48" s="417" t="s">
        <v>369</v>
      </c>
      <c r="I48" s="487" t="s">
        <v>1285</v>
      </c>
    </row>
    <row r="49" spans="2:9" s="417" customFormat="1">
      <c r="B49" s="784" t="s">
        <v>515</v>
      </c>
      <c r="C49" s="799" t="s">
        <v>311</v>
      </c>
      <c r="D49" s="795" t="s">
        <v>2807</v>
      </c>
      <c r="F49" s="417" t="s">
        <v>304</v>
      </c>
      <c r="G49" s="417" t="s">
        <v>919</v>
      </c>
      <c r="I49"/>
    </row>
    <row r="50" spans="2:9">
      <c r="B50" s="785" t="s">
        <v>515</v>
      </c>
      <c r="C50" s="797" t="s">
        <v>939</v>
      </c>
      <c r="D50" s="795" t="s">
        <v>2807</v>
      </c>
      <c r="F50" s="417" t="s">
        <v>304</v>
      </c>
      <c r="G50" s="417" t="s">
        <v>2805</v>
      </c>
    </row>
    <row r="51" spans="2:9">
      <c r="B51" s="786" t="s">
        <v>515</v>
      </c>
      <c r="C51" s="797" t="s">
        <v>192</v>
      </c>
      <c r="D51" s="795" t="s">
        <v>2807</v>
      </c>
      <c r="F51" s="417" t="s">
        <v>304</v>
      </c>
      <c r="G51" s="417" t="s">
        <v>2812</v>
      </c>
    </row>
    <row r="52" spans="2:9">
      <c r="B52" s="786" t="s">
        <v>515</v>
      </c>
      <c r="C52" s="797" t="s">
        <v>2931</v>
      </c>
      <c r="D52" s="795" t="s">
        <v>2807</v>
      </c>
      <c r="F52" s="417" t="s">
        <v>304</v>
      </c>
      <c r="G52" s="417" t="s">
        <v>315</v>
      </c>
    </row>
    <row r="53" spans="2:9">
      <c r="B53" s="784" t="s">
        <v>515</v>
      </c>
      <c r="C53" s="797" t="s">
        <v>297</v>
      </c>
      <c r="D53" s="795" t="s">
        <v>2807</v>
      </c>
      <c r="F53" s="417" t="s">
        <v>304</v>
      </c>
      <c r="G53" s="417" t="s">
        <v>2810</v>
      </c>
    </row>
    <row r="54" spans="2:9">
      <c r="B54" s="784" t="s">
        <v>515</v>
      </c>
      <c r="C54" s="797" t="s">
        <v>241</v>
      </c>
      <c r="D54" s="795" t="s">
        <v>2807</v>
      </c>
      <c r="F54" s="417" t="s">
        <v>304</v>
      </c>
      <c r="G54" s="417" t="s">
        <v>2936</v>
      </c>
    </row>
    <row r="55" spans="2:9">
      <c r="B55" s="784" t="s">
        <v>2653</v>
      </c>
      <c r="C55" s="799" t="s">
        <v>311</v>
      </c>
      <c r="D55" s="795" t="s">
        <v>2807</v>
      </c>
      <c r="F55" s="417" t="s">
        <v>304</v>
      </c>
      <c r="G55" s="417" t="s">
        <v>2081</v>
      </c>
    </row>
    <row r="56" spans="2:9">
      <c r="B56" s="787" t="s">
        <v>2653</v>
      </c>
      <c r="C56" s="797" t="s">
        <v>2930</v>
      </c>
      <c r="D56" s="795" t="s">
        <v>2807</v>
      </c>
      <c r="F56" s="417" t="s">
        <v>304</v>
      </c>
      <c r="G56" s="417" t="s">
        <v>2937</v>
      </c>
    </row>
    <row r="57" spans="2:9">
      <c r="B57" s="786" t="s">
        <v>2653</v>
      </c>
      <c r="C57" s="797" t="s">
        <v>2929</v>
      </c>
      <c r="D57" s="795" t="s">
        <v>2807</v>
      </c>
      <c r="F57" s="417" t="s">
        <v>304</v>
      </c>
      <c r="G57" s="417" t="s">
        <v>358</v>
      </c>
    </row>
    <row r="58" spans="2:9">
      <c r="B58" s="784" t="s">
        <v>2653</v>
      </c>
      <c r="C58" s="799" t="s">
        <v>297</v>
      </c>
      <c r="D58" s="795" t="s">
        <v>2807</v>
      </c>
      <c r="F58" s="417" t="s">
        <v>304</v>
      </c>
      <c r="G58" s="417" t="s">
        <v>297</v>
      </c>
    </row>
    <row r="59" spans="2:9">
      <c r="B59" s="784" t="s">
        <v>37</v>
      </c>
      <c r="C59" s="797" t="s">
        <v>2159</v>
      </c>
      <c r="D59" s="793" t="s">
        <v>2654</v>
      </c>
      <c r="F59" s="417" t="s">
        <v>304</v>
      </c>
      <c r="G59" s="417" t="s">
        <v>2938</v>
      </c>
    </row>
    <row r="60" spans="2:9">
      <c r="B60" s="787" t="s">
        <v>37</v>
      </c>
      <c r="C60" s="797" t="s">
        <v>919</v>
      </c>
      <c r="D60" s="793" t="s">
        <v>2654</v>
      </c>
      <c r="F60" s="417" t="s">
        <v>304</v>
      </c>
      <c r="G60" s="417" t="s">
        <v>276</v>
      </c>
    </row>
    <row r="61" spans="2:9">
      <c r="B61" s="786" t="s">
        <v>37</v>
      </c>
      <c r="C61" s="797" t="s">
        <v>141</v>
      </c>
      <c r="D61" s="793" t="s">
        <v>2654</v>
      </c>
      <c r="F61" s="417" t="s">
        <v>304</v>
      </c>
      <c r="G61" s="417" t="s">
        <v>2934</v>
      </c>
    </row>
    <row r="62" spans="2:9">
      <c r="B62" s="784" t="s">
        <v>37</v>
      </c>
      <c r="C62" s="797" t="s">
        <v>36</v>
      </c>
      <c r="D62" s="793" t="s">
        <v>2654</v>
      </c>
      <c r="F62" s="417" t="s">
        <v>304</v>
      </c>
      <c r="G62" s="417" t="s">
        <v>2939</v>
      </c>
    </row>
    <row r="63" spans="2:9">
      <c r="B63" s="787" t="s">
        <v>37</v>
      </c>
      <c r="C63" s="799" t="s">
        <v>192</v>
      </c>
      <c r="D63" s="793" t="s">
        <v>2654</v>
      </c>
      <c r="F63" s="417" t="s">
        <v>304</v>
      </c>
      <c r="G63" s="417" t="s">
        <v>241</v>
      </c>
    </row>
    <row r="64" spans="2:9">
      <c r="B64" s="786" t="s">
        <v>37</v>
      </c>
      <c r="C64" s="797" t="s">
        <v>2081</v>
      </c>
      <c r="D64" s="793" t="s">
        <v>2654</v>
      </c>
      <c r="F64" s="417" t="s">
        <v>304</v>
      </c>
      <c r="G64" s="417" t="s">
        <v>2129</v>
      </c>
    </row>
    <row r="65" spans="2:7">
      <c r="B65" s="786" t="s">
        <v>37</v>
      </c>
      <c r="C65" s="797" t="s">
        <v>242</v>
      </c>
      <c r="D65" s="793" t="s">
        <v>2654</v>
      </c>
      <c r="F65" s="417" t="s">
        <v>2711</v>
      </c>
      <c r="G65" s="417" t="s">
        <v>319</v>
      </c>
    </row>
    <row r="66" spans="2:7">
      <c r="B66" s="786" t="s">
        <v>37</v>
      </c>
      <c r="C66" s="797" t="s">
        <v>276</v>
      </c>
      <c r="D66" s="793" t="s">
        <v>2654</v>
      </c>
      <c r="F66" s="417" t="s">
        <v>2711</v>
      </c>
      <c r="G66" s="417" t="s">
        <v>2935</v>
      </c>
    </row>
    <row r="67" spans="2:7">
      <c r="B67" s="784" t="s">
        <v>37</v>
      </c>
      <c r="C67" s="797" t="s">
        <v>2649</v>
      </c>
      <c r="D67" s="793" t="s">
        <v>2654</v>
      </c>
      <c r="F67" s="417" t="s">
        <v>2711</v>
      </c>
      <c r="G67" s="417" t="s">
        <v>36</v>
      </c>
    </row>
    <row r="68" spans="2:7">
      <c r="B68" s="789" t="s">
        <v>37</v>
      </c>
      <c r="C68" s="797" t="s">
        <v>2927</v>
      </c>
      <c r="D68" s="793" t="s">
        <v>2654</v>
      </c>
      <c r="F68" s="417" t="s">
        <v>2711</v>
      </c>
      <c r="G68" s="417" t="s">
        <v>241</v>
      </c>
    </row>
    <row r="69" spans="2:7">
      <c r="B69" s="783" t="s">
        <v>37</v>
      </c>
      <c r="C69" s="795" t="s">
        <v>291</v>
      </c>
      <c r="D69" s="793" t="s">
        <v>2654</v>
      </c>
      <c r="F69" s="417" t="s">
        <v>515</v>
      </c>
      <c r="G69" s="417" t="s">
        <v>311</v>
      </c>
    </row>
    <row r="70" spans="2:7">
      <c r="B70" s="782" t="s">
        <v>304</v>
      </c>
      <c r="C70" s="793" t="s">
        <v>1756</v>
      </c>
      <c r="D70" s="795" t="s">
        <v>2654</v>
      </c>
      <c r="F70" s="417" t="s">
        <v>515</v>
      </c>
      <c r="G70" s="417" t="s">
        <v>2940</v>
      </c>
    </row>
    <row r="71" spans="2:7">
      <c r="B71" s="782" t="s">
        <v>304</v>
      </c>
      <c r="C71" s="793" t="s">
        <v>2936</v>
      </c>
      <c r="D71" s="795" t="s">
        <v>2654</v>
      </c>
      <c r="F71" s="417" t="s">
        <v>515</v>
      </c>
      <c r="G71" s="417" t="s">
        <v>2159</v>
      </c>
    </row>
    <row r="72" spans="2:7">
      <c r="B72" s="782" t="s">
        <v>304</v>
      </c>
      <c r="C72" s="793" t="s">
        <v>358</v>
      </c>
      <c r="D72" s="795" t="s">
        <v>2654</v>
      </c>
      <c r="F72" s="417" t="s">
        <v>515</v>
      </c>
      <c r="G72" s="417" t="s">
        <v>939</v>
      </c>
    </row>
    <row r="73" spans="2:7">
      <c r="B73" s="782" t="s">
        <v>304</v>
      </c>
      <c r="C73" s="793" t="s">
        <v>297</v>
      </c>
      <c r="D73" s="795" t="s">
        <v>2654</v>
      </c>
      <c r="F73" s="417" t="s">
        <v>515</v>
      </c>
      <c r="G73" s="417" t="s">
        <v>36</v>
      </c>
    </row>
    <row r="74" spans="2:7">
      <c r="B74" s="783" t="s">
        <v>304</v>
      </c>
      <c r="C74" s="795" t="s">
        <v>276</v>
      </c>
      <c r="D74" s="795" t="s">
        <v>2654</v>
      </c>
      <c r="F74" s="417" t="s">
        <v>515</v>
      </c>
      <c r="G74" s="417" t="s">
        <v>192</v>
      </c>
    </row>
    <row r="75" spans="2:7">
      <c r="B75" s="783" t="s">
        <v>304</v>
      </c>
      <c r="C75" s="795" t="s">
        <v>276</v>
      </c>
      <c r="D75" s="795" t="s">
        <v>2654</v>
      </c>
      <c r="F75" s="417" t="s">
        <v>515</v>
      </c>
      <c r="G75" s="417" t="s">
        <v>2931</v>
      </c>
    </row>
    <row r="76" spans="2:7">
      <c r="B76" s="783" t="s">
        <v>515</v>
      </c>
      <c r="C76" s="795" t="s">
        <v>2159</v>
      </c>
      <c r="D76" s="793" t="s">
        <v>2654</v>
      </c>
      <c r="F76" s="417" t="s">
        <v>515</v>
      </c>
      <c r="G76" s="417" t="s">
        <v>297</v>
      </c>
    </row>
    <row r="77" spans="2:7">
      <c r="B77" s="783" t="s">
        <v>515</v>
      </c>
      <c r="C77" s="795" t="s">
        <v>36</v>
      </c>
      <c r="D77" s="793" t="s">
        <v>2654</v>
      </c>
      <c r="F77" s="417" t="s">
        <v>515</v>
      </c>
      <c r="G77" s="417" t="s">
        <v>241</v>
      </c>
    </row>
    <row r="78" spans="2:7">
      <c r="B78" s="783" t="s">
        <v>515</v>
      </c>
      <c r="C78" s="795" t="s">
        <v>192</v>
      </c>
      <c r="D78" s="793" t="s">
        <v>2654</v>
      </c>
      <c r="F78" s="417" t="s">
        <v>2653</v>
      </c>
      <c r="G78" s="417" t="s">
        <v>311</v>
      </c>
    </row>
    <row r="79" spans="2:7">
      <c r="B79" s="783" t="s">
        <v>613</v>
      </c>
      <c r="C79" s="795" t="s">
        <v>2081</v>
      </c>
      <c r="D79" s="793" t="s">
        <v>2806</v>
      </c>
      <c r="F79" s="417" t="s">
        <v>2653</v>
      </c>
      <c r="G79" s="417" t="s">
        <v>2930</v>
      </c>
    </row>
    <row r="80" spans="2:7">
      <c r="B80" s="783" t="s">
        <v>37</v>
      </c>
      <c r="C80" s="795" t="s">
        <v>2159</v>
      </c>
      <c r="D80" s="795" t="s">
        <v>2806</v>
      </c>
      <c r="F80" s="417" t="s">
        <v>2653</v>
      </c>
      <c r="G80" s="417" t="s">
        <v>2929</v>
      </c>
    </row>
    <row r="81" spans="2:7">
      <c r="B81" s="783" t="s">
        <v>37</v>
      </c>
      <c r="C81" s="795" t="s">
        <v>141</v>
      </c>
      <c r="D81" s="793" t="s">
        <v>2806</v>
      </c>
      <c r="F81" s="417" t="s">
        <v>2653</v>
      </c>
      <c r="G81" s="417" t="s">
        <v>297</v>
      </c>
    </row>
    <row r="82" spans="2:7">
      <c r="B82" s="783" t="s">
        <v>37</v>
      </c>
      <c r="C82" s="795" t="s">
        <v>2081</v>
      </c>
      <c r="D82" s="793" t="s">
        <v>2806</v>
      </c>
    </row>
    <row r="83" spans="2:7">
      <c r="B83" s="783" t="s">
        <v>37</v>
      </c>
      <c r="C83" s="795" t="s">
        <v>2649</v>
      </c>
      <c r="D83" s="793" t="s">
        <v>2806</v>
      </c>
    </row>
    <row r="84" spans="2:7">
      <c r="B84" s="783" t="s">
        <v>37</v>
      </c>
      <c r="C84" s="795" t="s">
        <v>2927</v>
      </c>
      <c r="D84" s="793" t="s">
        <v>2806</v>
      </c>
    </row>
    <row r="85" spans="2:7">
      <c r="B85" s="783" t="s">
        <v>37</v>
      </c>
      <c r="C85" s="795" t="s">
        <v>2148</v>
      </c>
      <c r="D85" s="793" t="s">
        <v>2806</v>
      </c>
    </row>
    <row r="86" spans="2:7">
      <c r="B86" s="782" t="s">
        <v>304</v>
      </c>
      <c r="C86" s="793" t="s">
        <v>369</v>
      </c>
      <c r="D86" s="795" t="s">
        <v>2806</v>
      </c>
    </row>
    <row r="87" spans="2:7">
      <c r="B87" s="782" t="s">
        <v>304</v>
      </c>
      <c r="C87" s="793" t="s">
        <v>2805</v>
      </c>
      <c r="D87" s="795" t="s">
        <v>2806</v>
      </c>
    </row>
    <row r="88" spans="2:7">
      <c r="B88" s="782" t="s">
        <v>304</v>
      </c>
      <c r="C88" s="793" t="s">
        <v>315</v>
      </c>
      <c r="D88" s="795" t="s">
        <v>2806</v>
      </c>
    </row>
    <row r="89" spans="2:7">
      <c r="B89" s="782" t="s">
        <v>304</v>
      </c>
      <c r="C89" s="793" t="s">
        <v>2810</v>
      </c>
      <c r="D89" s="795" t="s">
        <v>2806</v>
      </c>
    </row>
    <row r="90" spans="2:7">
      <c r="B90" s="782" t="s">
        <v>304</v>
      </c>
      <c r="C90" s="793" t="s">
        <v>2081</v>
      </c>
      <c r="D90" s="795" t="s">
        <v>2806</v>
      </c>
    </row>
    <row r="91" spans="2:7">
      <c r="B91" s="782" t="s">
        <v>304</v>
      </c>
      <c r="C91" s="793" t="s">
        <v>2937</v>
      </c>
      <c r="D91" s="795" t="s">
        <v>2806</v>
      </c>
    </row>
    <row r="92" spans="2:7">
      <c r="B92" s="783" t="s">
        <v>304</v>
      </c>
      <c r="C92" s="795" t="s">
        <v>297</v>
      </c>
      <c r="D92" s="795" t="s">
        <v>2806</v>
      </c>
    </row>
    <row r="93" spans="2:7">
      <c r="B93" s="783" t="s">
        <v>304</v>
      </c>
      <c r="C93" s="795" t="s">
        <v>2938</v>
      </c>
      <c r="D93" s="795" t="s">
        <v>2806</v>
      </c>
    </row>
    <row r="94" spans="2:7">
      <c r="B94" s="783" t="s">
        <v>304</v>
      </c>
      <c r="C94" s="795" t="s">
        <v>276</v>
      </c>
      <c r="D94" s="795" t="s">
        <v>2806</v>
      </c>
    </row>
    <row r="95" spans="2:7">
      <c r="B95" s="783" t="s">
        <v>304</v>
      </c>
      <c r="C95" s="795" t="s">
        <v>276</v>
      </c>
      <c r="D95" s="795" t="s">
        <v>2806</v>
      </c>
    </row>
    <row r="96" spans="2:7">
      <c r="B96" s="783" t="s">
        <v>304</v>
      </c>
      <c r="C96" s="798" t="s">
        <v>2939</v>
      </c>
      <c r="D96" s="795" t="s">
        <v>2806</v>
      </c>
    </row>
    <row r="97" spans="2:4">
      <c r="B97" s="783" t="s">
        <v>304</v>
      </c>
      <c r="C97" s="798" t="s">
        <v>241</v>
      </c>
      <c r="D97" s="795" t="s">
        <v>2806</v>
      </c>
    </row>
    <row r="98" spans="2:4">
      <c r="B98" s="783" t="s">
        <v>515</v>
      </c>
      <c r="C98" s="798" t="s">
        <v>2940</v>
      </c>
      <c r="D98" s="795" t="s">
        <v>2806</v>
      </c>
    </row>
    <row r="99" spans="2:4">
      <c r="B99" s="783" t="s">
        <v>515</v>
      </c>
      <c r="C99" s="797" t="s">
        <v>36</v>
      </c>
      <c r="D99" s="795" t="s">
        <v>2806</v>
      </c>
    </row>
    <row r="100" spans="2:4">
      <c r="B100" s="783" t="s">
        <v>515</v>
      </c>
      <c r="C100" s="793" t="s">
        <v>2931</v>
      </c>
      <c r="D100" s="795" t="s">
        <v>2806</v>
      </c>
    </row>
  </sheetData>
  <pageMargins left="0.7" right="0.7" top="0.75" bottom="0.75" header="0.3" footer="0.3"/>
  <tableParts count="2">
    <tablePart r:id="rId4"/>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CF94-CD14-4BF1-98B9-7FD9B11CCA42}">
  <dimension ref="A1:P108"/>
  <sheetViews>
    <sheetView workbookViewId="0">
      <selection activeCell="F99" sqref="F99"/>
    </sheetView>
  </sheetViews>
  <sheetFormatPr defaultColWidth="8.83203125" defaultRowHeight="15.5"/>
  <cols>
    <col min="1" max="1" width="8.83203125" style="417"/>
    <col min="2" max="2" width="11.9140625" style="417" bestFit="1" customWidth="1"/>
    <col min="3" max="3" width="14.1640625" style="417" bestFit="1" customWidth="1"/>
    <col min="4" max="4" width="13.33203125" style="417" customWidth="1"/>
    <col min="5" max="5" width="8.83203125" style="417"/>
    <col min="6" max="6" width="15.9140625" style="417" bestFit="1" customWidth="1"/>
    <col min="7" max="7" width="11.1640625" style="417" bestFit="1" customWidth="1"/>
    <col min="8" max="8" width="8.83203125" style="417"/>
    <col min="9" max="9" width="12.83203125" style="417" bestFit="1" customWidth="1"/>
    <col min="10" max="10" width="8.83203125" style="417"/>
    <col min="11" max="11" width="10.5" style="417" customWidth="1"/>
    <col min="12" max="12" width="22" style="417" bestFit="1" customWidth="1"/>
    <col min="13" max="13" width="8.83203125" style="417"/>
    <col min="14" max="14" width="15.83203125" style="417" bestFit="1" customWidth="1"/>
    <col min="15" max="16" width="16.58203125" style="417" bestFit="1" customWidth="1"/>
    <col min="17" max="17" width="12.9140625" style="417" bestFit="1" customWidth="1"/>
    <col min="18" max="18" width="16.58203125" style="417" bestFit="1" customWidth="1"/>
    <col min="19" max="19" width="12.9140625" style="417" bestFit="1" customWidth="1"/>
    <col min="20" max="20" width="16.58203125" style="417" bestFit="1" customWidth="1"/>
    <col min="21" max="21" width="12.9140625" style="417" bestFit="1" customWidth="1"/>
    <col min="22" max="22" width="16.58203125" style="417" bestFit="1" customWidth="1"/>
    <col min="23" max="23" width="12.9140625" style="417" bestFit="1" customWidth="1"/>
    <col min="24" max="24" width="16.58203125" style="417" bestFit="1" customWidth="1"/>
    <col min="25" max="25" width="12.9140625" style="417" bestFit="1" customWidth="1"/>
    <col min="26" max="26" width="16.58203125" style="417" bestFit="1" customWidth="1"/>
    <col min="27" max="27" width="12.9140625" style="417" bestFit="1" customWidth="1"/>
    <col min="28" max="28" width="16.58203125" style="417" bestFit="1" customWidth="1"/>
    <col min="29" max="29" width="12.9140625" style="417" bestFit="1" customWidth="1"/>
    <col min="30" max="30" width="16.58203125" style="417" bestFit="1" customWidth="1"/>
    <col min="31" max="31" width="12.9140625" style="417" bestFit="1" customWidth="1"/>
    <col min="32" max="32" width="16.58203125" style="417" bestFit="1" customWidth="1"/>
    <col min="33" max="33" width="12.9140625" style="417" bestFit="1" customWidth="1"/>
    <col min="34" max="34" width="16.58203125" style="417" bestFit="1" customWidth="1"/>
    <col min="35" max="35" width="12.9140625" style="417" bestFit="1" customWidth="1"/>
    <col min="36" max="36" width="16.58203125" style="417" bestFit="1" customWidth="1"/>
    <col min="37" max="37" width="12.9140625" style="417" bestFit="1" customWidth="1"/>
    <col min="38" max="38" width="16.58203125" style="417" bestFit="1" customWidth="1"/>
    <col min="39" max="39" width="12.9140625" style="417" bestFit="1" customWidth="1"/>
    <col min="40" max="40" width="16.58203125" style="417" bestFit="1" customWidth="1"/>
    <col min="41" max="41" width="12.9140625" style="417" bestFit="1" customWidth="1"/>
    <col min="42" max="42" width="16.58203125" style="417" bestFit="1" customWidth="1"/>
    <col min="43" max="43" width="12.9140625" style="417" bestFit="1" customWidth="1"/>
    <col min="44" max="44" width="16.58203125" style="417" bestFit="1" customWidth="1"/>
    <col min="45" max="45" width="12.9140625" style="417" bestFit="1" customWidth="1"/>
    <col min="46" max="46" width="16.58203125" style="417" bestFit="1" customWidth="1"/>
    <col min="47" max="47" width="12.9140625" style="417" bestFit="1" customWidth="1"/>
    <col min="48" max="48" width="16.58203125" style="417" bestFit="1" customWidth="1"/>
    <col min="49" max="49" width="12.9140625" style="417" bestFit="1" customWidth="1"/>
    <col min="50" max="50" width="16.58203125" style="417" bestFit="1" customWidth="1"/>
    <col min="51" max="51" width="12.9140625" style="417" bestFit="1" customWidth="1"/>
    <col min="52" max="52" width="16.58203125" style="417" bestFit="1" customWidth="1"/>
    <col min="53" max="53" width="12.9140625" style="417" bestFit="1" customWidth="1"/>
    <col min="54" max="54" width="16.58203125" style="417" bestFit="1" customWidth="1"/>
    <col min="55" max="55" width="12.9140625" style="417" bestFit="1" customWidth="1"/>
    <col min="56" max="56" width="16.58203125" style="417" bestFit="1" customWidth="1"/>
    <col min="57" max="57" width="12.9140625" style="417" bestFit="1" customWidth="1"/>
    <col min="58" max="58" width="16.58203125" style="417" bestFit="1" customWidth="1"/>
    <col min="59" max="59" width="12.9140625" style="417" bestFit="1" customWidth="1"/>
    <col min="60" max="60" width="16.58203125" style="417" bestFit="1" customWidth="1"/>
    <col min="61" max="61" width="12.9140625" style="417" bestFit="1" customWidth="1"/>
    <col min="62" max="62" width="16.58203125" style="417" bestFit="1" customWidth="1"/>
    <col min="63" max="63" width="12.9140625" style="417" bestFit="1" customWidth="1"/>
    <col min="64" max="64" width="16.58203125" style="417" bestFit="1" customWidth="1"/>
    <col min="65" max="65" width="12.9140625" style="417" bestFit="1" customWidth="1"/>
    <col min="66" max="66" width="16.58203125" style="417" bestFit="1" customWidth="1"/>
    <col min="67" max="67" width="12.9140625" style="417" bestFit="1" customWidth="1"/>
    <col min="68" max="68" width="16.58203125" style="417" bestFit="1" customWidth="1"/>
    <col min="69" max="69" width="12.9140625" style="417" bestFit="1" customWidth="1"/>
    <col min="70" max="70" width="16.58203125" style="417" bestFit="1" customWidth="1"/>
    <col min="71" max="71" width="12.9140625" style="417" bestFit="1" customWidth="1"/>
    <col min="72" max="72" width="16.58203125" style="417" bestFit="1" customWidth="1"/>
    <col min="73" max="73" width="12.9140625" style="417" bestFit="1" customWidth="1"/>
    <col min="74" max="74" width="16.58203125" style="417" bestFit="1" customWidth="1"/>
    <col min="75" max="75" width="12.9140625" style="417" bestFit="1" customWidth="1"/>
    <col min="76" max="76" width="16.58203125" style="417" bestFit="1" customWidth="1"/>
    <col min="77" max="77" width="12.9140625" style="417" bestFit="1" customWidth="1"/>
    <col min="78" max="78" width="16.58203125" style="417" bestFit="1" customWidth="1"/>
    <col min="79" max="79" width="12.9140625" style="417" bestFit="1" customWidth="1"/>
    <col min="80" max="80" width="16.58203125" style="417" bestFit="1" customWidth="1"/>
    <col min="81" max="81" width="12.9140625" style="417" bestFit="1" customWidth="1"/>
    <col min="82" max="82" width="16.58203125" style="417" bestFit="1" customWidth="1"/>
    <col min="83" max="83" width="12.9140625" style="417" bestFit="1" customWidth="1"/>
    <col min="84" max="84" width="16.58203125" style="417" bestFit="1" customWidth="1"/>
    <col min="85" max="85" width="12.9140625" style="417" bestFit="1" customWidth="1"/>
    <col min="86" max="86" width="16.58203125" style="417" bestFit="1" customWidth="1"/>
    <col min="87" max="87" width="12.9140625" style="417" bestFit="1" customWidth="1"/>
    <col min="88" max="88" width="16.58203125" style="417" bestFit="1" customWidth="1"/>
    <col min="89" max="89" width="12.9140625" style="417" bestFit="1" customWidth="1"/>
    <col min="90" max="90" width="16.58203125" style="417" bestFit="1" customWidth="1"/>
    <col min="91" max="91" width="12.9140625" style="417" bestFit="1" customWidth="1"/>
    <col min="92" max="92" width="16.58203125" style="417" bestFit="1" customWidth="1"/>
    <col min="93" max="93" width="12.9140625" style="417" bestFit="1" customWidth="1"/>
    <col min="94" max="94" width="16.58203125" style="417" bestFit="1" customWidth="1"/>
    <col min="95" max="95" width="12.9140625" style="417" bestFit="1" customWidth="1"/>
    <col min="96" max="96" width="16.58203125" style="417" bestFit="1" customWidth="1"/>
    <col min="97" max="97" width="12.9140625" style="417" bestFit="1" customWidth="1"/>
    <col min="98" max="98" width="16.58203125" style="417" bestFit="1" customWidth="1"/>
    <col min="99" max="99" width="12.9140625" style="417" bestFit="1" customWidth="1"/>
    <col min="100" max="100" width="16.58203125" style="417" bestFit="1" customWidth="1"/>
    <col min="101" max="101" width="12.9140625" style="417" bestFit="1" customWidth="1"/>
    <col min="102" max="102" width="16.58203125" style="417" bestFit="1" customWidth="1"/>
    <col min="103" max="103" width="12.9140625" style="417" bestFit="1" customWidth="1"/>
    <col min="104" max="104" width="16.58203125" style="417" bestFit="1" customWidth="1"/>
    <col min="105" max="105" width="18" style="417" bestFit="1" customWidth="1"/>
    <col min="106" max="106" width="21.6640625" style="417" bestFit="1" customWidth="1"/>
    <col min="107" max="16384" width="8.83203125" style="417"/>
  </cols>
  <sheetData>
    <row r="1" spans="1:16">
      <c r="B1" s="790" t="s">
        <v>21</v>
      </c>
      <c r="C1" s="791" t="s">
        <v>2814</v>
      </c>
      <c r="D1" s="792" t="s">
        <v>2815</v>
      </c>
    </row>
    <row r="2" spans="1:16">
      <c r="A2" s="158"/>
      <c r="B2" s="823" t="s">
        <v>2705</v>
      </c>
      <c r="C2" s="824" t="s">
        <v>2816</v>
      </c>
      <c r="D2" s="824" t="s">
        <v>2807</v>
      </c>
      <c r="F2" s="423" t="s">
        <v>21</v>
      </c>
      <c r="G2" s="423" t="s">
        <v>2814</v>
      </c>
      <c r="I2" s="423" t="s">
        <v>1283</v>
      </c>
      <c r="K2" s="781" t="s">
        <v>2814</v>
      </c>
      <c r="L2" s="781" t="s">
        <v>2942</v>
      </c>
    </row>
    <row r="3" spans="1:16">
      <c r="A3" s="158"/>
      <c r="B3" s="782" t="s">
        <v>2705</v>
      </c>
      <c r="C3" s="793" t="s">
        <v>241</v>
      </c>
      <c r="D3" s="794" t="s">
        <v>2807</v>
      </c>
      <c r="F3" s="417" t="s">
        <v>2703</v>
      </c>
      <c r="G3" s="417" t="s">
        <v>311</v>
      </c>
      <c r="I3" s="487" t="s">
        <v>319</v>
      </c>
      <c r="K3" s="800" t="s">
        <v>319</v>
      </c>
      <c r="L3" s="800" t="s">
        <v>2944</v>
      </c>
      <c r="N3"/>
      <c r="O3"/>
    </row>
    <row r="4" spans="1:16">
      <c r="A4" s="158"/>
      <c r="B4" s="824" t="s">
        <v>613</v>
      </c>
      <c r="C4" s="824" t="s">
        <v>311</v>
      </c>
      <c r="D4" s="824" t="s">
        <v>2807</v>
      </c>
      <c r="F4" s="417" t="s">
        <v>2703</v>
      </c>
      <c r="G4" s="417" t="s">
        <v>2932</v>
      </c>
      <c r="I4" s="487" t="s">
        <v>2817</v>
      </c>
      <c r="K4" s="800" t="s">
        <v>2817</v>
      </c>
      <c r="L4" s="800" t="s">
        <v>2944</v>
      </c>
      <c r="N4"/>
      <c r="O4"/>
    </row>
    <row r="5" spans="1:16">
      <c r="A5" s="158"/>
      <c r="B5" s="824" t="s">
        <v>613</v>
      </c>
      <c r="C5" s="824" t="s">
        <v>2813</v>
      </c>
      <c r="D5" s="824" t="s">
        <v>2807</v>
      </c>
      <c r="F5" s="417" t="s">
        <v>2703</v>
      </c>
      <c r="G5" s="417" t="s">
        <v>2816</v>
      </c>
      <c r="I5" s="487" t="s">
        <v>2935</v>
      </c>
      <c r="K5" s="800" t="s">
        <v>2935</v>
      </c>
      <c r="L5" s="800" t="s">
        <v>2946</v>
      </c>
      <c r="N5" s="423" t="s">
        <v>1283</v>
      </c>
      <c r="O5" t="s">
        <v>2949</v>
      </c>
      <c r="P5"/>
    </row>
    <row r="6" spans="1:16">
      <c r="A6" s="158"/>
      <c r="B6" s="824" t="s">
        <v>613</v>
      </c>
      <c r="C6" s="824" t="s">
        <v>36</v>
      </c>
      <c r="D6" s="824" t="s">
        <v>2807</v>
      </c>
      <c r="F6" s="417" t="s">
        <v>2703</v>
      </c>
      <c r="G6" s="417" t="s">
        <v>241</v>
      </c>
      <c r="I6" s="487" t="s">
        <v>311</v>
      </c>
      <c r="K6" s="800" t="s">
        <v>311</v>
      </c>
      <c r="L6" s="800" t="s">
        <v>2944</v>
      </c>
      <c r="N6" s="487" t="s">
        <v>2946</v>
      </c>
      <c r="O6" s="416">
        <v>5</v>
      </c>
      <c r="P6"/>
    </row>
    <row r="7" spans="1:16">
      <c r="A7" s="158"/>
      <c r="B7" s="824" t="s">
        <v>613</v>
      </c>
      <c r="C7" s="824" t="s">
        <v>303</v>
      </c>
      <c r="D7" s="824" t="s">
        <v>2807</v>
      </c>
      <c r="F7" s="417" t="s">
        <v>2705</v>
      </c>
      <c r="G7" s="417" t="s">
        <v>2816</v>
      </c>
      <c r="I7" s="487" t="s">
        <v>1756</v>
      </c>
      <c r="K7" s="800" t="s">
        <v>1756</v>
      </c>
      <c r="L7" s="800" t="s">
        <v>2943</v>
      </c>
      <c r="N7" s="487" t="s">
        <v>2944</v>
      </c>
      <c r="O7" s="416">
        <v>23</v>
      </c>
      <c r="P7"/>
    </row>
    <row r="8" spans="1:16">
      <c r="A8" s="158"/>
      <c r="B8" s="824" t="s">
        <v>613</v>
      </c>
      <c r="C8" s="824" t="s">
        <v>2081</v>
      </c>
      <c r="D8" s="824" t="s">
        <v>2807</v>
      </c>
      <c r="F8" s="417" t="s">
        <v>2705</v>
      </c>
      <c r="G8" s="417" t="s">
        <v>241</v>
      </c>
      <c r="I8" s="487" t="s">
        <v>323</v>
      </c>
      <c r="K8" s="800" t="s">
        <v>323</v>
      </c>
      <c r="L8" s="800" t="s">
        <v>2944</v>
      </c>
      <c r="N8" s="487" t="s">
        <v>2943</v>
      </c>
      <c r="O8" s="416">
        <v>16</v>
      </c>
      <c r="P8"/>
    </row>
    <row r="9" spans="1:16">
      <c r="A9" s="158"/>
      <c r="B9" s="825" t="s">
        <v>613</v>
      </c>
      <c r="C9" s="824" t="s">
        <v>297</v>
      </c>
      <c r="D9" s="824" t="s">
        <v>2807</v>
      </c>
      <c r="F9" s="417" t="s">
        <v>613</v>
      </c>
      <c r="G9" s="417" t="s">
        <v>311</v>
      </c>
      <c r="I9" s="487" t="s">
        <v>2811</v>
      </c>
      <c r="K9" s="800" t="s">
        <v>2811</v>
      </c>
      <c r="L9" s="800" t="s">
        <v>2944</v>
      </c>
      <c r="N9" s="487" t="s">
        <v>2947</v>
      </c>
      <c r="O9" s="416">
        <v>1</v>
      </c>
      <c r="P9"/>
    </row>
    <row r="10" spans="1:16">
      <c r="A10" s="158"/>
      <c r="B10" s="823" t="s">
        <v>613</v>
      </c>
      <c r="C10" s="824" t="s">
        <v>2809</v>
      </c>
      <c r="D10" s="824" t="s">
        <v>2807</v>
      </c>
      <c r="F10" s="417" t="s">
        <v>613</v>
      </c>
      <c r="G10" s="417" t="s">
        <v>2813</v>
      </c>
      <c r="I10" s="487" t="s">
        <v>2813</v>
      </c>
      <c r="K10" s="800" t="s">
        <v>2813</v>
      </c>
      <c r="L10" s="800" t="s">
        <v>2946</v>
      </c>
      <c r="N10" s="487" t="s">
        <v>2948</v>
      </c>
      <c r="O10" s="416">
        <v>2</v>
      </c>
      <c r="P10"/>
    </row>
    <row r="11" spans="1:16">
      <c r="A11" s="158"/>
      <c r="B11" s="823" t="s">
        <v>613</v>
      </c>
      <c r="C11" s="824" t="s">
        <v>241</v>
      </c>
      <c r="D11" s="824" t="s">
        <v>2807</v>
      </c>
      <c r="F11" s="417" t="s">
        <v>613</v>
      </c>
      <c r="G11" s="417" t="s">
        <v>36</v>
      </c>
      <c r="I11" s="487" t="s">
        <v>2933</v>
      </c>
      <c r="K11" s="800" t="s">
        <v>2933</v>
      </c>
      <c r="L11" s="800" t="s">
        <v>2946</v>
      </c>
      <c r="N11" s="487" t="s">
        <v>1285</v>
      </c>
      <c r="O11" s="416">
        <v>47</v>
      </c>
      <c r="P11"/>
    </row>
    <row r="12" spans="1:16">
      <c r="A12" s="158"/>
      <c r="B12" s="824" t="s">
        <v>37</v>
      </c>
      <c r="C12" s="824" t="s">
        <v>939</v>
      </c>
      <c r="D12" s="824" t="s">
        <v>2807</v>
      </c>
      <c r="F12" s="417" t="s">
        <v>613</v>
      </c>
      <c r="G12" s="417" t="s">
        <v>303</v>
      </c>
      <c r="I12" s="487" t="s">
        <v>369</v>
      </c>
      <c r="K12" s="800" t="s">
        <v>369</v>
      </c>
      <c r="L12" s="800" t="s">
        <v>2944</v>
      </c>
      <c r="N12"/>
      <c r="O12"/>
      <c r="P12"/>
    </row>
    <row r="13" spans="1:16">
      <c r="A13" s="162"/>
      <c r="B13" s="823" t="s">
        <v>37</v>
      </c>
      <c r="C13" s="824" t="s">
        <v>141</v>
      </c>
      <c r="D13" s="824" t="s">
        <v>2807</v>
      </c>
      <c r="F13" s="417" t="s">
        <v>613</v>
      </c>
      <c r="G13" s="417" t="s">
        <v>2081</v>
      </c>
      <c r="I13" s="487" t="s">
        <v>2940</v>
      </c>
      <c r="K13" s="800" t="s">
        <v>2940</v>
      </c>
      <c r="L13" s="800" t="s">
        <v>2943</v>
      </c>
      <c r="N13"/>
      <c r="O13"/>
      <c r="P13"/>
    </row>
    <row r="14" spans="1:16">
      <c r="A14" s="158"/>
      <c r="B14" s="824" t="s">
        <v>37</v>
      </c>
      <c r="C14" s="824" t="s">
        <v>36</v>
      </c>
      <c r="D14" s="824" t="s">
        <v>2807</v>
      </c>
      <c r="F14" s="417" t="s">
        <v>613</v>
      </c>
      <c r="G14" s="417" t="s">
        <v>297</v>
      </c>
      <c r="I14" s="487" t="s">
        <v>2159</v>
      </c>
      <c r="K14" s="800" t="s">
        <v>2159</v>
      </c>
      <c r="L14" s="800" t="s">
        <v>2944</v>
      </c>
      <c r="N14"/>
      <c r="O14"/>
      <c r="P14"/>
    </row>
    <row r="15" spans="1:16">
      <c r="A15" s="158"/>
      <c r="B15" s="824" t="s">
        <v>37</v>
      </c>
      <c r="C15" s="824" t="s">
        <v>2649</v>
      </c>
      <c r="D15" s="824" t="s">
        <v>2807</v>
      </c>
      <c r="F15" s="417" t="s">
        <v>613</v>
      </c>
      <c r="G15" s="417" t="s">
        <v>2809</v>
      </c>
      <c r="I15" s="487" t="s">
        <v>939</v>
      </c>
      <c r="K15" s="800" t="s">
        <v>939</v>
      </c>
      <c r="L15" s="800" t="s">
        <v>2947</v>
      </c>
      <c r="N15"/>
      <c r="O15"/>
      <c r="P15"/>
    </row>
    <row r="16" spans="1:16">
      <c r="A16" s="158"/>
      <c r="B16" s="823" t="s">
        <v>37</v>
      </c>
      <c r="C16" s="824" t="s">
        <v>241</v>
      </c>
      <c r="D16" s="824" t="s">
        <v>2807</v>
      </c>
      <c r="F16" s="417" t="s">
        <v>613</v>
      </c>
      <c r="G16" s="417" t="s">
        <v>241</v>
      </c>
      <c r="I16" s="487" t="s">
        <v>919</v>
      </c>
      <c r="K16" s="800" t="s">
        <v>919</v>
      </c>
      <c r="L16" s="800" t="s">
        <v>2944</v>
      </c>
      <c r="N16"/>
      <c r="O16"/>
      <c r="P16"/>
    </row>
    <row r="17" spans="1:16">
      <c r="A17" s="162"/>
      <c r="B17" s="823" t="s">
        <v>37</v>
      </c>
      <c r="C17" s="824" t="s">
        <v>2927</v>
      </c>
      <c r="D17" s="824" t="s">
        <v>2807</v>
      </c>
      <c r="F17" s="417" t="s">
        <v>37</v>
      </c>
      <c r="G17" s="417" t="s">
        <v>2159</v>
      </c>
      <c r="I17" s="487" t="s">
        <v>2805</v>
      </c>
      <c r="K17" s="800" t="s">
        <v>2805</v>
      </c>
      <c r="L17" s="800" t="s">
        <v>2944</v>
      </c>
      <c r="N17"/>
      <c r="O17"/>
      <c r="P17"/>
    </row>
    <row r="18" spans="1:16">
      <c r="B18" s="824" t="s">
        <v>2707</v>
      </c>
      <c r="C18" s="824" t="s">
        <v>311</v>
      </c>
      <c r="D18" s="824" t="s">
        <v>2807</v>
      </c>
      <c r="F18" s="417" t="s">
        <v>37</v>
      </c>
      <c r="G18" s="417" t="s">
        <v>939</v>
      </c>
      <c r="I18" s="487" t="s">
        <v>141</v>
      </c>
      <c r="K18" s="800" t="s">
        <v>141</v>
      </c>
      <c r="L18" s="800" t="s">
        <v>2943</v>
      </c>
      <c r="N18"/>
      <c r="O18"/>
      <c r="P18"/>
    </row>
    <row r="19" spans="1:16">
      <c r="B19" s="823" t="s">
        <v>2707</v>
      </c>
      <c r="C19" s="824" t="s">
        <v>36</v>
      </c>
      <c r="D19" s="824" t="s">
        <v>2807</v>
      </c>
      <c r="F19" s="417" t="s">
        <v>37</v>
      </c>
      <c r="G19" s="417" t="s">
        <v>919</v>
      </c>
      <c r="I19" s="487" t="s">
        <v>36</v>
      </c>
      <c r="K19" s="800" t="s">
        <v>36</v>
      </c>
      <c r="L19" s="800" t="s">
        <v>2943</v>
      </c>
      <c r="N19"/>
      <c r="O19"/>
      <c r="P19"/>
    </row>
    <row r="20" spans="1:16">
      <c r="B20" s="823" t="s">
        <v>2707</v>
      </c>
      <c r="C20" s="824" t="s">
        <v>2930</v>
      </c>
      <c r="D20" s="824" t="s">
        <v>2807</v>
      </c>
      <c r="F20" s="417" t="s">
        <v>37</v>
      </c>
      <c r="G20" s="417" t="s">
        <v>141</v>
      </c>
      <c r="I20" s="487" t="s">
        <v>2930</v>
      </c>
      <c r="K20" s="800" t="s">
        <v>2930</v>
      </c>
      <c r="L20" s="800" t="s">
        <v>2943</v>
      </c>
      <c r="N20"/>
      <c r="O20"/>
      <c r="P20"/>
    </row>
    <row r="21" spans="1:16">
      <c r="B21" s="823" t="s">
        <v>2707</v>
      </c>
      <c r="C21" s="824" t="s">
        <v>2929</v>
      </c>
      <c r="D21" s="824" t="s">
        <v>2807</v>
      </c>
      <c r="F21" s="417" t="s">
        <v>37</v>
      </c>
      <c r="G21" s="417" t="s">
        <v>36</v>
      </c>
      <c r="I21" s="487" t="s">
        <v>2812</v>
      </c>
      <c r="K21" s="800" t="s">
        <v>2812</v>
      </c>
      <c r="L21" s="800" t="s">
        <v>2944</v>
      </c>
      <c r="N21"/>
      <c r="O21"/>
      <c r="P21"/>
    </row>
    <row r="22" spans="1:16">
      <c r="B22" s="823" t="s">
        <v>2707</v>
      </c>
      <c r="C22" s="824" t="s">
        <v>241</v>
      </c>
      <c r="D22" s="824" t="s">
        <v>2807</v>
      </c>
      <c r="F22" s="417" t="s">
        <v>37</v>
      </c>
      <c r="G22" s="417" t="s">
        <v>192</v>
      </c>
      <c r="I22" s="487" t="s">
        <v>303</v>
      </c>
      <c r="K22" s="800" t="s">
        <v>315</v>
      </c>
      <c r="L22" s="800" t="s">
        <v>2944</v>
      </c>
      <c r="N22"/>
      <c r="O22"/>
      <c r="P22"/>
    </row>
    <row r="23" spans="1:16">
      <c r="B23" s="823" t="s">
        <v>2707</v>
      </c>
      <c r="C23" s="824" t="s">
        <v>2928</v>
      </c>
      <c r="D23" s="824" t="s">
        <v>2807</v>
      </c>
      <c r="F23" s="417" t="s">
        <v>37</v>
      </c>
      <c r="G23" s="417" t="s">
        <v>2081</v>
      </c>
      <c r="I23" s="487" t="s">
        <v>315</v>
      </c>
      <c r="K23" s="800" t="s">
        <v>2810</v>
      </c>
      <c r="L23" s="800" t="s">
        <v>2944</v>
      </c>
    </row>
    <row r="24" spans="1:16">
      <c r="B24" s="824" t="s">
        <v>2347</v>
      </c>
      <c r="C24" s="824" t="s">
        <v>2817</v>
      </c>
      <c r="D24" s="824" t="s">
        <v>2807</v>
      </c>
      <c r="F24" s="417" t="s">
        <v>37</v>
      </c>
      <c r="G24" s="417" t="s">
        <v>242</v>
      </c>
      <c r="I24" s="487" t="s">
        <v>2929</v>
      </c>
      <c r="K24" s="800" t="s">
        <v>2929</v>
      </c>
      <c r="L24" s="800" t="s">
        <v>2944</v>
      </c>
    </row>
    <row r="25" spans="1:16">
      <c r="B25" s="824" t="s">
        <v>2347</v>
      </c>
      <c r="C25" s="824" t="s">
        <v>2933</v>
      </c>
      <c r="D25" s="824" t="s">
        <v>2807</v>
      </c>
      <c r="F25" s="417" t="s">
        <v>37</v>
      </c>
      <c r="G25" s="417" t="s">
        <v>276</v>
      </c>
      <c r="I25" s="487" t="s">
        <v>192</v>
      </c>
      <c r="K25" s="800" t="s">
        <v>192</v>
      </c>
      <c r="L25" s="800" t="s">
        <v>2943</v>
      </c>
    </row>
    <row r="26" spans="1:16">
      <c r="B26" s="824" t="s">
        <v>2347</v>
      </c>
      <c r="C26" s="824" t="s">
        <v>36</v>
      </c>
      <c r="D26" s="824" t="s">
        <v>2807</v>
      </c>
      <c r="F26" s="417" t="s">
        <v>37</v>
      </c>
      <c r="G26" s="417" t="s">
        <v>2649</v>
      </c>
      <c r="I26" s="487" t="s">
        <v>2931</v>
      </c>
      <c r="K26" s="800" t="s">
        <v>2931</v>
      </c>
      <c r="L26" s="800" t="s">
        <v>2943</v>
      </c>
    </row>
    <row r="27" spans="1:16">
      <c r="B27" s="823" t="s">
        <v>2347</v>
      </c>
      <c r="C27" s="824" t="s">
        <v>2929</v>
      </c>
      <c r="D27" s="824" t="s">
        <v>2807</v>
      </c>
      <c r="F27" s="417" t="s">
        <v>37</v>
      </c>
      <c r="G27" s="417" t="s">
        <v>241</v>
      </c>
      <c r="I27" s="487" t="s">
        <v>2932</v>
      </c>
      <c r="K27" s="800" t="s">
        <v>2932</v>
      </c>
      <c r="L27" s="800" t="s">
        <v>2946</v>
      </c>
    </row>
    <row r="28" spans="1:16">
      <c r="B28" s="823" t="s">
        <v>2347</v>
      </c>
      <c r="C28" s="824" t="s">
        <v>2816</v>
      </c>
      <c r="D28" s="824" t="s">
        <v>2807</v>
      </c>
      <c r="F28" s="417" t="s">
        <v>37</v>
      </c>
      <c r="G28" s="417" t="s">
        <v>2927</v>
      </c>
      <c r="I28" s="487" t="s">
        <v>2936</v>
      </c>
      <c r="K28" s="800" t="s">
        <v>2936</v>
      </c>
      <c r="L28" s="800" t="s">
        <v>2944</v>
      </c>
    </row>
    <row r="29" spans="1:16">
      <c r="B29" s="823" t="s">
        <v>2347</v>
      </c>
      <c r="C29" s="824" t="s">
        <v>2818</v>
      </c>
      <c r="D29" s="824" t="s">
        <v>2807</v>
      </c>
      <c r="F29" s="417" t="s">
        <v>37</v>
      </c>
      <c r="G29" s="417" t="s">
        <v>291</v>
      </c>
      <c r="I29" s="487" t="s">
        <v>2081</v>
      </c>
      <c r="K29" s="800" t="s">
        <v>2081</v>
      </c>
      <c r="L29" s="800" t="s">
        <v>2944</v>
      </c>
    </row>
    <row r="30" spans="1:16">
      <c r="B30" s="824" t="s">
        <v>2347</v>
      </c>
      <c r="C30" s="824" t="s">
        <v>241</v>
      </c>
      <c r="D30" s="824" t="s">
        <v>2807</v>
      </c>
      <c r="F30" s="417" t="s">
        <v>37</v>
      </c>
      <c r="G30" s="417" t="s">
        <v>2148</v>
      </c>
      <c r="I30" s="487" t="s">
        <v>2937</v>
      </c>
      <c r="K30" s="800" t="s">
        <v>2937</v>
      </c>
      <c r="L30" s="800" t="s">
        <v>2943</v>
      </c>
    </row>
    <row r="31" spans="1:16">
      <c r="B31" s="825" t="s">
        <v>2708</v>
      </c>
      <c r="C31" s="824" t="s">
        <v>36</v>
      </c>
      <c r="D31" s="824" t="s">
        <v>2807</v>
      </c>
      <c r="F31" s="417" t="s">
        <v>2707</v>
      </c>
      <c r="G31" s="417" t="s">
        <v>311</v>
      </c>
      <c r="I31" s="487" t="s">
        <v>2816</v>
      </c>
      <c r="K31" s="800" t="s">
        <v>2816</v>
      </c>
      <c r="L31" s="800" t="s">
        <v>2944</v>
      </c>
    </row>
    <row r="32" spans="1:16">
      <c r="B32" s="825" t="s">
        <v>2708</v>
      </c>
      <c r="C32" s="824" t="s">
        <v>303</v>
      </c>
      <c r="D32" s="824" t="s">
        <v>2807</v>
      </c>
      <c r="F32" s="417" t="s">
        <v>2707</v>
      </c>
      <c r="G32" s="417" t="s">
        <v>36</v>
      </c>
      <c r="I32" s="487" t="s">
        <v>358</v>
      </c>
      <c r="K32" s="800" t="s">
        <v>358</v>
      </c>
      <c r="L32" s="800" t="s">
        <v>2944</v>
      </c>
    </row>
    <row r="33" spans="2:12">
      <c r="B33" s="824" t="s">
        <v>2703</v>
      </c>
      <c r="C33" s="824" t="s">
        <v>311</v>
      </c>
      <c r="D33" s="824" t="s">
        <v>2807</v>
      </c>
      <c r="F33" s="417" t="s">
        <v>2707</v>
      </c>
      <c r="G33" s="417" t="s">
        <v>2930</v>
      </c>
      <c r="I33" s="487" t="s">
        <v>297</v>
      </c>
      <c r="K33" s="800" t="s">
        <v>297</v>
      </c>
      <c r="L33" s="800" t="s">
        <v>2944</v>
      </c>
    </row>
    <row r="34" spans="2:12">
      <c r="B34" s="823" t="s">
        <v>2703</v>
      </c>
      <c r="C34" s="824" t="s">
        <v>2932</v>
      </c>
      <c r="D34" s="824" t="s">
        <v>2807</v>
      </c>
      <c r="F34" s="417" t="s">
        <v>2707</v>
      </c>
      <c r="G34" s="417" t="s">
        <v>2929</v>
      </c>
      <c r="I34" s="487" t="s">
        <v>2938</v>
      </c>
      <c r="K34" s="800" t="s">
        <v>2938</v>
      </c>
      <c r="L34" s="800" t="s">
        <v>2946</v>
      </c>
    </row>
    <row r="35" spans="2:12">
      <c r="B35" s="823" t="s">
        <v>2703</v>
      </c>
      <c r="C35" s="824" t="s">
        <v>2816</v>
      </c>
      <c r="D35" s="824" t="s">
        <v>2807</v>
      </c>
      <c r="F35" s="417" t="s">
        <v>2707</v>
      </c>
      <c r="G35" s="417" t="s">
        <v>241</v>
      </c>
      <c r="I35" s="487" t="s">
        <v>242</v>
      </c>
      <c r="K35" s="800" t="s">
        <v>242</v>
      </c>
      <c r="L35" s="800" t="s">
        <v>2943</v>
      </c>
    </row>
    <row r="36" spans="2:12">
      <c r="B36" s="823" t="s">
        <v>2703</v>
      </c>
      <c r="C36" s="824" t="s">
        <v>241</v>
      </c>
      <c r="D36" s="824" t="s">
        <v>2807</v>
      </c>
      <c r="F36" s="417" t="s">
        <v>2707</v>
      </c>
      <c r="G36" s="417" t="s">
        <v>2928</v>
      </c>
      <c r="I36" s="487" t="s">
        <v>276</v>
      </c>
      <c r="K36" s="800" t="s">
        <v>276</v>
      </c>
      <c r="L36" s="800" t="s">
        <v>2944</v>
      </c>
    </row>
    <row r="37" spans="2:12">
      <c r="B37" s="824" t="s">
        <v>304</v>
      </c>
      <c r="C37" s="824" t="s">
        <v>323</v>
      </c>
      <c r="D37" s="824" t="s">
        <v>2807</v>
      </c>
      <c r="F37" s="417" t="s">
        <v>2347</v>
      </c>
      <c r="G37" s="417" t="s">
        <v>2817</v>
      </c>
      <c r="I37" s="487" t="s">
        <v>2967</v>
      </c>
      <c r="K37" s="487" t="s">
        <v>2967</v>
      </c>
      <c r="L37" s="800" t="s">
        <v>2943</v>
      </c>
    </row>
    <row r="38" spans="2:12">
      <c r="B38" s="824" t="s">
        <v>304</v>
      </c>
      <c r="C38" s="824" t="s">
        <v>2811</v>
      </c>
      <c r="D38" s="824" t="s">
        <v>2807</v>
      </c>
      <c r="F38" s="417" t="s">
        <v>2347</v>
      </c>
      <c r="G38" s="417" t="s">
        <v>2933</v>
      </c>
      <c r="I38" s="487" t="s">
        <v>2649</v>
      </c>
      <c r="K38" s="800" t="s">
        <v>2649</v>
      </c>
      <c r="L38" s="800" t="s">
        <v>2943</v>
      </c>
    </row>
    <row r="39" spans="2:12">
      <c r="B39" s="825" t="s">
        <v>304</v>
      </c>
      <c r="C39" s="824" t="s">
        <v>369</v>
      </c>
      <c r="D39" s="824" t="s">
        <v>2807</v>
      </c>
      <c r="F39" s="417" t="s">
        <v>2347</v>
      </c>
      <c r="G39" s="417" t="s">
        <v>36</v>
      </c>
      <c r="I39" s="487" t="s">
        <v>2965</v>
      </c>
      <c r="K39" s="487" t="s">
        <v>2965</v>
      </c>
      <c r="L39" s="800" t="s">
        <v>2943</v>
      </c>
    </row>
    <row r="40" spans="2:12">
      <c r="B40" s="823" t="s">
        <v>304</v>
      </c>
      <c r="C40" s="824" t="s">
        <v>919</v>
      </c>
      <c r="D40" s="824" t="s">
        <v>2807</v>
      </c>
      <c r="F40" s="417" t="s">
        <v>2347</v>
      </c>
      <c r="G40" s="417" t="s">
        <v>2929</v>
      </c>
      <c r="I40" s="487" t="s">
        <v>2934</v>
      </c>
      <c r="K40" s="800" t="s">
        <v>2934</v>
      </c>
      <c r="L40" s="800" t="s">
        <v>2944</v>
      </c>
    </row>
    <row r="41" spans="2:12">
      <c r="B41" s="825" t="s">
        <v>304</v>
      </c>
      <c r="C41" s="824" t="s">
        <v>2812</v>
      </c>
      <c r="D41" s="824" t="s">
        <v>2807</v>
      </c>
      <c r="F41" s="417" t="s">
        <v>2347</v>
      </c>
      <c r="G41" s="417" t="s">
        <v>2816</v>
      </c>
      <c r="I41" s="487" t="s">
        <v>2809</v>
      </c>
      <c r="K41" s="800" t="s">
        <v>2809</v>
      </c>
      <c r="L41" s="800" t="s">
        <v>2944</v>
      </c>
    </row>
    <row r="42" spans="2:12">
      <c r="B42" s="825" t="s">
        <v>304</v>
      </c>
      <c r="C42" s="824" t="s">
        <v>2081</v>
      </c>
      <c r="D42" s="824" t="s">
        <v>2807</v>
      </c>
      <c r="F42" s="417" t="s">
        <v>2347</v>
      </c>
      <c r="G42" s="417" t="s">
        <v>2818</v>
      </c>
      <c r="I42" s="487" t="s">
        <v>2939</v>
      </c>
      <c r="K42" s="800" t="s">
        <v>2939</v>
      </c>
      <c r="L42" s="800" t="s">
        <v>2943</v>
      </c>
    </row>
    <row r="43" spans="2:12">
      <c r="B43" s="824" t="s">
        <v>304</v>
      </c>
      <c r="C43" s="824" t="s">
        <v>358</v>
      </c>
      <c r="D43" s="824" t="s">
        <v>2807</v>
      </c>
      <c r="F43" s="417" t="s">
        <v>2347</v>
      </c>
      <c r="G43" s="417" t="s">
        <v>241</v>
      </c>
      <c r="I43" s="487" t="s">
        <v>2818</v>
      </c>
      <c r="K43" s="800" t="s">
        <v>2818</v>
      </c>
      <c r="L43" s="800" t="s">
        <v>2943</v>
      </c>
    </row>
    <row r="44" spans="2:12">
      <c r="B44" s="824" t="s">
        <v>304</v>
      </c>
      <c r="C44" s="824" t="s">
        <v>276</v>
      </c>
      <c r="D44" s="824" t="s">
        <v>2807</v>
      </c>
      <c r="F44" s="417" t="s">
        <v>2708</v>
      </c>
      <c r="G44" s="417" t="s">
        <v>36</v>
      </c>
      <c r="I44" s="487" t="s">
        <v>241</v>
      </c>
      <c r="K44" s="800" t="s">
        <v>241</v>
      </c>
      <c r="L44" s="800" t="s">
        <v>2948</v>
      </c>
    </row>
    <row r="45" spans="2:12">
      <c r="B45" s="824" t="s">
        <v>304</v>
      </c>
      <c r="C45" s="824" t="s">
        <v>2934</v>
      </c>
      <c r="D45" s="824" t="s">
        <v>2807</v>
      </c>
      <c r="F45" s="417" t="s">
        <v>2708</v>
      </c>
      <c r="G45" s="417" t="s">
        <v>303</v>
      </c>
      <c r="I45" s="487" t="s">
        <v>2927</v>
      </c>
      <c r="K45" s="800" t="s">
        <v>2927</v>
      </c>
      <c r="L45" s="800" t="s">
        <v>2944</v>
      </c>
    </row>
    <row r="46" spans="2:12">
      <c r="B46" s="825" t="s">
        <v>304</v>
      </c>
      <c r="C46" s="824" t="s">
        <v>241</v>
      </c>
      <c r="D46" s="824" t="s">
        <v>2807</v>
      </c>
      <c r="F46" s="417" t="s">
        <v>304</v>
      </c>
      <c r="G46" s="417" t="s">
        <v>1756</v>
      </c>
      <c r="I46" s="487" t="s">
        <v>2928</v>
      </c>
      <c r="K46" s="800" t="s">
        <v>2928</v>
      </c>
      <c r="L46" s="800" t="s">
        <v>2943</v>
      </c>
    </row>
    <row r="47" spans="2:12">
      <c r="B47" s="825" t="s">
        <v>304</v>
      </c>
      <c r="C47" s="824" t="s">
        <v>2129</v>
      </c>
      <c r="D47" s="824" t="s">
        <v>2807</v>
      </c>
      <c r="F47" s="417" t="s">
        <v>304</v>
      </c>
      <c r="G47" s="417" t="s">
        <v>323</v>
      </c>
      <c r="I47" s="487" t="s">
        <v>2129</v>
      </c>
      <c r="K47" s="800" t="s">
        <v>2129</v>
      </c>
      <c r="L47" s="800" t="s">
        <v>2948</v>
      </c>
    </row>
    <row r="48" spans="2:12">
      <c r="B48" s="825" t="s">
        <v>2711</v>
      </c>
      <c r="C48" s="824" t="s">
        <v>319</v>
      </c>
      <c r="D48" s="824" t="s">
        <v>2807</v>
      </c>
      <c r="F48" s="417" t="s">
        <v>304</v>
      </c>
      <c r="G48" s="417" t="s">
        <v>2811</v>
      </c>
      <c r="I48" s="487" t="s">
        <v>291</v>
      </c>
      <c r="K48" s="800" t="s">
        <v>291</v>
      </c>
      <c r="L48" s="800" t="s">
        <v>2943</v>
      </c>
    </row>
    <row r="49" spans="2:12">
      <c r="B49" s="824" t="s">
        <v>2711</v>
      </c>
      <c r="C49" s="824" t="s">
        <v>2935</v>
      </c>
      <c r="D49" s="824" t="s">
        <v>2807</v>
      </c>
      <c r="F49" s="417" t="s">
        <v>304</v>
      </c>
      <c r="G49" s="417" t="s">
        <v>369</v>
      </c>
      <c r="I49" s="487" t="s">
        <v>2148</v>
      </c>
      <c r="K49" s="800" t="s">
        <v>2945</v>
      </c>
      <c r="L49" s="800" t="s">
        <v>2944</v>
      </c>
    </row>
    <row r="50" spans="2:12">
      <c r="B50" s="824" t="s">
        <v>2711</v>
      </c>
      <c r="C50" s="824" t="s">
        <v>36</v>
      </c>
      <c r="D50" s="824" t="s">
        <v>2807</v>
      </c>
      <c r="F50" s="417" t="s">
        <v>304</v>
      </c>
      <c r="G50" s="417" t="s">
        <v>919</v>
      </c>
      <c r="I50" s="487" t="s">
        <v>1285</v>
      </c>
    </row>
    <row r="51" spans="2:12">
      <c r="B51" s="825" t="s">
        <v>2711</v>
      </c>
      <c r="C51" s="824" t="s">
        <v>2965</v>
      </c>
      <c r="D51" s="824" t="s">
        <v>2807</v>
      </c>
      <c r="F51" s="417" t="s">
        <v>304</v>
      </c>
      <c r="G51" s="417" t="s">
        <v>2805</v>
      </c>
      <c r="I51"/>
    </row>
    <row r="52" spans="2:12">
      <c r="B52" s="823" t="s">
        <v>2711</v>
      </c>
      <c r="C52" s="824" t="s">
        <v>241</v>
      </c>
      <c r="D52" s="824" t="s">
        <v>2807</v>
      </c>
      <c r="F52" s="417" t="s">
        <v>304</v>
      </c>
      <c r="G52" s="417" t="s">
        <v>2812</v>
      </c>
    </row>
    <row r="53" spans="2:12">
      <c r="B53" s="824" t="s">
        <v>515</v>
      </c>
      <c r="C53" s="824" t="s">
        <v>311</v>
      </c>
      <c r="D53" s="824" t="s">
        <v>2807</v>
      </c>
      <c r="F53" s="417" t="s">
        <v>304</v>
      </c>
      <c r="G53" s="417" t="s">
        <v>303</v>
      </c>
    </row>
    <row r="54" spans="2:12">
      <c r="B54" s="824" t="s">
        <v>515</v>
      </c>
      <c r="C54" s="824" t="s">
        <v>939</v>
      </c>
      <c r="D54" s="824" t="s">
        <v>2807</v>
      </c>
      <c r="F54" s="417" t="s">
        <v>304</v>
      </c>
      <c r="G54" s="417" t="s">
        <v>315</v>
      </c>
    </row>
    <row r="55" spans="2:12">
      <c r="B55" s="823" t="s">
        <v>515</v>
      </c>
      <c r="C55" s="824" t="s">
        <v>192</v>
      </c>
      <c r="D55" s="824" t="s">
        <v>2807</v>
      </c>
      <c r="F55" s="417" t="s">
        <v>304</v>
      </c>
      <c r="G55" s="417" t="s">
        <v>2936</v>
      </c>
    </row>
    <row r="56" spans="2:12">
      <c r="B56" s="825" t="s">
        <v>515</v>
      </c>
      <c r="C56" s="824" t="s">
        <v>2931</v>
      </c>
      <c r="D56" s="824" t="s">
        <v>2807</v>
      </c>
      <c r="F56" s="417" t="s">
        <v>304</v>
      </c>
      <c r="G56" s="417" t="s">
        <v>2081</v>
      </c>
    </row>
    <row r="57" spans="2:12">
      <c r="B57" s="825" t="s">
        <v>515</v>
      </c>
      <c r="C57" s="824" t="s">
        <v>297</v>
      </c>
      <c r="D57" s="824" t="s">
        <v>2807</v>
      </c>
      <c r="F57" s="417" t="s">
        <v>304</v>
      </c>
      <c r="G57" s="417" t="s">
        <v>2937</v>
      </c>
    </row>
    <row r="58" spans="2:12">
      <c r="B58" s="823" t="s">
        <v>515</v>
      </c>
      <c r="C58" s="824" t="s">
        <v>241</v>
      </c>
      <c r="D58" s="824" t="s">
        <v>2807</v>
      </c>
      <c r="F58" s="417" t="s">
        <v>304</v>
      </c>
      <c r="G58" s="417" t="s">
        <v>358</v>
      </c>
    </row>
    <row r="59" spans="2:12">
      <c r="B59" s="824" t="s">
        <v>2653</v>
      </c>
      <c r="C59" s="824" t="s">
        <v>311</v>
      </c>
      <c r="D59" s="824" t="s">
        <v>2807</v>
      </c>
      <c r="F59" s="417" t="s">
        <v>304</v>
      </c>
      <c r="G59" s="417" t="s">
        <v>297</v>
      </c>
    </row>
    <row r="60" spans="2:12">
      <c r="B60" s="824" t="s">
        <v>2653</v>
      </c>
      <c r="C60" s="824" t="s">
        <v>2930</v>
      </c>
      <c r="D60" s="824" t="s">
        <v>2807</v>
      </c>
      <c r="F60" s="417" t="s">
        <v>304</v>
      </c>
      <c r="G60" s="417" t="s">
        <v>2938</v>
      </c>
    </row>
    <row r="61" spans="2:12">
      <c r="B61" s="824" t="s">
        <v>2653</v>
      </c>
      <c r="C61" s="824" t="s">
        <v>2929</v>
      </c>
      <c r="D61" s="824" t="s">
        <v>2807</v>
      </c>
      <c r="F61" s="417" t="s">
        <v>304</v>
      </c>
      <c r="G61" s="417" t="s">
        <v>276</v>
      </c>
    </row>
    <row r="62" spans="2:12">
      <c r="B62" s="825" t="s">
        <v>2653</v>
      </c>
      <c r="C62" s="824" t="s">
        <v>358</v>
      </c>
      <c r="D62" s="824" t="s">
        <v>2807</v>
      </c>
      <c r="F62" s="417" t="s">
        <v>304</v>
      </c>
      <c r="G62" s="417" t="s">
        <v>2934</v>
      </c>
    </row>
    <row r="63" spans="2:12">
      <c r="B63" s="825" t="s">
        <v>2653</v>
      </c>
      <c r="C63" s="824" t="s">
        <v>297</v>
      </c>
      <c r="D63" s="824" t="s">
        <v>2807</v>
      </c>
      <c r="F63" s="417" t="s">
        <v>304</v>
      </c>
      <c r="G63" s="417" t="s">
        <v>2939</v>
      </c>
    </row>
    <row r="64" spans="2:12">
      <c r="B64" s="823" t="s">
        <v>2653</v>
      </c>
      <c r="C64" s="823" t="s">
        <v>241</v>
      </c>
      <c r="D64" s="824" t="s">
        <v>2807</v>
      </c>
      <c r="F64" s="417" t="s">
        <v>304</v>
      </c>
      <c r="G64" s="417" t="s">
        <v>241</v>
      </c>
    </row>
    <row r="65" spans="2:7">
      <c r="B65" s="823" t="s">
        <v>37</v>
      </c>
      <c r="C65" s="823" t="s">
        <v>2159</v>
      </c>
      <c r="D65" s="823" t="s">
        <v>2966</v>
      </c>
      <c r="F65" s="417" t="s">
        <v>304</v>
      </c>
      <c r="G65" s="417" t="s">
        <v>2129</v>
      </c>
    </row>
    <row r="66" spans="2:7">
      <c r="B66" s="823" t="s">
        <v>37</v>
      </c>
      <c r="C66" s="823" t="s">
        <v>919</v>
      </c>
      <c r="D66" s="823" t="s">
        <v>2966</v>
      </c>
      <c r="F66" s="417" t="s">
        <v>2711</v>
      </c>
      <c r="G66" s="417" t="s">
        <v>319</v>
      </c>
    </row>
    <row r="67" spans="2:7">
      <c r="B67" s="823" t="s">
        <v>37</v>
      </c>
      <c r="C67" s="823" t="s">
        <v>141</v>
      </c>
      <c r="D67" s="823" t="s">
        <v>2966</v>
      </c>
      <c r="F67" s="417" t="s">
        <v>2711</v>
      </c>
      <c r="G67" s="417" t="s">
        <v>2935</v>
      </c>
    </row>
    <row r="68" spans="2:7">
      <c r="B68" s="823" t="s">
        <v>37</v>
      </c>
      <c r="C68" s="823" t="s">
        <v>36</v>
      </c>
      <c r="D68" s="823" t="s">
        <v>2966</v>
      </c>
      <c r="F68" s="417" t="s">
        <v>2711</v>
      </c>
      <c r="G68" s="417" t="s">
        <v>36</v>
      </c>
    </row>
    <row r="69" spans="2:7">
      <c r="B69" s="823" t="s">
        <v>37</v>
      </c>
      <c r="C69" s="823" t="s">
        <v>192</v>
      </c>
      <c r="D69" s="823" t="s">
        <v>2966</v>
      </c>
      <c r="F69" s="417" t="s">
        <v>2711</v>
      </c>
      <c r="G69" s="417" t="s">
        <v>241</v>
      </c>
    </row>
    <row r="70" spans="2:7">
      <c r="B70" s="823" t="s">
        <v>37</v>
      </c>
      <c r="C70" s="823" t="s">
        <v>2081</v>
      </c>
      <c r="D70" s="823" t="s">
        <v>2966</v>
      </c>
      <c r="F70" s="417" t="s">
        <v>2711</v>
      </c>
      <c r="G70" s="417" t="s">
        <v>2965</v>
      </c>
    </row>
    <row r="71" spans="2:7">
      <c r="B71" s="823" t="s">
        <v>37</v>
      </c>
      <c r="C71" s="823" t="s">
        <v>242</v>
      </c>
      <c r="D71" s="823" t="s">
        <v>2966</v>
      </c>
      <c r="F71" s="417" t="s">
        <v>515</v>
      </c>
      <c r="G71" s="417" t="s">
        <v>311</v>
      </c>
    </row>
    <row r="72" spans="2:7">
      <c r="B72" s="823" t="s">
        <v>37</v>
      </c>
      <c r="C72" s="823" t="s">
        <v>276</v>
      </c>
      <c r="D72" s="823" t="s">
        <v>2966</v>
      </c>
      <c r="F72" s="417" t="s">
        <v>515</v>
      </c>
      <c r="G72" s="417" t="s">
        <v>2940</v>
      </c>
    </row>
    <row r="73" spans="2:7">
      <c r="B73" s="823" t="s">
        <v>37</v>
      </c>
      <c r="C73" s="823" t="s">
        <v>2649</v>
      </c>
      <c r="D73" s="823" t="s">
        <v>2966</v>
      </c>
      <c r="F73" s="417" t="s">
        <v>515</v>
      </c>
      <c r="G73" s="417" t="s">
        <v>2159</v>
      </c>
    </row>
    <row r="74" spans="2:7">
      <c r="B74" s="823" t="s">
        <v>37</v>
      </c>
      <c r="C74" s="823" t="s">
        <v>2927</v>
      </c>
      <c r="D74" s="823" t="s">
        <v>2966</v>
      </c>
      <c r="F74" s="417" t="s">
        <v>515</v>
      </c>
      <c r="G74" s="417" t="s">
        <v>939</v>
      </c>
    </row>
    <row r="75" spans="2:7">
      <c r="B75" s="825" t="s">
        <v>37</v>
      </c>
      <c r="C75" s="823" t="s">
        <v>291</v>
      </c>
      <c r="D75" s="823" t="s">
        <v>2966</v>
      </c>
      <c r="F75" s="417" t="s">
        <v>515</v>
      </c>
      <c r="G75" s="417" t="s">
        <v>36</v>
      </c>
    </row>
    <row r="76" spans="2:7">
      <c r="B76" s="823" t="s">
        <v>304</v>
      </c>
      <c r="C76" s="824" t="s">
        <v>1756</v>
      </c>
      <c r="D76" s="823" t="s">
        <v>2966</v>
      </c>
      <c r="F76" s="417" t="s">
        <v>515</v>
      </c>
      <c r="G76" s="417" t="s">
        <v>192</v>
      </c>
    </row>
    <row r="77" spans="2:7">
      <c r="B77" s="823" t="s">
        <v>304</v>
      </c>
      <c r="C77" s="824" t="s">
        <v>2936</v>
      </c>
      <c r="D77" s="823" t="s">
        <v>2966</v>
      </c>
      <c r="F77" s="417" t="s">
        <v>515</v>
      </c>
      <c r="G77" s="417" t="s">
        <v>2931</v>
      </c>
    </row>
    <row r="78" spans="2:7">
      <c r="B78" s="823" t="s">
        <v>304</v>
      </c>
      <c r="C78" s="824" t="s">
        <v>358</v>
      </c>
      <c r="D78" s="823" t="s">
        <v>2966</v>
      </c>
      <c r="F78" s="417" t="s">
        <v>515</v>
      </c>
      <c r="G78" s="417" t="s">
        <v>297</v>
      </c>
    </row>
    <row r="79" spans="2:7">
      <c r="B79" s="823" t="s">
        <v>304</v>
      </c>
      <c r="C79" s="824" t="s">
        <v>297</v>
      </c>
      <c r="D79" s="823" t="s">
        <v>2966</v>
      </c>
      <c r="F79" s="417" t="s">
        <v>515</v>
      </c>
      <c r="G79" s="417" t="s">
        <v>241</v>
      </c>
    </row>
    <row r="80" spans="2:7">
      <c r="B80" s="823" t="s">
        <v>304</v>
      </c>
      <c r="C80" s="823" t="s">
        <v>276</v>
      </c>
      <c r="D80" s="823" t="s">
        <v>2966</v>
      </c>
      <c r="F80" s="417" t="s">
        <v>515</v>
      </c>
      <c r="G80" s="417" t="s">
        <v>2967</v>
      </c>
    </row>
    <row r="81" spans="2:7">
      <c r="B81" s="823" t="s">
        <v>515</v>
      </c>
      <c r="C81" s="823" t="s">
        <v>2159</v>
      </c>
      <c r="D81" s="823" t="s">
        <v>2966</v>
      </c>
      <c r="F81" s="417" t="s">
        <v>2653</v>
      </c>
      <c r="G81" s="417" t="s">
        <v>311</v>
      </c>
    </row>
    <row r="82" spans="2:7">
      <c r="B82" s="823" t="s">
        <v>515</v>
      </c>
      <c r="C82" s="823" t="s">
        <v>36</v>
      </c>
      <c r="D82" s="823" t="s">
        <v>2966</v>
      </c>
      <c r="F82" s="417" t="s">
        <v>2653</v>
      </c>
      <c r="G82" s="417" t="s">
        <v>2930</v>
      </c>
    </row>
    <row r="83" spans="2:7">
      <c r="B83" s="823" t="s">
        <v>515</v>
      </c>
      <c r="C83" s="823" t="s">
        <v>192</v>
      </c>
      <c r="D83" s="823" t="s">
        <v>2966</v>
      </c>
      <c r="F83" s="417" t="s">
        <v>2653</v>
      </c>
      <c r="G83" s="417" t="s">
        <v>2929</v>
      </c>
    </row>
    <row r="84" spans="2:7">
      <c r="B84" s="823" t="s">
        <v>613</v>
      </c>
      <c r="C84" s="824" t="s">
        <v>2081</v>
      </c>
      <c r="D84" s="824" t="s">
        <v>2968</v>
      </c>
      <c r="F84" s="417" t="s">
        <v>2653</v>
      </c>
      <c r="G84" s="417" t="s">
        <v>358</v>
      </c>
    </row>
    <row r="85" spans="2:7">
      <c r="B85" s="823" t="s">
        <v>37</v>
      </c>
      <c r="C85" s="824" t="s">
        <v>2159</v>
      </c>
      <c r="D85" s="824" t="s">
        <v>2968</v>
      </c>
      <c r="F85" s="417" t="s">
        <v>2653</v>
      </c>
      <c r="G85" s="417" t="s">
        <v>297</v>
      </c>
    </row>
    <row r="86" spans="2:7">
      <c r="B86" s="823" t="s">
        <v>37</v>
      </c>
      <c r="C86" s="824" t="s">
        <v>141</v>
      </c>
      <c r="D86" s="824" t="s">
        <v>2968</v>
      </c>
      <c r="F86" s="417" t="s">
        <v>2653</v>
      </c>
      <c r="G86" s="417" t="s">
        <v>241</v>
      </c>
    </row>
    <row r="87" spans="2:7">
      <c r="B87" s="823" t="s">
        <v>37</v>
      </c>
      <c r="C87" s="824" t="s">
        <v>2081</v>
      </c>
      <c r="D87" s="824" t="s">
        <v>2968</v>
      </c>
    </row>
    <row r="88" spans="2:7">
      <c r="B88" s="823" t="s">
        <v>37</v>
      </c>
      <c r="C88" s="824" t="s">
        <v>2649</v>
      </c>
      <c r="D88" s="824" t="s">
        <v>2968</v>
      </c>
    </row>
    <row r="89" spans="2:7">
      <c r="B89" s="823" t="s">
        <v>37</v>
      </c>
      <c r="C89" s="824" t="s">
        <v>2927</v>
      </c>
      <c r="D89" s="824" t="s">
        <v>2968</v>
      </c>
    </row>
    <row r="90" spans="2:7">
      <c r="B90" s="823" t="s">
        <v>37</v>
      </c>
      <c r="C90" s="824" t="s">
        <v>2148</v>
      </c>
      <c r="D90" s="824" t="s">
        <v>2968</v>
      </c>
    </row>
    <row r="91" spans="2:7">
      <c r="B91" s="823" t="s">
        <v>2707</v>
      </c>
      <c r="C91" s="824" t="s">
        <v>311</v>
      </c>
      <c r="D91" s="824" t="s">
        <v>2968</v>
      </c>
    </row>
    <row r="92" spans="2:7">
      <c r="B92" s="823" t="s">
        <v>2703</v>
      </c>
      <c r="C92" s="824" t="s">
        <v>311</v>
      </c>
      <c r="D92" s="824" t="s">
        <v>2968</v>
      </c>
    </row>
    <row r="93" spans="2:7">
      <c r="B93" s="823" t="s">
        <v>2703</v>
      </c>
      <c r="C93" s="823" t="s">
        <v>2932</v>
      </c>
      <c r="D93" s="824" t="s">
        <v>2968</v>
      </c>
    </row>
    <row r="94" spans="2:7">
      <c r="B94" s="823" t="s">
        <v>304</v>
      </c>
      <c r="C94" s="824" t="s">
        <v>369</v>
      </c>
      <c r="D94" s="824" t="s">
        <v>2968</v>
      </c>
    </row>
    <row r="95" spans="2:7">
      <c r="B95" s="823" t="s">
        <v>304</v>
      </c>
      <c r="C95" s="824" t="s">
        <v>2805</v>
      </c>
      <c r="D95" s="824" t="s">
        <v>2968</v>
      </c>
    </row>
    <row r="96" spans="2:7">
      <c r="B96" s="823" t="s">
        <v>304</v>
      </c>
      <c r="C96" s="824" t="s">
        <v>303</v>
      </c>
      <c r="D96" s="824" t="s">
        <v>2968</v>
      </c>
    </row>
    <row r="97" spans="2:4">
      <c r="B97" s="823" t="s">
        <v>304</v>
      </c>
      <c r="C97" s="824" t="s">
        <v>315</v>
      </c>
      <c r="D97" s="824" t="s">
        <v>2968</v>
      </c>
    </row>
    <row r="98" spans="2:4">
      <c r="B98" s="823" t="s">
        <v>304</v>
      </c>
      <c r="C98" s="824" t="s">
        <v>2081</v>
      </c>
      <c r="D98" s="824" t="s">
        <v>2968</v>
      </c>
    </row>
    <row r="99" spans="2:4">
      <c r="B99" s="823" t="s">
        <v>304</v>
      </c>
      <c r="C99" s="824" t="s">
        <v>2937</v>
      </c>
      <c r="D99" s="824" t="s">
        <v>2968</v>
      </c>
    </row>
    <row r="100" spans="2:4">
      <c r="B100" s="823" t="s">
        <v>304</v>
      </c>
      <c r="C100" s="824" t="s">
        <v>297</v>
      </c>
      <c r="D100" s="824" t="s">
        <v>2968</v>
      </c>
    </row>
    <row r="101" spans="2:4">
      <c r="B101" s="823" t="s">
        <v>304</v>
      </c>
      <c r="C101" s="824" t="s">
        <v>2938</v>
      </c>
      <c r="D101" s="824" t="s">
        <v>2968</v>
      </c>
    </row>
    <row r="102" spans="2:4">
      <c r="B102" s="823" t="s">
        <v>304</v>
      </c>
      <c r="C102" s="824" t="s">
        <v>276</v>
      </c>
      <c r="D102" s="824" t="s">
        <v>2968</v>
      </c>
    </row>
    <row r="103" spans="2:4">
      <c r="B103" s="823" t="s">
        <v>304</v>
      </c>
      <c r="C103" s="824" t="s">
        <v>2939</v>
      </c>
      <c r="D103" s="824" t="s">
        <v>2968</v>
      </c>
    </row>
    <row r="104" spans="2:4">
      <c r="B104" s="823" t="s">
        <v>304</v>
      </c>
      <c r="C104" s="824" t="s">
        <v>241</v>
      </c>
      <c r="D104" s="824" t="s">
        <v>2968</v>
      </c>
    </row>
    <row r="105" spans="2:4">
      <c r="B105" s="823" t="s">
        <v>515</v>
      </c>
      <c r="C105" s="824" t="s">
        <v>2940</v>
      </c>
      <c r="D105" s="824" t="s">
        <v>2968</v>
      </c>
    </row>
    <row r="106" spans="2:4">
      <c r="B106" s="823" t="s">
        <v>515</v>
      </c>
      <c r="C106" s="824" t="s">
        <v>36</v>
      </c>
      <c r="D106" s="824" t="s">
        <v>2968</v>
      </c>
    </row>
    <row r="107" spans="2:4">
      <c r="B107" s="823" t="s">
        <v>515</v>
      </c>
      <c r="C107" s="824" t="s">
        <v>2931</v>
      </c>
      <c r="D107" s="824" t="s">
        <v>2968</v>
      </c>
    </row>
    <row r="108" spans="2:4">
      <c r="B108" s="823" t="s">
        <v>515</v>
      </c>
      <c r="C108" s="824" t="s">
        <v>2967</v>
      </c>
      <c r="D108" s="824" t="s">
        <v>2968</v>
      </c>
    </row>
  </sheetData>
  <pageMargins left="0.7" right="0.7" top="0.75" bottom="0.75" header="0.3" footer="0.3"/>
  <tableParts count="2">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167"/>
  <sheetViews>
    <sheetView showGridLines="0" view="pageBreakPreview" topLeftCell="A22" zoomScale="90" zoomScaleNormal="60" zoomScaleSheetLayoutView="90" workbookViewId="0">
      <selection activeCell="D47" sqref="D47"/>
    </sheetView>
  </sheetViews>
  <sheetFormatPr defaultColWidth="9" defaultRowHeight="13"/>
  <cols>
    <col min="1" max="1" width="1.1640625" style="17" customWidth="1"/>
    <col min="2" max="2" width="14.83203125" style="17" customWidth="1"/>
    <col min="3" max="3" width="23.1640625" style="17" customWidth="1"/>
    <col min="4" max="4" width="9.08203125" style="17" customWidth="1"/>
    <col min="5" max="5" width="13.08203125" style="17" customWidth="1"/>
    <col min="6" max="6" width="11.33203125" style="17" customWidth="1"/>
    <col min="7" max="7" width="12.08203125" style="17" customWidth="1"/>
    <col min="8" max="8" width="12.1640625" style="17" customWidth="1"/>
    <col min="9" max="11" width="9" style="17"/>
    <col min="12" max="12" width="8" style="17" customWidth="1"/>
    <col min="13" max="13" width="11.58203125" style="17" customWidth="1"/>
    <col min="14" max="14" width="8" style="17" customWidth="1"/>
    <col min="15" max="15" width="14.08203125" style="17" customWidth="1"/>
    <col min="16" max="16" width="22.6640625" style="17" customWidth="1"/>
    <col min="17" max="17" width="8" style="17" customWidth="1"/>
    <col min="18" max="19" width="9" style="17"/>
    <col min="20" max="20" width="5" style="17" customWidth="1"/>
    <col min="21" max="21" width="1.6640625" style="17" customWidth="1"/>
    <col min="22" max="26" width="8.08203125" style="17" customWidth="1"/>
    <col min="27" max="27" width="16.08203125" style="17" bestFit="1" customWidth="1"/>
    <col min="28" max="28" width="9" style="17"/>
    <col min="29" max="29" width="21.6640625" style="17" bestFit="1" customWidth="1"/>
    <col min="30" max="30" width="7.1640625" style="17" customWidth="1"/>
    <col min="31" max="16384" width="9" style="17"/>
  </cols>
  <sheetData>
    <row r="1" spans="2:32" ht="42.75" customHeight="1">
      <c r="B1" s="1161" t="s">
        <v>3253</v>
      </c>
      <c r="C1" s="1161"/>
      <c r="D1" s="1161"/>
      <c r="E1" s="1161"/>
      <c r="F1" s="1161"/>
      <c r="G1" s="1161"/>
      <c r="H1" s="1161"/>
      <c r="I1" s="1161"/>
      <c r="J1" s="1161"/>
      <c r="K1" s="1161"/>
      <c r="L1" s="1161"/>
      <c r="M1" s="1161"/>
      <c r="N1" s="1161"/>
      <c r="O1" s="1161"/>
      <c r="P1" s="1161"/>
      <c r="Q1" s="1161"/>
      <c r="R1" s="1161"/>
      <c r="S1" s="1161"/>
      <c r="T1" s="1161"/>
      <c r="U1" s="156"/>
      <c r="V1" s="156"/>
      <c r="W1" s="156"/>
      <c r="X1" s="156"/>
      <c r="Y1" s="156"/>
      <c r="Z1" s="156"/>
      <c r="AA1" s="156"/>
      <c r="AB1" s="156"/>
      <c r="AC1" s="156"/>
      <c r="AD1" s="156"/>
      <c r="AE1" s="156"/>
      <c r="AF1" s="156"/>
    </row>
    <row r="26" ht="20.25" customHeight="1"/>
    <row r="29" ht="20.25" customHeight="1"/>
    <row r="31" ht="29.25" customHeight="1"/>
    <row r="34" spans="1:25" ht="39">
      <c r="B34" s="679" t="s">
        <v>2357</v>
      </c>
      <c r="C34" s="679" t="s">
        <v>1497</v>
      </c>
      <c r="D34" s="680" t="s">
        <v>2571</v>
      </c>
      <c r="E34" s="681" t="s">
        <v>1487</v>
      </c>
      <c r="F34" s="681" t="s">
        <v>1498</v>
      </c>
      <c r="G34" s="681" t="s">
        <v>1499</v>
      </c>
      <c r="H34" s="681" t="s">
        <v>1500</v>
      </c>
    </row>
    <row r="35" spans="1:25" ht="29">
      <c r="B35" s="151" t="s">
        <v>195</v>
      </c>
      <c r="C35" s="1066" t="s">
        <v>3248</v>
      </c>
      <c r="D35" s="808">
        <v>10</v>
      </c>
      <c r="E35" s="809">
        <v>6622</v>
      </c>
      <c r="F35" s="812">
        <v>4.8927816369676802E-2</v>
      </c>
      <c r="G35" s="812">
        <v>0.14315916641498039</v>
      </c>
      <c r="H35" s="813">
        <v>0.22757475083056478</v>
      </c>
    </row>
    <row r="36" spans="1:25" ht="14.5">
      <c r="B36" s="164" t="s">
        <v>146</v>
      </c>
      <c r="C36" s="1067" t="s">
        <v>3249</v>
      </c>
      <c r="D36" s="808">
        <v>3</v>
      </c>
      <c r="E36" s="809">
        <v>2664</v>
      </c>
      <c r="F36" s="812">
        <v>0.4035285285285285</v>
      </c>
      <c r="G36" s="812">
        <v>0.42942942942942941</v>
      </c>
      <c r="H36" s="814">
        <v>0.10472972972972971</v>
      </c>
    </row>
    <row r="37" spans="1:25" ht="25.5" customHeight="1">
      <c r="B37" s="164" t="s">
        <v>148</v>
      </c>
      <c r="C37" s="1067" t="s">
        <v>3250</v>
      </c>
      <c r="D37" s="808">
        <v>19</v>
      </c>
      <c r="E37" s="809">
        <v>3892</v>
      </c>
      <c r="F37" s="812">
        <v>2.1582733812949617E-2</v>
      </c>
      <c r="G37" s="812">
        <v>0.18833504624871533</v>
      </c>
      <c r="H37" s="814">
        <v>0.1238437821171634</v>
      </c>
    </row>
    <row r="38" spans="1:25" ht="14.5">
      <c r="B38" s="685" t="s">
        <v>38</v>
      </c>
      <c r="C38" s="1022" t="s">
        <v>3204</v>
      </c>
      <c r="D38" s="810">
        <v>8</v>
      </c>
      <c r="E38" s="811">
        <v>7828</v>
      </c>
      <c r="F38" s="815">
        <v>0.20494804973599046</v>
      </c>
      <c r="G38" s="815">
        <v>0.10717935615738372</v>
      </c>
      <c r="H38" s="816">
        <v>0.42692897291773124</v>
      </c>
    </row>
    <row r="39" spans="1:25" ht="14.5">
      <c r="B39" s="164" t="s">
        <v>152</v>
      </c>
      <c r="C39" s="1022" t="s">
        <v>3201</v>
      </c>
      <c r="D39" s="808">
        <v>8</v>
      </c>
      <c r="E39" s="809">
        <v>1686</v>
      </c>
      <c r="F39" s="812">
        <v>0</v>
      </c>
      <c r="G39" s="812">
        <v>0.20937129300118629</v>
      </c>
      <c r="H39" s="814">
        <v>0.22182680901542107</v>
      </c>
    </row>
    <row r="40" spans="1:25" ht="14.5">
      <c r="B40" s="164" t="s">
        <v>157</v>
      </c>
      <c r="C40" s="1012" t="s">
        <v>3148</v>
      </c>
      <c r="D40" s="808">
        <v>1</v>
      </c>
      <c r="E40" s="809">
        <v>127</v>
      </c>
      <c r="F40" s="812">
        <v>0</v>
      </c>
      <c r="G40" s="812">
        <v>0.21259842519685035</v>
      </c>
      <c r="H40" s="814">
        <v>1</v>
      </c>
    </row>
    <row r="41" spans="1:25" ht="29">
      <c r="B41" s="164" t="s">
        <v>205</v>
      </c>
      <c r="C41" s="1022" t="s">
        <v>3205</v>
      </c>
      <c r="D41" s="808">
        <v>17</v>
      </c>
      <c r="E41" s="809">
        <v>21506</v>
      </c>
      <c r="F41" s="812">
        <v>0.46134412102049038</v>
      </c>
      <c r="G41" s="812">
        <v>0.19473635264577327</v>
      </c>
      <c r="H41" s="814">
        <v>0.25811401469357387</v>
      </c>
    </row>
    <row r="42" spans="1:25" ht="29">
      <c r="B42" s="164" t="s">
        <v>159</v>
      </c>
      <c r="C42" s="1067" t="s">
        <v>3251</v>
      </c>
      <c r="D42" s="808">
        <v>25</v>
      </c>
      <c r="E42" s="809">
        <v>11019</v>
      </c>
      <c r="F42" s="812">
        <v>0</v>
      </c>
      <c r="G42" s="812">
        <v>0.283238043379617</v>
      </c>
      <c r="H42" s="814">
        <v>0.47481622651783284</v>
      </c>
    </row>
    <row r="43" spans="1:25" ht="14.5">
      <c r="B43" s="164" t="s">
        <v>214</v>
      </c>
      <c r="C43" s="1022" t="s">
        <v>3206</v>
      </c>
      <c r="D43" s="808">
        <v>3</v>
      </c>
      <c r="E43" s="809">
        <v>1879</v>
      </c>
      <c r="F43" s="812">
        <v>0</v>
      </c>
      <c r="G43" s="812">
        <v>0.69877594465141035</v>
      </c>
      <c r="H43" s="814">
        <v>0.84034060670569455</v>
      </c>
    </row>
    <row r="44" spans="1:25" ht="14.5">
      <c r="B44" s="164" t="s">
        <v>184</v>
      </c>
      <c r="C44" s="1012" t="s">
        <v>3148</v>
      </c>
      <c r="D44" s="808">
        <v>2</v>
      </c>
      <c r="E44" s="809">
        <v>1035</v>
      </c>
      <c r="F44" s="812">
        <v>0</v>
      </c>
      <c r="G44" s="812">
        <v>0</v>
      </c>
      <c r="H44" s="814">
        <v>0.51690821256038655</v>
      </c>
    </row>
    <row r="45" spans="1:25" ht="15.5">
      <c r="B45" s="164" t="s">
        <v>863</v>
      </c>
      <c r="C45" s="1022" t="s">
        <v>3200</v>
      </c>
      <c r="D45" s="808">
        <v>3</v>
      </c>
      <c r="E45" s="809">
        <v>1215</v>
      </c>
      <c r="F45" s="812">
        <v>0</v>
      </c>
      <c r="G45" s="812">
        <v>0.61069958847736627</v>
      </c>
      <c r="H45" s="814">
        <v>0.44526748971193419</v>
      </c>
      <c r="V45" s="417"/>
      <c r="W45" s="417"/>
      <c r="X45" s="417"/>
      <c r="Y45" s="417"/>
    </row>
    <row r="46" spans="1:25" ht="29.5" thickBot="1">
      <c r="B46" s="630" t="s">
        <v>142</v>
      </c>
      <c r="C46" s="1067" t="s">
        <v>3252</v>
      </c>
      <c r="D46" s="808">
        <v>24</v>
      </c>
      <c r="E46" s="809">
        <v>27962</v>
      </c>
      <c r="F46" s="812">
        <v>0.50678301504422674</v>
      </c>
      <c r="G46" s="812">
        <v>0.31317502324583368</v>
      </c>
      <c r="H46" s="813">
        <v>0.47575280738144621</v>
      </c>
      <c r="V46" s="417"/>
      <c r="W46" s="417"/>
      <c r="X46" s="417"/>
      <c r="Y46" s="417"/>
    </row>
    <row r="47" spans="1:25" ht="18.75" customHeight="1" thickTop="1">
      <c r="A47" s="627"/>
      <c r="B47" s="674"/>
      <c r="C47" s="675" t="s">
        <v>1488</v>
      </c>
      <c r="D47" s="676">
        <v>123</v>
      </c>
      <c r="E47" s="676">
        <v>87435</v>
      </c>
      <c r="F47" s="802">
        <v>0.31085568326947632</v>
      </c>
      <c r="G47" s="802">
        <v>0.25350260193286445</v>
      </c>
      <c r="H47" s="807">
        <v>0.37573054268885453</v>
      </c>
      <c r="Y47" s="417"/>
    </row>
    <row r="48" spans="1:25" ht="18.75" customHeight="1">
      <c r="A48" s="628"/>
      <c r="Y48" s="417"/>
    </row>
    <row r="49" spans="1:27" ht="15.5">
      <c r="A49" s="1003"/>
      <c r="Y49" s="417"/>
    </row>
    <row r="50" spans="1:27" ht="18.75" customHeight="1">
      <c r="A50" s="1004"/>
      <c r="Y50" s="417"/>
    </row>
    <row r="51" spans="1:27" ht="18.75" customHeight="1">
      <c r="A51" s="1004"/>
      <c r="Y51" s="417"/>
    </row>
    <row r="52" spans="1:27" ht="18.75" customHeight="1">
      <c r="A52" s="1004"/>
      <c r="Y52" s="417"/>
    </row>
    <row r="53" spans="1:27" ht="18.75" customHeight="1">
      <c r="A53" s="1004"/>
      <c r="Y53" s="417"/>
    </row>
    <row r="54" spans="1:27" ht="15.5">
      <c r="A54" s="627"/>
      <c r="Y54" s="417"/>
    </row>
    <row r="55" spans="1:27" ht="25.75" customHeight="1">
      <c r="A55" s="628"/>
      <c r="Y55" s="417"/>
    </row>
    <row r="56" spans="1:27" ht="15.5">
      <c r="A56" s="628"/>
      <c r="Y56" s="417"/>
    </row>
    <row r="57" spans="1:27" ht="18.75" customHeight="1">
      <c r="A57" s="627"/>
      <c r="Y57" s="417"/>
    </row>
    <row r="58" spans="1:27" ht="18.75" customHeight="1">
      <c r="A58" s="629"/>
      <c r="Y58" s="417"/>
    </row>
    <row r="59" spans="1:27" ht="31" customHeight="1">
      <c r="A59" s="628"/>
      <c r="Y59" s="417"/>
    </row>
    <row r="60" spans="1:27" ht="28.5" customHeight="1">
      <c r="A60" s="627"/>
      <c r="Y60" s="417"/>
    </row>
    <row r="61" spans="1:27" ht="11" customHeight="1">
      <c r="V61" s="417"/>
      <c r="W61" s="417"/>
      <c r="X61" s="417"/>
      <c r="Y61" s="417"/>
    </row>
    <row r="62" spans="1:27" ht="40.5" customHeight="1">
      <c r="Y62"/>
      <c r="Z62"/>
      <c r="AA62"/>
    </row>
    <row r="63" spans="1:27" ht="15.5">
      <c r="Y63" s="417"/>
      <c r="Z63" s="417"/>
      <c r="AA63" s="417"/>
    </row>
    <row r="64" spans="1:27" ht="15.5">
      <c r="Y64" s="417"/>
      <c r="Z64" s="417"/>
      <c r="AA64" s="417"/>
    </row>
    <row r="65" spans="2:27" ht="15.5">
      <c r="Y65"/>
      <c r="Z65"/>
      <c r="AA65"/>
    </row>
    <row r="66" spans="2:27" ht="15.5">
      <c r="Y66"/>
      <c r="Z66"/>
      <c r="AA66"/>
    </row>
    <row r="67" spans="2:27" ht="15.5">
      <c r="B67"/>
      <c r="C67"/>
      <c r="Y67"/>
      <c r="Z67"/>
      <c r="AA67"/>
    </row>
    <row r="68" spans="2:27" ht="15.5">
      <c r="B68"/>
      <c r="C68"/>
      <c r="Y68"/>
      <c r="Z68"/>
      <c r="AA68"/>
    </row>
    <row r="69" spans="2:27" ht="15.5">
      <c r="B69"/>
      <c r="C69"/>
      <c r="Y69"/>
      <c r="Z69"/>
      <c r="AA69"/>
    </row>
    <row r="70" spans="2:27" ht="15.5">
      <c r="B70"/>
      <c r="C70"/>
      <c r="Y70"/>
      <c r="Z70"/>
      <c r="AA70"/>
    </row>
    <row r="71" spans="2:27" ht="15.5">
      <c r="B71"/>
      <c r="C71"/>
      <c r="Y71"/>
      <c r="Z71"/>
      <c r="AA71"/>
    </row>
    <row r="72" spans="2:27" ht="15.5">
      <c r="B72"/>
      <c r="C72"/>
      <c r="Y72"/>
      <c r="Z72"/>
      <c r="AA72"/>
    </row>
    <row r="73" spans="2:27" ht="15.5">
      <c r="B73"/>
      <c r="C73"/>
      <c r="Y73"/>
      <c r="Z73"/>
      <c r="AA73"/>
    </row>
    <row r="74" spans="2:27" ht="15.5">
      <c r="B74"/>
      <c r="C74"/>
      <c r="Y74"/>
      <c r="Z74"/>
      <c r="AA74"/>
    </row>
    <row r="75" spans="2:27" ht="23.5" customHeight="1">
      <c r="B75"/>
      <c r="C75"/>
      <c r="Y75"/>
      <c r="Z75"/>
      <c r="AA75"/>
    </row>
    <row r="76" spans="2:27" ht="15.5">
      <c r="Y76"/>
      <c r="Z76"/>
      <c r="AA76"/>
    </row>
    <row r="77" spans="2:27" ht="15.5">
      <c r="Y77"/>
      <c r="Z77"/>
      <c r="AA77"/>
    </row>
    <row r="78" spans="2:27" ht="15.5">
      <c r="Y78"/>
      <c r="Z78"/>
      <c r="AA78"/>
    </row>
    <row r="79" spans="2:27" ht="15.5">
      <c r="Y79"/>
      <c r="Z79"/>
      <c r="AA79"/>
    </row>
    <row r="80" spans="2:27" ht="15.5">
      <c r="V80" s="756"/>
      <c r="Y80"/>
      <c r="Z80"/>
      <c r="AA80"/>
    </row>
    <row r="81" spans="25:27" ht="15.5">
      <c r="Y81"/>
      <c r="Z81"/>
      <c r="AA81"/>
    </row>
    <row r="82" spans="25:27" ht="15.5">
      <c r="Y82"/>
      <c r="Z82"/>
      <c r="AA82"/>
    </row>
    <row r="83" spans="25:27" ht="15.5">
      <c r="Y83"/>
      <c r="Z83"/>
      <c r="AA83"/>
    </row>
    <row r="84" spans="25:27" ht="15.5">
      <c r="Y84"/>
      <c r="Z84"/>
      <c r="AA84"/>
    </row>
    <row r="85" spans="25:27" ht="15.5">
      <c r="Y85"/>
      <c r="Z85"/>
      <c r="AA85"/>
    </row>
    <row r="86" spans="25:27" ht="15.5">
      <c r="Y86"/>
      <c r="Z86"/>
      <c r="AA86"/>
    </row>
    <row r="87" spans="25:27" ht="15.5">
      <c r="Y87"/>
      <c r="Z87"/>
      <c r="AA87"/>
    </row>
    <row r="88" spans="25:27" ht="15.5">
      <c r="Y88"/>
      <c r="Z88"/>
      <c r="AA88"/>
    </row>
    <row r="89" spans="25:27" ht="15.5">
      <c r="Y89"/>
      <c r="Z89"/>
      <c r="AA89"/>
    </row>
    <row r="90" spans="25:27" ht="15.5">
      <c r="Y90"/>
      <c r="Z90"/>
      <c r="AA90"/>
    </row>
    <row r="91" spans="25:27" ht="15.5">
      <c r="Y91"/>
      <c r="Z91"/>
      <c r="AA91"/>
    </row>
    <row r="92" spans="25:27" ht="15.5">
      <c r="Y92"/>
      <c r="Z92"/>
      <c r="AA92"/>
    </row>
    <row r="93" spans="25:27" ht="15.5">
      <c r="Y93"/>
      <c r="Z93"/>
      <c r="AA93"/>
    </row>
    <row r="94" spans="25:27" ht="15.5">
      <c r="Y94"/>
      <c r="Z94"/>
      <c r="AA94"/>
    </row>
    <row r="95" spans="25:27" ht="15.5">
      <c r="Y95"/>
      <c r="Z95"/>
      <c r="AA95"/>
    </row>
    <row r="96" spans="25:27" ht="15.5">
      <c r="Y96"/>
      <c r="Z96"/>
      <c r="AA96"/>
    </row>
    <row r="97" spans="25:27" ht="15.5">
      <c r="Y97"/>
      <c r="Z97"/>
      <c r="AA97"/>
    </row>
    <row r="98" spans="25:27" ht="15.5">
      <c r="Y98"/>
      <c r="Z98"/>
      <c r="AA98"/>
    </row>
    <row r="99" spans="25:27" ht="15.5">
      <c r="Y99"/>
      <c r="Z99"/>
      <c r="AA99"/>
    </row>
    <row r="100" spans="25:27" ht="15.5">
      <c r="Y100"/>
      <c r="Z100"/>
      <c r="AA100"/>
    </row>
    <row r="101" spans="25:27" ht="15.5">
      <c r="Y101"/>
      <c r="Z101"/>
      <c r="AA101"/>
    </row>
    <row r="102" spans="25:27" ht="15.5">
      <c r="Y102"/>
      <c r="Z102"/>
      <c r="AA102"/>
    </row>
    <row r="103" spans="25:27" ht="15.5">
      <c r="Y103"/>
      <c r="Z103"/>
      <c r="AA103"/>
    </row>
    <row r="104" spans="25:27" ht="15.5">
      <c r="Y104"/>
      <c r="Z104"/>
      <c r="AA104"/>
    </row>
    <row r="105" spans="25:27" ht="15.5">
      <c r="Y105"/>
      <c r="Z105"/>
      <c r="AA105"/>
    </row>
    <row r="106" spans="25:27" ht="26.5" customHeight="1">
      <c r="Y106"/>
      <c r="Z106"/>
      <c r="AA106"/>
    </row>
    <row r="107" spans="25:27" ht="15.5">
      <c r="Y107"/>
      <c r="Z107"/>
      <c r="AA107"/>
    </row>
    <row r="108" spans="25:27" ht="15.5">
      <c r="Y108"/>
      <c r="Z108"/>
      <c r="AA108"/>
    </row>
    <row r="109" spans="25:27" ht="15.5">
      <c r="Y109"/>
      <c r="Z109"/>
      <c r="AA109"/>
    </row>
    <row r="110" spans="25:27" ht="15.5">
      <c r="Y110"/>
      <c r="Z110"/>
      <c r="AA110"/>
    </row>
    <row r="111" spans="25:27" ht="15.5">
      <c r="Y111"/>
      <c r="Z111"/>
      <c r="AA111"/>
    </row>
    <row r="112" spans="25:27" ht="15.5">
      <c r="Y112"/>
      <c r="Z112"/>
      <c r="AA112"/>
    </row>
    <row r="113" spans="25:27" ht="15.5">
      <c r="Y113"/>
      <c r="Z113"/>
      <c r="AA113"/>
    </row>
    <row r="114" spans="25:27" ht="15.5">
      <c r="Y114"/>
      <c r="Z114"/>
      <c r="AA114"/>
    </row>
    <row r="115" spans="25:27" ht="15.5">
      <c r="Y115"/>
      <c r="Z115"/>
      <c r="AA115"/>
    </row>
    <row r="116" spans="25:27" ht="15.5">
      <c r="Y116"/>
      <c r="Z116"/>
      <c r="AA116"/>
    </row>
    <row r="117" spans="25:27" ht="15.5">
      <c r="Y117"/>
      <c r="Z117"/>
      <c r="AA117"/>
    </row>
    <row r="118" spans="25:27" ht="15.5">
      <c r="Y118"/>
      <c r="Z118"/>
      <c r="AA118"/>
    </row>
    <row r="119" spans="25:27" ht="15.5">
      <c r="Y119"/>
      <c r="Z119"/>
      <c r="AA119"/>
    </row>
    <row r="120" spans="25:27" ht="15.5">
      <c r="Y120"/>
      <c r="Z120"/>
      <c r="AA120"/>
    </row>
    <row r="121" spans="25:27" ht="15.5">
      <c r="Y121"/>
      <c r="Z121"/>
      <c r="AA121"/>
    </row>
    <row r="122" spans="25:27" ht="15.5">
      <c r="Y122"/>
      <c r="Z122"/>
      <c r="AA122"/>
    </row>
    <row r="123" spans="25:27" ht="15.5">
      <c r="Y123"/>
      <c r="Z123"/>
      <c r="AA123"/>
    </row>
    <row r="124" spans="25:27" ht="15.5">
      <c r="Y124"/>
      <c r="Z124"/>
      <c r="AA124"/>
    </row>
    <row r="125" spans="25:27" ht="15.5">
      <c r="Y125"/>
      <c r="Z125"/>
      <c r="AA125"/>
    </row>
    <row r="126" spans="25:27" ht="15.5">
      <c r="Y126"/>
      <c r="Z126"/>
      <c r="AA126"/>
    </row>
    <row r="127" spans="25:27" ht="15.5">
      <c r="Y127"/>
      <c r="Z127"/>
      <c r="AA127"/>
    </row>
    <row r="128" spans="25:27" ht="15.5">
      <c r="Y128"/>
      <c r="Z128"/>
      <c r="AA128"/>
    </row>
    <row r="129" spans="25:27" ht="15.5">
      <c r="Y129"/>
      <c r="Z129"/>
      <c r="AA129"/>
    </row>
    <row r="130" spans="25:27" ht="15.5">
      <c r="Y130"/>
      <c r="Z130"/>
      <c r="AA130"/>
    </row>
    <row r="131" spans="25:27" ht="15.5">
      <c r="Y131"/>
      <c r="Z131"/>
      <c r="AA131"/>
    </row>
    <row r="132" spans="25:27" ht="15.5">
      <c r="Y132"/>
      <c r="Z132"/>
      <c r="AA132"/>
    </row>
    <row r="133" spans="25:27" ht="15.5">
      <c r="Y133"/>
      <c r="Z133"/>
    </row>
    <row r="134" spans="25:27" ht="15.5">
      <c r="Y134"/>
      <c r="Z134"/>
    </row>
    <row r="135" spans="25:27" ht="15.5">
      <c r="Y135"/>
      <c r="Z135"/>
    </row>
    <row r="136" spans="25:27" ht="15.5">
      <c r="Y136"/>
      <c r="Z136"/>
    </row>
    <row r="137" spans="25:27" ht="15.5">
      <c r="Y137"/>
      <c r="Z137"/>
    </row>
    <row r="138" spans="25:27" ht="15.5">
      <c r="Y138"/>
      <c r="Z138"/>
    </row>
    <row r="139" spans="25:27" ht="15.5">
      <c r="Y139"/>
      <c r="Z139"/>
    </row>
    <row r="140" spans="25:27" ht="15.5">
      <c r="Y140"/>
      <c r="Z140"/>
    </row>
    <row r="141" spans="25:27" ht="15.5">
      <c r="Y141"/>
      <c r="Z141"/>
    </row>
    <row r="142" spans="25:27" ht="15.5">
      <c r="Y142"/>
      <c r="Z142"/>
    </row>
    <row r="143" spans="25:27" ht="15.5">
      <c r="Y143"/>
      <c r="Z143"/>
    </row>
    <row r="144" spans="25:27" ht="15.5">
      <c r="Y144"/>
      <c r="Z144"/>
    </row>
    <row r="145" spans="25:26" ht="15.5">
      <c r="Y145"/>
      <c r="Z145"/>
    </row>
    <row r="146" spans="25:26" ht="15.5">
      <c r="Y146"/>
      <c r="Z146"/>
    </row>
    <row r="147" spans="25:26" ht="15.5">
      <c r="Y147"/>
      <c r="Z147"/>
    </row>
    <row r="148" spans="25:26" ht="15.5">
      <c r="Y148"/>
      <c r="Z148"/>
    </row>
    <row r="149" spans="25:26" ht="15.5">
      <c r="Y149"/>
      <c r="Z149"/>
    </row>
    <row r="150" spans="25:26" ht="15.5">
      <c r="Y150"/>
      <c r="Z150"/>
    </row>
    <row r="151" spans="25:26" ht="15.5">
      <c r="Y151"/>
      <c r="Z151"/>
    </row>
    <row r="152" spans="25:26" ht="15.5">
      <c r="Y152"/>
      <c r="Z152"/>
    </row>
    <row r="153" spans="25:26" ht="15.5">
      <c r="Y153"/>
      <c r="Z153"/>
    </row>
    <row r="154" spans="25:26" ht="15.5">
      <c r="Y154"/>
      <c r="Z154"/>
    </row>
    <row r="155" spans="25:26" ht="15.5">
      <c r="Y155"/>
      <c r="Z155"/>
    </row>
    <row r="156" spans="25:26" ht="15.5">
      <c r="Y156"/>
      <c r="Z156"/>
    </row>
    <row r="157" spans="25:26" ht="15.5">
      <c r="Y157"/>
      <c r="Z157"/>
    </row>
    <row r="158" spans="25:26" ht="15.5">
      <c r="Y158"/>
      <c r="Z158"/>
    </row>
    <row r="159" spans="25:26" ht="15.5">
      <c r="Y159"/>
      <c r="Z159"/>
    </row>
    <row r="160" spans="25:26" ht="15.5">
      <c r="Y160"/>
      <c r="Z160"/>
    </row>
    <row r="161" spans="25:26" ht="15.5">
      <c r="Y161"/>
      <c r="Z161"/>
    </row>
    <row r="162" spans="25:26" ht="15.5">
      <c r="Y162"/>
      <c r="Z162"/>
    </row>
    <row r="163" spans="25:26" ht="15.5">
      <c r="Y163"/>
      <c r="Z163"/>
    </row>
    <row r="164" spans="25:26" ht="15.5">
      <c r="Y164"/>
      <c r="Z164"/>
    </row>
    <row r="165" spans="25:26" ht="15.5">
      <c r="Y165"/>
      <c r="Z165"/>
    </row>
    <row r="166" spans="25:26" ht="15.5">
      <c r="Y166"/>
      <c r="Z166"/>
    </row>
    <row r="167" spans="25:26" ht="15.5">
      <c r="Y167"/>
      <c r="Z167"/>
    </row>
  </sheetData>
  <mergeCells count="1">
    <mergeCell ref="B1:T1"/>
  </mergeCells>
  <phoneticPr fontId="150" type="noConversion"/>
  <printOptions horizontalCentered="1" verticalCentered="1"/>
  <pageMargins left="0" right="0" top="0" bottom="0" header="0.3" footer="0.3"/>
  <pageSetup paperSize="9" scale="44" orientation="portrait" r:id="rId1"/>
  <colBreaks count="2" manualBreakCount="2">
    <brk id="13" max="107" man="1"/>
    <brk id="17" max="107" man="1"/>
  </col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3440"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F35:H47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162"/>
  <sheetViews>
    <sheetView showGridLines="0" view="pageBreakPreview" topLeftCell="A28" zoomScale="77" zoomScaleNormal="87" zoomScaleSheetLayoutView="77" workbookViewId="0">
      <selection activeCell="B44" activeCellId="1" sqref="B30:B39 B44"/>
    </sheetView>
  </sheetViews>
  <sheetFormatPr defaultColWidth="9" defaultRowHeight="13"/>
  <cols>
    <col min="1" max="1" width="1.08203125" style="17" customWidth="1"/>
    <col min="2" max="2" width="19.5" style="17" customWidth="1"/>
    <col min="3" max="3" width="20.1640625" style="17" customWidth="1"/>
    <col min="4" max="4" width="8.4140625" style="17" customWidth="1"/>
    <col min="5" max="5" width="11.5" style="17" customWidth="1"/>
    <col min="6" max="6" width="13" style="17" customWidth="1"/>
    <col min="7" max="7" width="11" style="17" customWidth="1"/>
    <col min="8" max="8" width="12.5" style="17" customWidth="1"/>
    <col min="9" max="9" width="1.1640625" style="17" customWidth="1"/>
    <col min="10" max="11" width="9" style="17"/>
    <col min="12" max="12" width="10.6640625" style="17" customWidth="1"/>
    <col min="13" max="13" width="11.6640625" style="17" customWidth="1"/>
    <col min="14" max="14" width="10.1640625" style="17" customWidth="1"/>
    <col min="15" max="15" width="25.1640625" style="17" customWidth="1"/>
    <col min="16" max="16" width="13" style="17" customWidth="1"/>
    <col min="17" max="17" width="10.1640625" style="17" customWidth="1"/>
    <col min="18" max="18" width="9.5" style="17" customWidth="1"/>
    <col min="19" max="19" width="8.08203125" style="17" customWidth="1"/>
    <col min="20" max="20" width="6.6640625" style="17" customWidth="1"/>
    <col min="21" max="23" width="8.08203125" style="17" customWidth="1"/>
    <col min="24" max="24" width="16.08203125" style="17" customWidth="1"/>
    <col min="25" max="25" width="9" style="17"/>
    <col min="26" max="26" width="21.6640625" style="17" customWidth="1"/>
    <col min="27" max="27" width="17.5" style="17" customWidth="1"/>
    <col min="28" max="28" width="9.58203125" style="17" customWidth="1"/>
    <col min="29" max="29" width="1.6640625" style="17" customWidth="1"/>
    <col min="30" max="16384" width="9" style="17"/>
  </cols>
  <sheetData>
    <row r="1" spans="2:32" ht="35.25" customHeight="1">
      <c r="B1" s="1161" t="s">
        <v>3254</v>
      </c>
      <c r="C1" s="1161"/>
      <c r="D1" s="1161"/>
      <c r="E1" s="1161"/>
      <c r="F1" s="1161"/>
      <c r="G1" s="1161"/>
      <c r="H1" s="1161"/>
      <c r="I1" s="1161"/>
      <c r="J1" s="1161"/>
      <c r="K1" s="1161"/>
      <c r="L1" s="1161"/>
      <c r="M1" s="1161"/>
      <c r="N1" s="1161"/>
      <c r="O1" s="1161"/>
      <c r="P1" s="1161"/>
      <c r="Q1" s="1161"/>
      <c r="R1" s="1161"/>
      <c r="S1" s="1161"/>
      <c r="T1" s="156"/>
      <c r="U1" s="156"/>
      <c r="V1" s="156"/>
      <c r="W1" s="156"/>
      <c r="X1" s="156"/>
      <c r="Y1" s="156"/>
      <c r="Z1" s="156"/>
      <c r="AA1" s="156"/>
      <c r="AB1" s="156"/>
      <c r="AC1" s="156"/>
      <c r="AD1" s="156"/>
      <c r="AE1" s="156"/>
      <c r="AF1" s="156"/>
    </row>
    <row r="9" spans="2:32" ht="18" customHeight="1"/>
    <row r="10" spans="2:32" ht="20.25" customHeight="1"/>
    <row r="27" spans="2:8" ht="18" customHeight="1"/>
    <row r="28" spans="2:8" ht="21.75" customHeight="1" thickBot="1"/>
    <row r="29" spans="2:8" ht="44" thickTop="1">
      <c r="B29" s="851" t="s">
        <v>2357</v>
      </c>
      <c r="C29" s="852" t="s">
        <v>1497</v>
      </c>
      <c r="D29" s="853" t="s">
        <v>2571</v>
      </c>
      <c r="E29" s="853" t="s">
        <v>1487</v>
      </c>
      <c r="F29" s="853" t="s">
        <v>1498</v>
      </c>
      <c r="G29" s="853" t="s">
        <v>1499</v>
      </c>
      <c r="H29" s="854" t="s">
        <v>1500</v>
      </c>
    </row>
    <row r="30" spans="2:8" ht="18" customHeight="1">
      <c r="B30" s="855" t="s">
        <v>534</v>
      </c>
      <c r="C30" s="856" t="s">
        <v>192</v>
      </c>
      <c r="D30" s="857">
        <v>2</v>
      </c>
      <c r="E30" s="858">
        <v>401</v>
      </c>
      <c r="F30" s="859">
        <v>0</v>
      </c>
      <c r="G30" s="859">
        <v>0</v>
      </c>
      <c r="H30" s="860">
        <v>0</v>
      </c>
    </row>
    <row r="31" spans="2:8" ht="18" customHeight="1">
      <c r="B31" s="994" t="s">
        <v>556</v>
      </c>
      <c r="C31" s="856" t="s">
        <v>192</v>
      </c>
      <c r="D31" s="995">
        <v>1</v>
      </c>
      <c r="E31" s="996">
        <v>120</v>
      </c>
      <c r="F31" s="997">
        <v>1</v>
      </c>
      <c r="G31" s="997">
        <v>1</v>
      </c>
      <c r="H31" s="998">
        <v>0.625</v>
      </c>
    </row>
    <row r="32" spans="2:8" ht="14.5">
      <c r="B32" s="855" t="s">
        <v>519</v>
      </c>
      <c r="C32" s="856" t="s">
        <v>192</v>
      </c>
      <c r="D32" s="857">
        <v>15</v>
      </c>
      <c r="E32" s="858">
        <v>4714</v>
      </c>
      <c r="F32" s="859">
        <v>6.2084570782067416E-2</v>
      </c>
      <c r="G32" s="859">
        <v>5.1548578701739456E-2</v>
      </c>
      <c r="H32" s="860">
        <v>0.21913449299957577</v>
      </c>
    </row>
    <row r="33" spans="1:25" ht="14.5">
      <c r="B33" s="855" t="s">
        <v>960</v>
      </c>
      <c r="C33" s="856" t="s">
        <v>192</v>
      </c>
      <c r="D33" s="857">
        <v>5</v>
      </c>
      <c r="E33" s="858">
        <v>304</v>
      </c>
      <c r="F33" s="859">
        <v>0.32565789473684215</v>
      </c>
      <c r="G33" s="859">
        <v>0</v>
      </c>
      <c r="H33" s="860">
        <v>1</v>
      </c>
    </row>
    <row r="34" spans="1:25" ht="14.5">
      <c r="A34" s="74"/>
      <c r="B34" s="855" t="s">
        <v>961</v>
      </c>
      <c r="C34" s="856" t="s">
        <v>192</v>
      </c>
      <c r="D34" s="857">
        <v>2</v>
      </c>
      <c r="E34" s="858">
        <v>572</v>
      </c>
      <c r="F34" s="859">
        <v>0.7033799533799534</v>
      </c>
      <c r="G34" s="859">
        <v>0.81993006993006989</v>
      </c>
      <c r="H34" s="860">
        <v>1</v>
      </c>
    </row>
    <row r="35" spans="1:25" ht="18.75" customHeight="1">
      <c r="A35" s="74"/>
      <c r="B35" s="855" t="s">
        <v>963</v>
      </c>
      <c r="C35" s="856" t="s">
        <v>2159</v>
      </c>
      <c r="D35" s="857">
        <v>1</v>
      </c>
      <c r="E35" s="858">
        <v>1674</v>
      </c>
      <c r="F35" s="859">
        <v>4.4205495818399054E-2</v>
      </c>
      <c r="G35" s="859">
        <v>0.64157706093189959</v>
      </c>
      <c r="H35" s="860">
        <v>1</v>
      </c>
    </row>
    <row r="36" spans="1:25" ht="18.75" customHeight="1">
      <c r="A36" s="74"/>
      <c r="B36" s="855" t="s">
        <v>522</v>
      </c>
      <c r="C36" s="856" t="s">
        <v>2356</v>
      </c>
      <c r="D36" s="857">
        <v>2</v>
      </c>
      <c r="E36" s="858">
        <v>282</v>
      </c>
      <c r="F36" s="859">
        <v>0</v>
      </c>
      <c r="G36" s="859">
        <v>0</v>
      </c>
      <c r="H36" s="860">
        <v>0</v>
      </c>
    </row>
    <row r="37" spans="1:25" ht="14.5">
      <c r="A37" s="74"/>
      <c r="B37" s="855" t="s">
        <v>525</v>
      </c>
      <c r="C37" s="856" t="s">
        <v>192</v>
      </c>
      <c r="D37" s="857">
        <v>4</v>
      </c>
      <c r="E37" s="858">
        <v>1666</v>
      </c>
      <c r="F37" s="859">
        <v>0.2575030012004802</v>
      </c>
      <c r="G37" s="859">
        <v>1</v>
      </c>
      <c r="H37" s="860">
        <v>1</v>
      </c>
    </row>
    <row r="38" spans="1:25" ht="14.5">
      <c r="A38" s="74"/>
      <c r="B38" s="855" t="s">
        <v>516</v>
      </c>
      <c r="C38" s="856" t="s">
        <v>2356</v>
      </c>
      <c r="D38" s="857">
        <v>4</v>
      </c>
      <c r="E38" s="858">
        <v>963</v>
      </c>
      <c r="F38" s="859">
        <v>0</v>
      </c>
      <c r="G38" s="859">
        <v>0.12772585669781933</v>
      </c>
      <c r="H38" s="860">
        <v>0.33541017653167182</v>
      </c>
      <c r="M38" s="74"/>
    </row>
    <row r="39" spans="1:25" ht="15" thickBot="1">
      <c r="B39" s="861" t="s">
        <v>536</v>
      </c>
      <c r="C39" s="862" t="s">
        <v>192</v>
      </c>
      <c r="D39" s="863">
        <v>4</v>
      </c>
      <c r="E39" s="864">
        <v>615</v>
      </c>
      <c r="F39" s="865">
        <v>0</v>
      </c>
      <c r="G39" s="865">
        <v>0</v>
      </c>
      <c r="H39" s="866">
        <v>0.12520325203252036</v>
      </c>
    </row>
    <row r="40" spans="1:25" ht="26.25" customHeight="1" thickTop="1" thickBot="1">
      <c r="B40" s="839"/>
      <c r="C40" s="840" t="s">
        <v>1488</v>
      </c>
      <c r="D40" s="841">
        <v>40</v>
      </c>
      <c r="E40" s="841">
        <v>11311</v>
      </c>
      <c r="F40" s="843">
        <v>0.12527627972769872</v>
      </c>
      <c r="G40" s="843">
        <v>0.32667315003094333</v>
      </c>
      <c r="H40" s="844">
        <v>0.50605605163115552</v>
      </c>
    </row>
    <row r="41" spans="1:25" ht="20.25" customHeight="1" thickTop="1">
      <c r="B41" s="845"/>
      <c r="C41" s="846"/>
      <c r="D41" s="847"/>
      <c r="E41" s="848"/>
      <c r="F41" s="849"/>
      <c r="G41" s="849"/>
      <c r="H41" s="850"/>
    </row>
    <row r="42" spans="1:25" ht="39">
      <c r="B42" s="828" t="s">
        <v>2359</v>
      </c>
      <c r="C42" s="829" t="s">
        <v>1497</v>
      </c>
      <c r="D42" s="830" t="s">
        <v>2572</v>
      </c>
      <c r="E42" s="831" t="s">
        <v>1487</v>
      </c>
      <c r="F42" s="830" t="s">
        <v>2575</v>
      </c>
      <c r="G42" s="830" t="s">
        <v>2574</v>
      </c>
      <c r="H42" s="832" t="s">
        <v>2573</v>
      </c>
    </row>
    <row r="43" spans="1:25" ht="19" customHeight="1">
      <c r="B43" s="833" t="s">
        <v>556</v>
      </c>
      <c r="C43" s="834" t="s">
        <v>3145</v>
      </c>
      <c r="D43" s="835">
        <v>1</v>
      </c>
      <c r="E43" s="836">
        <v>204</v>
      </c>
      <c r="F43" s="837">
        <v>1</v>
      </c>
      <c r="G43" s="837">
        <v>0.88235294117647056</v>
      </c>
      <c r="H43" s="838">
        <v>0</v>
      </c>
    </row>
    <row r="44" spans="1:25" ht="19" customHeight="1" thickBot="1">
      <c r="B44" s="833" t="s">
        <v>960</v>
      </c>
      <c r="C44" s="834" t="s">
        <v>3145</v>
      </c>
      <c r="D44" s="835">
        <v>3</v>
      </c>
      <c r="E44" s="836">
        <v>735</v>
      </c>
      <c r="F44" s="837">
        <v>1</v>
      </c>
      <c r="G44" s="837">
        <v>1</v>
      </c>
      <c r="H44" s="838">
        <v>0</v>
      </c>
    </row>
    <row r="45" spans="1:25" ht="25.5" customHeight="1" thickTop="1" thickBot="1">
      <c r="B45" s="839"/>
      <c r="C45" s="840" t="s">
        <v>1488</v>
      </c>
      <c r="D45" s="841">
        <v>4</v>
      </c>
      <c r="E45" s="842">
        <v>939</v>
      </c>
      <c r="F45" s="843">
        <v>1</v>
      </c>
      <c r="G45" s="843">
        <v>0.9744408945686901</v>
      </c>
      <c r="H45" s="844">
        <v>0</v>
      </c>
      <c r="U45" s="158"/>
      <c r="V45" s="417"/>
      <c r="W45" s="417"/>
      <c r="X45"/>
      <c r="Y45"/>
    </row>
    <row r="46" spans="1:25" ht="16" thickTop="1">
      <c r="U46" s="158"/>
      <c r="V46" s="417"/>
      <c r="W46" s="417"/>
      <c r="X46"/>
      <c r="Y46"/>
    </row>
    <row r="47" spans="1:25" ht="15.5">
      <c r="U47" s="158"/>
      <c r="V47" s="417"/>
      <c r="W47" s="417"/>
      <c r="X47" s="417"/>
      <c r="Y47" s="417"/>
    </row>
    <row r="48" spans="1:25" ht="15.5">
      <c r="U48" s="158"/>
      <c r="V48" s="417"/>
      <c r="W48" s="417"/>
      <c r="X48"/>
      <c r="Y48"/>
    </row>
    <row r="49" spans="21:25" ht="15.5">
      <c r="U49" s="158"/>
      <c r="V49" s="417"/>
      <c r="W49" s="417"/>
      <c r="X49" s="417"/>
      <c r="Y49" s="417"/>
    </row>
    <row r="50" spans="21:25" ht="15.5">
      <c r="U50" s="158"/>
      <c r="V50" s="417"/>
      <c r="W50" s="417"/>
      <c r="X50" s="417"/>
      <c r="Y50" s="417"/>
    </row>
    <row r="51" spans="21:25" ht="15.5">
      <c r="U51" s="158"/>
      <c r="V51" s="417"/>
      <c r="W51" s="417"/>
      <c r="X51" s="417"/>
      <c r="Y51" s="417"/>
    </row>
    <row r="52" spans="21:25" ht="15.5">
      <c r="U52" s="158"/>
      <c r="V52" s="417"/>
      <c r="W52" s="417"/>
      <c r="X52" s="417"/>
      <c r="Y52" s="417"/>
    </row>
    <row r="53" spans="21:25" ht="15.5">
      <c r="U53" s="158"/>
      <c r="V53" s="417"/>
      <c r="W53" s="417"/>
      <c r="X53"/>
      <c r="Y53"/>
    </row>
    <row r="54" spans="21:25" ht="24" customHeight="1">
      <c r="U54" s="158"/>
      <c r="V54" s="417"/>
      <c r="W54" s="417"/>
    </row>
    <row r="55" spans="21:25" ht="6.65" customHeight="1">
      <c r="U55" s="158"/>
      <c r="V55" s="417"/>
      <c r="W55" s="417"/>
    </row>
    <row r="56" spans="21:25" ht="49.5" customHeight="1">
      <c r="U56" s="158"/>
      <c r="V56" s="417"/>
      <c r="W56"/>
      <c r="X56"/>
    </row>
    <row r="57" spans="21:25" ht="15.5">
      <c r="U57" s="158"/>
      <c r="V57" s="417"/>
      <c r="W57" s="417"/>
      <c r="X57" s="417"/>
    </row>
    <row r="58" spans="21:25" ht="15.5">
      <c r="U58" s="158"/>
      <c r="V58" s="417"/>
      <c r="W58" s="417"/>
      <c r="X58" s="417"/>
    </row>
    <row r="59" spans="21:25" ht="15.5">
      <c r="U59" s="158"/>
      <c r="V59" s="417"/>
      <c r="W59" s="417"/>
      <c r="X59" s="417"/>
    </row>
    <row r="60" spans="21:25" ht="15.5">
      <c r="U60" s="158"/>
      <c r="V60" s="417"/>
      <c r="W60" s="417"/>
      <c r="X60" s="417"/>
    </row>
    <row r="61" spans="21:25" ht="15.5">
      <c r="U61" s="158"/>
      <c r="V61" s="417"/>
      <c r="W61" s="417"/>
      <c r="X61" s="417"/>
    </row>
    <row r="62" spans="21:25" ht="15.5">
      <c r="U62" s="158"/>
      <c r="V62" s="417"/>
      <c r="W62" s="417"/>
      <c r="X62" s="417"/>
    </row>
    <row r="63" spans="21:25" s="636" customFormat="1" ht="25" customHeight="1">
      <c r="V63" s="158"/>
      <c r="W63" s="158"/>
      <c r="X63" s="158"/>
    </row>
    <row r="64" spans="21:25" ht="15.5">
      <c r="V64"/>
      <c r="W64"/>
      <c r="X64"/>
    </row>
    <row r="65" spans="22:24" ht="15.5">
      <c r="V65"/>
      <c r="W65"/>
      <c r="X65"/>
    </row>
    <row r="66" spans="22:24" ht="15.5">
      <c r="V66"/>
      <c r="W66"/>
      <c r="X66"/>
    </row>
    <row r="67" spans="22:24" ht="15.5">
      <c r="V67"/>
      <c r="W67"/>
      <c r="X67"/>
    </row>
    <row r="68" spans="22:24" ht="15.5">
      <c r="V68"/>
      <c r="W68"/>
      <c r="X68"/>
    </row>
    <row r="69" spans="22:24" ht="15.5">
      <c r="V69"/>
      <c r="W69"/>
      <c r="X69"/>
    </row>
    <row r="70" spans="22:24" ht="15.5">
      <c r="V70"/>
      <c r="W70"/>
      <c r="X70"/>
    </row>
    <row r="71" spans="22:24" ht="15.5">
      <c r="V71"/>
      <c r="W71"/>
      <c r="X71"/>
    </row>
    <row r="72" spans="22:24" ht="15.5">
      <c r="V72"/>
      <c r="W72"/>
      <c r="X72"/>
    </row>
    <row r="73" spans="22:24" ht="15.5">
      <c r="V73"/>
      <c r="W73"/>
      <c r="X73"/>
    </row>
    <row r="74" spans="22:24" ht="15.5">
      <c r="V74"/>
      <c r="W74"/>
      <c r="X74"/>
    </row>
    <row r="75" spans="22:24" ht="15.5">
      <c r="V75"/>
      <c r="W75"/>
      <c r="X75"/>
    </row>
    <row r="76" spans="22:24" ht="15.5">
      <c r="V76"/>
      <c r="W76"/>
      <c r="X76"/>
    </row>
    <row r="77" spans="22:24" ht="15.5">
      <c r="V77"/>
      <c r="W77"/>
      <c r="X77"/>
    </row>
    <row r="78" spans="22:24" ht="15.5">
      <c r="V78"/>
      <c r="W78"/>
      <c r="X78"/>
    </row>
    <row r="79" spans="22:24" ht="15.5">
      <c r="V79"/>
      <c r="W79"/>
      <c r="X79"/>
    </row>
    <row r="80" spans="22:24" ht="15.5">
      <c r="V80"/>
      <c r="W80"/>
      <c r="X80"/>
    </row>
    <row r="81" spans="22:24" ht="15.5">
      <c r="V81"/>
      <c r="W81"/>
      <c r="X81"/>
    </row>
    <row r="82" spans="22:24" ht="15.5">
      <c r="V82"/>
      <c r="W82"/>
      <c r="X82"/>
    </row>
    <row r="83" spans="22:24" ht="15.5">
      <c r="V83"/>
      <c r="W83"/>
      <c r="X83"/>
    </row>
    <row r="84" spans="22:24" ht="15.5">
      <c r="V84"/>
      <c r="W84"/>
      <c r="X84"/>
    </row>
    <row r="85" spans="22:24" ht="15.5">
      <c r="V85"/>
      <c r="W85"/>
      <c r="X85"/>
    </row>
    <row r="86" spans="22:24" ht="15.5">
      <c r="V86"/>
      <c r="W86"/>
      <c r="X86"/>
    </row>
    <row r="87" spans="22:24" ht="15.5">
      <c r="V87"/>
      <c r="W87"/>
      <c r="X87"/>
    </row>
    <row r="88" spans="22:24" ht="15.5">
      <c r="V88"/>
      <c r="W88"/>
      <c r="X88"/>
    </row>
    <row r="89" spans="22:24" ht="15.5">
      <c r="V89"/>
      <c r="W89"/>
      <c r="X89"/>
    </row>
    <row r="90" spans="22:24" ht="15.5">
      <c r="V90"/>
      <c r="W90"/>
      <c r="X90"/>
    </row>
    <row r="91" spans="22:24" ht="15.5">
      <c r="V91"/>
      <c r="W91"/>
      <c r="X91"/>
    </row>
    <row r="92" spans="22:24" ht="15.5">
      <c r="V92"/>
      <c r="W92"/>
      <c r="X92"/>
    </row>
    <row r="93" spans="22:24" ht="15.5">
      <c r="V93"/>
      <c r="W93"/>
      <c r="X93"/>
    </row>
    <row r="94" spans="22:24" ht="15.5">
      <c r="V94"/>
      <c r="W94"/>
      <c r="X94"/>
    </row>
    <row r="95" spans="22:24" ht="15.5">
      <c r="V95"/>
      <c r="W95"/>
      <c r="X95"/>
    </row>
    <row r="96" spans="22:24" ht="15.5">
      <c r="V96"/>
      <c r="W96"/>
      <c r="X96"/>
    </row>
    <row r="97" spans="22:24" ht="15.5">
      <c r="V97"/>
      <c r="W97"/>
      <c r="X97"/>
    </row>
    <row r="98" spans="22:24" ht="15.5">
      <c r="V98"/>
      <c r="W98"/>
      <c r="X98"/>
    </row>
    <row r="99" spans="22:24" ht="15.5">
      <c r="V99"/>
      <c r="W99"/>
      <c r="X99"/>
    </row>
    <row r="100" spans="22:24" ht="15.5">
      <c r="V100"/>
      <c r="W100"/>
      <c r="X100"/>
    </row>
    <row r="101" spans="22:24" ht="15.5">
      <c r="V101"/>
      <c r="W101"/>
      <c r="X101"/>
    </row>
    <row r="102" spans="22:24" ht="15.5">
      <c r="V102"/>
      <c r="W102"/>
      <c r="X102"/>
    </row>
    <row r="103" spans="22:24" ht="15.5">
      <c r="V103"/>
      <c r="W103"/>
      <c r="X103"/>
    </row>
    <row r="104" spans="22:24" ht="15.5">
      <c r="V104"/>
      <c r="W104"/>
      <c r="X104"/>
    </row>
    <row r="105" spans="22:24" ht="15.5">
      <c r="V105"/>
      <c r="W105"/>
      <c r="X105"/>
    </row>
    <row r="106" spans="22:24" ht="15.5">
      <c r="V106"/>
      <c r="W106"/>
      <c r="X106"/>
    </row>
    <row r="107" spans="22:24" ht="15.5">
      <c r="V107"/>
      <c r="W107"/>
      <c r="X107"/>
    </row>
    <row r="108" spans="22:24" ht="15.5">
      <c r="V108"/>
      <c r="W108"/>
      <c r="X108"/>
    </row>
    <row r="109" spans="22:24" ht="15.5">
      <c r="V109"/>
      <c r="W109"/>
      <c r="X109"/>
    </row>
    <row r="110" spans="22:24" ht="15.5">
      <c r="V110"/>
      <c r="W110"/>
      <c r="X110"/>
    </row>
    <row r="111" spans="22:24" ht="15.5">
      <c r="V111"/>
      <c r="W111"/>
      <c r="X111"/>
    </row>
    <row r="112" spans="22:24" ht="15.5">
      <c r="V112"/>
      <c r="W112"/>
      <c r="X112"/>
    </row>
    <row r="113" spans="22:24" ht="15.5">
      <c r="V113"/>
      <c r="W113"/>
      <c r="X113"/>
    </row>
    <row r="114" spans="22:24" ht="15.5">
      <c r="V114"/>
      <c r="W114"/>
      <c r="X114"/>
    </row>
    <row r="115" spans="22:24" ht="15.5">
      <c r="V115"/>
      <c r="W115"/>
      <c r="X115"/>
    </row>
    <row r="116" spans="22:24" ht="15.5">
      <c r="V116"/>
      <c r="W116"/>
      <c r="X116"/>
    </row>
    <row r="117" spans="22:24" ht="15.5">
      <c r="V117"/>
      <c r="W117"/>
      <c r="X117"/>
    </row>
    <row r="118" spans="22:24" ht="15.5">
      <c r="V118"/>
      <c r="W118"/>
      <c r="X118"/>
    </row>
    <row r="119" spans="22:24" ht="15.5">
      <c r="V119"/>
      <c r="W119"/>
      <c r="X119"/>
    </row>
    <row r="120" spans="22:24" ht="15.5">
      <c r="V120"/>
      <c r="W120"/>
      <c r="X120"/>
    </row>
    <row r="121" spans="22:24" ht="15.5">
      <c r="V121"/>
      <c r="W121"/>
      <c r="X121"/>
    </row>
    <row r="122" spans="22:24" ht="15.5">
      <c r="V122"/>
      <c r="W122"/>
      <c r="X122"/>
    </row>
    <row r="123" spans="22:24" ht="15.5">
      <c r="V123"/>
      <c r="W123"/>
      <c r="X123"/>
    </row>
    <row r="124" spans="22:24" ht="15.5">
      <c r="V124"/>
      <c r="W124"/>
      <c r="X124"/>
    </row>
    <row r="125" spans="22:24" ht="15.5">
      <c r="V125"/>
      <c r="W125"/>
      <c r="X125"/>
    </row>
    <row r="126" spans="22:24" ht="15.5">
      <c r="V126"/>
      <c r="W126"/>
      <c r="X126"/>
    </row>
    <row r="127" spans="22:24" ht="15.5">
      <c r="V127"/>
      <c r="W127"/>
      <c r="X127"/>
    </row>
    <row r="128" spans="22:24" ht="15.5">
      <c r="V128"/>
      <c r="W128"/>
    </row>
    <row r="129" spans="22:23" ht="15.5">
      <c r="V129"/>
      <c r="W129"/>
    </row>
    <row r="130" spans="22:23" ht="15.5">
      <c r="V130"/>
      <c r="W130"/>
    </row>
    <row r="131" spans="22:23" ht="15.5">
      <c r="V131"/>
      <c r="W131"/>
    </row>
    <row r="132" spans="22:23" ht="15.5">
      <c r="V132"/>
      <c r="W132"/>
    </row>
    <row r="133" spans="22:23" ht="15.5">
      <c r="V133"/>
      <c r="W133"/>
    </row>
    <row r="134" spans="22:23" ht="15.5">
      <c r="V134"/>
      <c r="W134"/>
    </row>
    <row r="135" spans="22:23" ht="15.5">
      <c r="V135"/>
      <c r="W135"/>
    </row>
    <row r="136" spans="22:23" ht="15.5">
      <c r="V136"/>
      <c r="W136"/>
    </row>
    <row r="137" spans="22:23" ht="15.5">
      <c r="V137"/>
      <c r="W137"/>
    </row>
    <row r="138" spans="22:23" ht="15.5">
      <c r="V138"/>
      <c r="W138"/>
    </row>
    <row r="139" spans="22:23" ht="15.5">
      <c r="V139"/>
      <c r="W139"/>
    </row>
    <row r="140" spans="22:23" ht="15.5">
      <c r="V140"/>
      <c r="W140"/>
    </row>
    <row r="141" spans="22:23" ht="15.5">
      <c r="V141"/>
      <c r="W141"/>
    </row>
    <row r="142" spans="22:23" ht="15.5">
      <c r="V142"/>
      <c r="W142"/>
    </row>
    <row r="143" spans="22:23" ht="15.5">
      <c r="V143"/>
      <c r="W143"/>
    </row>
    <row r="144" spans="22:23" ht="15.5">
      <c r="V144"/>
      <c r="W144"/>
    </row>
    <row r="145" spans="22:23" ht="15.5">
      <c r="V145"/>
      <c r="W145"/>
    </row>
    <row r="146" spans="22:23" ht="15.5">
      <c r="V146"/>
      <c r="W146"/>
    </row>
    <row r="147" spans="22:23" ht="15.5">
      <c r="V147"/>
      <c r="W147"/>
    </row>
    <row r="148" spans="22:23" ht="15.5">
      <c r="V148"/>
      <c r="W148"/>
    </row>
    <row r="149" spans="22:23" ht="15.5">
      <c r="V149"/>
      <c r="W149"/>
    </row>
    <row r="150" spans="22:23" ht="15.5">
      <c r="V150"/>
      <c r="W150"/>
    </row>
    <row r="151" spans="22:23" ht="15.5">
      <c r="V151"/>
      <c r="W151"/>
    </row>
    <row r="152" spans="22:23" ht="15.5">
      <c r="V152"/>
      <c r="W152"/>
    </row>
    <row r="153" spans="22:23" ht="15.5">
      <c r="V153"/>
      <c r="W153"/>
    </row>
    <row r="154" spans="22:23" ht="15.5">
      <c r="V154"/>
      <c r="W154"/>
    </row>
    <row r="155" spans="22:23" ht="15.5">
      <c r="V155"/>
      <c r="W155"/>
    </row>
    <row r="156" spans="22:23" ht="15.5">
      <c r="V156"/>
      <c r="W156"/>
    </row>
    <row r="157" spans="22:23" ht="15.5">
      <c r="V157"/>
      <c r="W157"/>
    </row>
    <row r="158" spans="22:23" ht="15.5">
      <c r="V158"/>
      <c r="W158"/>
    </row>
    <row r="159" spans="22:23" ht="15.5">
      <c r="V159"/>
      <c r="W159"/>
    </row>
    <row r="160" spans="22:23" ht="15.5">
      <c r="V160"/>
      <c r="W160"/>
    </row>
    <row r="161" spans="22:23" ht="15.5">
      <c r="V161"/>
      <c r="W161"/>
    </row>
    <row r="162" spans="22:23" ht="15.5">
      <c r="V162"/>
      <c r="W162"/>
    </row>
  </sheetData>
  <mergeCells count="1">
    <mergeCell ref="B1:S1"/>
  </mergeCells>
  <conditionalFormatting sqref="F40:H40">
    <cfRule type="iconSet" priority="2">
      <iconSet reverse="1">
        <cfvo type="percent" val="0"/>
        <cfvo type="num" val="0" gte="0"/>
        <cfvo type="num" val="0.3"/>
      </iconSet>
    </cfRule>
  </conditionalFormatting>
  <conditionalFormatting sqref="F45:H45">
    <cfRule type="iconSet" priority="1">
      <iconSet reverse="1">
        <cfvo type="percent" val="0"/>
        <cfvo type="num" val="0" gte="0"/>
        <cfvo type="num" val="0.3"/>
      </iconSet>
    </cfRule>
  </conditionalFormatting>
  <conditionalFormatting sqref="F43:H44">
    <cfRule type="iconSet" priority="13438">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2373"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F30:H39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5"/>
  <cols>
    <col min="1" max="1" width="15.08203125" style="463" customWidth="1"/>
    <col min="2" max="2" width="114" style="463" customWidth="1"/>
    <col min="3" max="16384" width="9" style="463"/>
  </cols>
  <sheetData>
    <row r="2" spans="1:2" ht="18.5">
      <c r="A2" s="1162" t="s">
        <v>2367</v>
      </c>
      <c r="B2" s="1162"/>
    </row>
    <row r="3" spans="1:2">
      <c r="A3" s="469" t="s">
        <v>21</v>
      </c>
      <c r="B3" s="470" t="s">
        <v>2166</v>
      </c>
    </row>
    <row r="4" spans="1:2">
      <c r="A4" s="501" t="s">
        <v>37</v>
      </c>
      <c r="B4" s="471" t="s">
        <v>2368</v>
      </c>
    </row>
    <row r="5" spans="1:2" ht="31">
      <c r="A5" s="617"/>
      <c r="B5" s="471" t="s">
        <v>2369</v>
      </c>
    </row>
    <row r="6" spans="1:2">
      <c r="A6" s="617"/>
      <c r="B6" s="471" t="s">
        <v>2370</v>
      </c>
    </row>
    <row r="7" spans="1:2" ht="31">
      <c r="A7" s="617"/>
      <c r="B7" s="471" t="s">
        <v>2371</v>
      </c>
    </row>
    <row r="8" spans="1:2">
      <c r="A8" s="617"/>
      <c r="B8" s="471" t="s">
        <v>2372</v>
      </c>
    </row>
    <row r="9" spans="1:2">
      <c r="A9" s="617"/>
      <c r="B9" s="471" t="s">
        <v>2373</v>
      </c>
    </row>
    <row r="10" spans="1:2" ht="31">
      <c r="A10" s="617"/>
      <c r="B10" s="471" t="s">
        <v>2374</v>
      </c>
    </row>
    <row r="11" spans="1:2" ht="31">
      <c r="A11" s="617"/>
      <c r="B11" s="471" t="s">
        <v>2375</v>
      </c>
    </row>
    <row r="12" spans="1:2">
      <c r="A12" s="617"/>
      <c r="B12" s="471" t="s">
        <v>2376</v>
      </c>
    </row>
    <row r="13" spans="1:2" ht="31">
      <c r="A13" s="617"/>
      <c r="B13" s="471" t="s">
        <v>2377</v>
      </c>
    </row>
    <row r="14" spans="1:2">
      <c r="A14" s="617"/>
      <c r="B14" s="471" t="s">
        <v>2378</v>
      </c>
    </row>
    <row r="15" spans="1:2">
      <c r="A15" s="617"/>
      <c r="B15" s="471" t="s">
        <v>2379</v>
      </c>
    </row>
    <row r="16" spans="1:2" ht="46.5">
      <c r="A16" s="502"/>
      <c r="B16" s="471" t="s">
        <v>2380</v>
      </c>
    </row>
    <row r="17" spans="1:2" ht="31">
      <c r="A17" s="502"/>
      <c r="B17" s="471" t="s">
        <v>2381</v>
      </c>
    </row>
    <row r="18" spans="1:2" ht="31">
      <c r="A18" s="502"/>
      <c r="B18" s="471" t="s">
        <v>2382</v>
      </c>
    </row>
    <row r="19" spans="1:2" ht="46.5">
      <c r="A19" s="502"/>
      <c r="B19" s="471" t="s">
        <v>2383</v>
      </c>
    </row>
    <row r="20" spans="1:2" ht="31">
      <c r="A20" s="502"/>
      <c r="B20" s="471" t="s">
        <v>2384</v>
      </c>
    </row>
    <row r="21" spans="1:2">
      <c r="A21" s="497" t="s">
        <v>2167</v>
      </c>
      <c r="B21" s="472" t="s">
        <v>2168</v>
      </c>
    </row>
    <row r="22" spans="1:2">
      <c r="A22" s="495" t="s">
        <v>37</v>
      </c>
      <c r="B22" s="473" t="s">
        <v>2385</v>
      </c>
    </row>
    <row r="23" spans="1:2" ht="31">
      <c r="A23" s="618"/>
      <c r="B23" s="473" t="s">
        <v>2386</v>
      </c>
    </row>
    <row r="24" spans="1:2" ht="31">
      <c r="A24" s="618"/>
      <c r="B24" s="473" t="s">
        <v>2387</v>
      </c>
    </row>
    <row r="25" spans="1:2">
      <c r="A25" s="618"/>
      <c r="B25" s="473" t="s">
        <v>2388</v>
      </c>
    </row>
    <row r="26" spans="1:2">
      <c r="A26" s="618"/>
      <c r="B26" s="473" t="s">
        <v>2389</v>
      </c>
    </row>
    <row r="27" spans="1:2">
      <c r="A27" s="618"/>
      <c r="B27" s="473" t="s">
        <v>2390</v>
      </c>
    </row>
    <row r="28" spans="1:2" ht="31">
      <c r="A28" s="618"/>
      <c r="B28" s="473" t="s">
        <v>2391</v>
      </c>
    </row>
    <row r="29" spans="1:2">
      <c r="A29" s="618"/>
      <c r="B29" s="473" t="s">
        <v>2392</v>
      </c>
    </row>
    <row r="30" spans="1:2">
      <c r="A30" s="618"/>
      <c r="B30" s="473" t="s">
        <v>2393</v>
      </c>
    </row>
    <row r="31" spans="1:2">
      <c r="A31" s="618"/>
      <c r="B31" s="473" t="s">
        <v>2394</v>
      </c>
    </row>
    <row r="32" spans="1:2">
      <c r="A32" s="618"/>
      <c r="B32" s="473" t="s">
        <v>2395</v>
      </c>
    </row>
    <row r="33" spans="1:2">
      <c r="A33" s="496"/>
      <c r="B33" s="473" t="s">
        <v>2396</v>
      </c>
    </row>
    <row r="34" spans="1:2">
      <c r="A34" s="496"/>
      <c r="B34" s="473" t="s">
        <v>2397</v>
      </c>
    </row>
    <row r="35" spans="1:2">
      <c r="A35" s="496"/>
      <c r="B35" s="473" t="s">
        <v>2398</v>
      </c>
    </row>
    <row r="36" spans="1:2">
      <c r="A36" s="496"/>
      <c r="B36" s="473" t="s">
        <v>2399</v>
      </c>
    </row>
    <row r="37" spans="1:2" ht="31">
      <c r="A37" s="496"/>
      <c r="B37" s="473" t="s">
        <v>2400</v>
      </c>
    </row>
    <row r="38" spans="1:2">
      <c r="A38" s="496"/>
      <c r="B38" s="473" t="s">
        <v>2401</v>
      </c>
    </row>
    <row r="39" spans="1:2">
      <c r="A39" s="474" t="s">
        <v>2167</v>
      </c>
      <c r="B39" s="474" t="s">
        <v>2169</v>
      </c>
    </row>
    <row r="40" spans="1:2" ht="31">
      <c r="A40" s="475" t="s">
        <v>37</v>
      </c>
      <c r="B40" s="476" t="s">
        <v>2402</v>
      </c>
    </row>
    <row r="41" spans="1:2">
      <c r="A41" s="475"/>
      <c r="B41" s="476" t="s">
        <v>2403</v>
      </c>
    </row>
    <row r="42" spans="1:2">
      <c r="A42" s="475"/>
      <c r="B42" s="476" t="s">
        <v>2404</v>
      </c>
    </row>
    <row r="43" spans="1:2">
      <c r="A43" s="475"/>
      <c r="B43" s="476" t="s">
        <v>2405</v>
      </c>
    </row>
    <row r="44" spans="1:2">
      <c r="A44" s="475"/>
      <c r="B44" s="476" t="s">
        <v>2406</v>
      </c>
    </row>
    <row r="45" spans="1:2">
      <c r="A45" s="475"/>
      <c r="B45" s="476" t="s">
        <v>2407</v>
      </c>
    </row>
    <row r="46" spans="1:2">
      <c r="A46" s="475"/>
      <c r="B46" s="476" t="s">
        <v>2408</v>
      </c>
    </row>
    <row r="47" spans="1:2">
      <c r="A47" s="475"/>
      <c r="B47" s="476" t="s">
        <v>2409</v>
      </c>
    </row>
    <row r="48" spans="1:2">
      <c r="A48" s="475"/>
      <c r="B48" s="476" t="s">
        <v>2410</v>
      </c>
    </row>
    <row r="49" spans="1:2">
      <c r="A49" s="475"/>
      <c r="B49" s="476" t="s">
        <v>2411</v>
      </c>
    </row>
    <row r="50" spans="1:2">
      <c r="A50" s="475"/>
      <c r="B50" s="476" t="s">
        <v>2412</v>
      </c>
    </row>
    <row r="51" spans="1:2">
      <c r="A51" s="475"/>
      <c r="B51" s="476" t="s">
        <v>2413</v>
      </c>
    </row>
    <row r="52" spans="1:2" ht="31">
      <c r="A52" s="475"/>
      <c r="B52" s="476" t="s">
        <v>2414</v>
      </c>
    </row>
    <row r="53" spans="1:2" ht="31">
      <c r="A53" s="475"/>
      <c r="B53" s="476" t="s">
        <v>2415</v>
      </c>
    </row>
    <row r="54" spans="1:2">
      <c r="A54" s="475"/>
      <c r="B54" s="476" t="s">
        <v>2416</v>
      </c>
    </row>
    <row r="55" spans="1:2">
      <c r="A55" s="475"/>
      <c r="B55" s="476" t="s">
        <v>2417</v>
      </c>
    </row>
    <row r="56" spans="1:2">
      <c r="A56" s="475"/>
      <c r="B56" s="476" t="s">
        <v>2418</v>
      </c>
    </row>
  </sheetData>
  <mergeCells count="1">
    <mergeCell ref="A2: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88" sqref="B88"/>
    </sheetView>
  </sheetViews>
  <sheetFormatPr defaultColWidth="9" defaultRowHeight="15.5"/>
  <cols>
    <col min="1" max="1" width="31.6640625" style="58" bestFit="1" customWidth="1"/>
    <col min="2" max="2" width="20.33203125" style="58" bestFit="1" customWidth="1"/>
    <col min="3" max="3" width="9.9140625" style="58" bestFit="1" customWidth="1"/>
    <col min="4" max="4" width="65.6640625" style="58" hidden="1" customWidth="1"/>
    <col min="5" max="5" width="73.6640625" style="58" hidden="1" customWidth="1"/>
    <col min="6" max="6" width="86" style="58" hidden="1" customWidth="1"/>
    <col min="7" max="7" width="11" style="58" customWidth="1"/>
    <col min="8" max="16384" width="9" style="58"/>
  </cols>
  <sheetData>
    <row r="27" spans="1:7" hidden="1">
      <c r="A27" s="1023" t="s">
        <v>20</v>
      </c>
      <c r="B27" s="1024" t="s">
        <v>2977</v>
      </c>
    </row>
    <row r="28" spans="1:7" hidden="1"/>
    <row r="29" spans="1:7" s="87" customFormat="1" ht="31" hidden="1">
      <c r="A29" s="1065" t="s">
        <v>21</v>
      </c>
      <c r="B29" s="1065" t="s">
        <v>22</v>
      </c>
      <c r="C29" s="1031" t="s">
        <v>1527</v>
      </c>
      <c r="D29" s="1024" t="s">
        <v>2128</v>
      </c>
      <c r="E29" s="1024" t="s">
        <v>2127</v>
      </c>
      <c r="F29" s="1024" t="s">
        <v>2126</v>
      </c>
      <c r="G29"/>
    </row>
    <row r="30" spans="1:7" hidden="1">
      <c r="A30" s="1024" t="s">
        <v>37</v>
      </c>
      <c r="B30" s="1024" t="s">
        <v>195</v>
      </c>
      <c r="C30" s="1025">
        <v>7588</v>
      </c>
      <c r="D30" s="1025">
        <v>5115</v>
      </c>
      <c r="E30" s="1025">
        <v>5674</v>
      </c>
      <c r="F30" s="1025">
        <v>6298</v>
      </c>
      <c r="G30"/>
    </row>
    <row r="31" spans="1:7" hidden="1">
      <c r="A31" s="1024"/>
      <c r="B31" s="1024" t="s">
        <v>146</v>
      </c>
      <c r="C31" s="1025">
        <v>2664</v>
      </c>
      <c r="D31" s="1025">
        <v>2385</v>
      </c>
      <c r="E31" s="1025">
        <v>1520</v>
      </c>
      <c r="F31" s="1025">
        <v>1589</v>
      </c>
      <c r="G31"/>
    </row>
    <row r="32" spans="1:7" hidden="1">
      <c r="A32" s="1024"/>
      <c r="B32" s="1024" t="s">
        <v>148</v>
      </c>
      <c r="C32" s="1025">
        <v>4433</v>
      </c>
      <c r="D32" s="1025">
        <v>3410</v>
      </c>
      <c r="E32" s="1025">
        <v>3159</v>
      </c>
      <c r="F32" s="1025">
        <v>3823</v>
      </c>
      <c r="G32"/>
    </row>
    <row r="33" spans="1:7" hidden="1">
      <c r="A33" s="1024"/>
      <c r="B33" s="1024" t="s">
        <v>38</v>
      </c>
      <c r="C33" s="1025">
        <v>12989</v>
      </c>
      <c r="D33" s="1025">
        <v>8889</v>
      </c>
      <c r="E33" s="1025">
        <v>11392</v>
      </c>
      <c r="F33" s="1025">
        <v>9973.6666666666679</v>
      </c>
      <c r="G33"/>
    </row>
    <row r="34" spans="1:7" hidden="1">
      <c r="A34" s="1024"/>
      <c r="B34" s="1024" t="s">
        <v>152</v>
      </c>
      <c r="C34" s="1025">
        <v>1718</v>
      </c>
      <c r="D34" s="1025">
        <v>1312</v>
      </c>
      <c r="E34" s="1025">
        <v>1333</v>
      </c>
      <c r="F34" s="1025">
        <v>1686</v>
      </c>
      <c r="G34"/>
    </row>
    <row r="35" spans="1:7" hidden="1">
      <c r="A35" s="1024"/>
      <c r="B35" s="1024" t="s">
        <v>157</v>
      </c>
      <c r="C35" s="1025">
        <v>3202</v>
      </c>
      <c r="D35" s="1025">
        <v>0</v>
      </c>
      <c r="E35" s="1025">
        <v>100</v>
      </c>
      <c r="F35" s="1025">
        <v>127</v>
      </c>
      <c r="G35"/>
    </row>
    <row r="36" spans="1:7" hidden="1">
      <c r="A36" s="1024"/>
      <c r="B36" s="1024" t="s">
        <v>205</v>
      </c>
      <c r="C36" s="1025">
        <v>27926</v>
      </c>
      <c r="D36" s="1025">
        <v>20525</v>
      </c>
      <c r="E36" s="1025">
        <v>22008</v>
      </c>
      <c r="F36" s="1025">
        <v>13334.333333333334</v>
      </c>
      <c r="G36"/>
    </row>
    <row r="37" spans="1:7" hidden="1">
      <c r="A37" s="1024"/>
      <c r="B37" s="1024" t="s">
        <v>159</v>
      </c>
      <c r="C37" s="1025">
        <v>11019</v>
      </c>
      <c r="D37" s="1025">
        <v>5787</v>
      </c>
      <c r="E37" s="1025">
        <v>7898</v>
      </c>
      <c r="F37" s="1025">
        <v>11019</v>
      </c>
      <c r="G37"/>
    </row>
    <row r="38" spans="1:7" hidden="1">
      <c r="A38" s="1024"/>
      <c r="B38" s="1024" t="s">
        <v>214</v>
      </c>
      <c r="C38" s="1025">
        <v>1879</v>
      </c>
      <c r="D38" s="1025">
        <v>300</v>
      </c>
      <c r="E38" s="1025">
        <v>566</v>
      </c>
      <c r="F38" s="1025">
        <v>1879</v>
      </c>
      <c r="G38"/>
    </row>
    <row r="39" spans="1:7" hidden="1">
      <c r="A39" s="1024"/>
      <c r="B39" s="1024" t="s">
        <v>184</v>
      </c>
      <c r="C39" s="1025">
        <v>1206</v>
      </c>
      <c r="D39" s="1025">
        <v>500</v>
      </c>
      <c r="E39" s="1025">
        <v>1035</v>
      </c>
      <c r="F39" s="1025">
        <v>1035</v>
      </c>
      <c r="G39"/>
    </row>
    <row r="40" spans="1:7" hidden="1">
      <c r="A40" s="1024"/>
      <c r="B40" s="1024" t="s">
        <v>863</v>
      </c>
      <c r="C40" s="1025">
        <v>1215</v>
      </c>
      <c r="D40" s="1025">
        <v>674</v>
      </c>
      <c r="E40" s="1025">
        <v>473</v>
      </c>
      <c r="F40" s="1025">
        <v>1215</v>
      </c>
      <c r="G40"/>
    </row>
    <row r="41" spans="1:7" hidden="1">
      <c r="A41" s="1024"/>
      <c r="B41" s="1024" t="s">
        <v>142</v>
      </c>
      <c r="C41" s="1025">
        <v>31005</v>
      </c>
      <c r="D41" s="1025">
        <v>15040</v>
      </c>
      <c r="E41" s="1025">
        <v>19369</v>
      </c>
      <c r="F41" s="1025">
        <v>14172.333333333334</v>
      </c>
      <c r="G41"/>
    </row>
    <row r="42" spans="1:7" hidden="1">
      <c r="A42" s="1024"/>
      <c r="B42" s="1024" t="s">
        <v>587</v>
      </c>
      <c r="C42" s="1025">
        <v>703</v>
      </c>
      <c r="D42" s="1025">
        <v>591</v>
      </c>
      <c r="E42" s="1025">
        <v>591</v>
      </c>
      <c r="F42" s="1025">
        <v>591</v>
      </c>
      <c r="G42"/>
    </row>
    <row r="43" spans="1:7" hidden="1">
      <c r="A43" s="1024" t="s">
        <v>1489</v>
      </c>
      <c r="B43" s="1024"/>
      <c r="C43" s="1025">
        <v>107547</v>
      </c>
      <c r="D43" s="1025">
        <v>64528</v>
      </c>
      <c r="E43" s="1025">
        <v>75118</v>
      </c>
      <c r="F43" s="1025">
        <v>66742.333333333328</v>
      </c>
      <c r="G43"/>
    </row>
    <row r="44" spans="1:7" hidden="1">
      <c r="A44" s="1024" t="s">
        <v>515</v>
      </c>
      <c r="B44" s="1024" t="s">
        <v>534</v>
      </c>
      <c r="C44" s="1025">
        <v>401</v>
      </c>
      <c r="D44" s="1025">
        <v>401</v>
      </c>
      <c r="E44" s="1025">
        <v>401</v>
      </c>
      <c r="F44" s="1025">
        <v>401</v>
      </c>
      <c r="G44"/>
    </row>
    <row r="45" spans="1:7" hidden="1">
      <c r="A45" s="1024"/>
      <c r="B45" s="1024" t="s">
        <v>556</v>
      </c>
      <c r="C45" s="1025">
        <v>120</v>
      </c>
      <c r="D45" s="1025">
        <v>45</v>
      </c>
      <c r="E45" s="1025">
        <v>0</v>
      </c>
      <c r="F45" s="1025">
        <v>0</v>
      </c>
      <c r="G45"/>
    </row>
    <row r="46" spans="1:7" hidden="1">
      <c r="A46" s="1024"/>
      <c r="B46" s="1024" t="s">
        <v>519</v>
      </c>
      <c r="C46" s="1025">
        <v>4714</v>
      </c>
      <c r="D46" s="1025">
        <v>3681</v>
      </c>
      <c r="E46" s="1025">
        <v>4471</v>
      </c>
      <c r="F46" s="1025">
        <v>4421.3333333333339</v>
      </c>
      <c r="G46"/>
    </row>
    <row r="47" spans="1:7" hidden="1">
      <c r="A47" s="1024"/>
      <c r="B47" s="1024" t="s">
        <v>961</v>
      </c>
      <c r="C47" s="1025">
        <v>1239</v>
      </c>
      <c r="D47" s="1025">
        <v>0</v>
      </c>
      <c r="E47" s="1025">
        <v>103</v>
      </c>
      <c r="F47" s="1025">
        <v>169.66666666666669</v>
      </c>
      <c r="G47"/>
    </row>
    <row r="48" spans="1:7" hidden="1">
      <c r="A48" s="1024"/>
      <c r="B48" s="1024" t="s">
        <v>522</v>
      </c>
      <c r="C48" s="1025">
        <v>282</v>
      </c>
      <c r="D48" s="1025">
        <v>282</v>
      </c>
      <c r="E48" s="1025">
        <v>282</v>
      </c>
      <c r="F48" s="1025">
        <v>282</v>
      </c>
      <c r="G48"/>
    </row>
    <row r="49" spans="1:7" hidden="1">
      <c r="A49" s="1024"/>
      <c r="B49" s="1024" t="s">
        <v>525</v>
      </c>
      <c r="C49" s="1025">
        <v>2211</v>
      </c>
      <c r="D49" s="1025">
        <v>0</v>
      </c>
      <c r="E49" s="1025">
        <v>0</v>
      </c>
      <c r="F49" s="1025">
        <v>1237</v>
      </c>
      <c r="G49"/>
    </row>
    <row r="50" spans="1:7" hidden="1">
      <c r="A50" s="1024"/>
      <c r="B50" s="1024" t="s">
        <v>516</v>
      </c>
      <c r="C50" s="1025">
        <v>963</v>
      </c>
      <c r="D50" s="1025">
        <v>640</v>
      </c>
      <c r="E50" s="1025">
        <v>840</v>
      </c>
      <c r="F50" s="1025">
        <v>963</v>
      </c>
      <c r="G50"/>
    </row>
    <row r="51" spans="1:7" hidden="1">
      <c r="A51" s="1024"/>
      <c r="B51" s="1024" t="s">
        <v>536</v>
      </c>
      <c r="C51" s="1025">
        <v>615</v>
      </c>
      <c r="D51" s="1025">
        <v>538</v>
      </c>
      <c r="E51" s="1025">
        <v>615</v>
      </c>
      <c r="F51" s="1025">
        <v>615</v>
      </c>
      <c r="G51"/>
    </row>
    <row r="52" spans="1:7" hidden="1">
      <c r="A52" s="1024"/>
      <c r="B52" s="1024" t="s">
        <v>963</v>
      </c>
      <c r="C52" s="1025">
        <v>5283</v>
      </c>
      <c r="D52" s="1025">
        <v>0</v>
      </c>
      <c r="E52" s="1025">
        <v>600</v>
      </c>
      <c r="F52" s="1025">
        <v>1600</v>
      </c>
      <c r="G52"/>
    </row>
    <row r="53" spans="1:7" hidden="1">
      <c r="A53" s="1024"/>
      <c r="B53" s="1024" t="s">
        <v>960</v>
      </c>
      <c r="C53" s="1025">
        <v>808</v>
      </c>
      <c r="D53" s="1025">
        <v>0</v>
      </c>
      <c r="E53" s="1025">
        <v>304</v>
      </c>
      <c r="F53" s="1025">
        <v>205</v>
      </c>
      <c r="G53"/>
    </row>
    <row r="54" spans="1:7" hidden="1">
      <c r="A54" s="1024"/>
      <c r="B54" s="1024" t="s">
        <v>2988</v>
      </c>
      <c r="C54" s="1025">
        <v>157</v>
      </c>
      <c r="D54" s="1025">
        <v>0</v>
      </c>
      <c r="E54" s="1025">
        <v>0</v>
      </c>
      <c r="F54" s="1025">
        <v>0</v>
      </c>
      <c r="G54"/>
    </row>
    <row r="55" spans="1:7" hidden="1">
      <c r="A55" s="1024" t="s">
        <v>2086</v>
      </c>
      <c r="B55" s="1024"/>
      <c r="C55" s="1025">
        <v>16793</v>
      </c>
      <c r="D55" s="1025">
        <v>5587</v>
      </c>
      <c r="E55" s="1025">
        <v>7616</v>
      </c>
      <c r="F55" s="1025">
        <v>9894</v>
      </c>
      <c r="G55"/>
    </row>
    <row r="56" spans="1:7" hidden="1">
      <c r="A56" s="1024" t="s">
        <v>1285</v>
      </c>
      <c r="B56" s="1024"/>
      <c r="C56" s="1025">
        <v>124340</v>
      </c>
      <c r="D56" s="1025">
        <v>70115</v>
      </c>
      <c r="E56" s="1025">
        <v>82734</v>
      </c>
      <c r="F56" s="1025">
        <v>76636.333333333328</v>
      </c>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1" zoomScale="86" zoomScaleNormal="86" workbookViewId="0">
      <selection activeCell="L27" sqref="L27"/>
    </sheetView>
  </sheetViews>
  <sheetFormatPr defaultColWidth="9" defaultRowHeight="15.5"/>
  <cols>
    <col min="1" max="1" width="44.1640625" style="58" hidden="1" customWidth="1"/>
    <col min="2" max="2" width="14.58203125" style="58" hidden="1" customWidth="1"/>
    <col min="3" max="3" width="57.6640625" style="58" hidden="1" customWidth="1"/>
    <col min="4" max="4" width="45.83203125" style="58" hidden="1" customWidth="1"/>
    <col min="5" max="5" width="72.9140625" style="58" hidden="1" customWidth="1"/>
    <col min="6" max="6" width="37.1640625" style="58" hidden="1" customWidth="1"/>
    <col min="7" max="7" width="59.1640625" style="58" hidden="1" customWidth="1"/>
    <col min="8" max="8" width="9" style="58" customWidth="1"/>
    <col min="9" max="16384" width="9" style="58"/>
  </cols>
  <sheetData>
    <row r="1" spans="1:20" ht="26">
      <c r="A1" s="1163" t="s">
        <v>3146</v>
      </c>
      <c r="B1" s="1163"/>
      <c r="C1" s="1163"/>
      <c r="D1" s="1163"/>
      <c r="E1" s="1163"/>
      <c r="F1" s="1163"/>
      <c r="G1" s="1163"/>
      <c r="H1" s="1163"/>
      <c r="I1" s="1163"/>
      <c r="J1" s="1163"/>
      <c r="K1" s="1163"/>
      <c r="L1" s="1163"/>
      <c r="M1" s="1163"/>
      <c r="N1" s="1163"/>
      <c r="O1" s="1163"/>
      <c r="P1" s="1163"/>
      <c r="Q1" s="1163"/>
      <c r="R1" s="1163"/>
      <c r="S1" s="1163"/>
      <c r="T1" s="1163"/>
    </row>
    <row r="33" spans="1:7">
      <c r="A33"/>
      <c r="B33"/>
    </row>
    <row r="34" spans="1:7">
      <c r="A34" s="1023" t="s">
        <v>20</v>
      </c>
      <c r="B34" s="1024" t="s">
        <v>2977</v>
      </c>
    </row>
    <row r="35" spans="1:7">
      <c r="A35" s="1065" t="s">
        <v>22</v>
      </c>
      <c r="B35" s="1024" t="s">
        <v>1476</v>
      </c>
    </row>
    <row r="36" spans="1:7">
      <c r="A36" s="1065" t="s">
        <v>21</v>
      </c>
      <c r="B36" s="1024" t="s">
        <v>515</v>
      </c>
    </row>
    <row r="37" spans="1:7">
      <c r="C37" s="163"/>
      <c r="D37" s="163"/>
      <c r="E37" s="163"/>
    </row>
    <row r="38" spans="1:7" s="87" customFormat="1">
      <c r="A38" s="1023" t="s">
        <v>23</v>
      </c>
      <c r="B38" s="1031" t="s">
        <v>1527</v>
      </c>
      <c r="C38" s="1024" t="s">
        <v>2130</v>
      </c>
      <c r="D38" s="1024" t="s">
        <v>2131</v>
      </c>
      <c r="E38" s="1024" t="s">
        <v>2132</v>
      </c>
      <c r="F38"/>
      <c r="G38"/>
    </row>
    <row r="39" spans="1:7">
      <c r="A39" s="1024" t="s">
        <v>555</v>
      </c>
      <c r="B39" s="1025">
        <v>1414</v>
      </c>
      <c r="C39" s="1025">
        <v>0</v>
      </c>
      <c r="D39" s="1025">
        <v>0</v>
      </c>
      <c r="E39" s="1025">
        <v>1200</v>
      </c>
      <c r="F39"/>
      <c r="G39"/>
    </row>
    <row r="40" spans="1:7">
      <c r="A40" s="1024" t="s">
        <v>541</v>
      </c>
      <c r="B40" s="1025">
        <v>244</v>
      </c>
      <c r="C40" s="1025">
        <v>244</v>
      </c>
      <c r="D40" s="1025">
        <v>240</v>
      </c>
      <c r="E40" s="1025">
        <v>244</v>
      </c>
      <c r="F40"/>
      <c r="G40"/>
    </row>
    <row r="41" spans="1:7">
      <c r="A41" s="1024" t="s">
        <v>546</v>
      </c>
      <c r="B41" s="1025">
        <v>180</v>
      </c>
      <c r="C41" s="1025">
        <v>180</v>
      </c>
      <c r="D41" s="1025">
        <v>180</v>
      </c>
      <c r="E41" s="1025">
        <v>180</v>
      </c>
      <c r="F41"/>
      <c r="G41"/>
    </row>
    <row r="42" spans="1:7">
      <c r="A42" s="1024" t="s">
        <v>543</v>
      </c>
      <c r="B42" s="1025">
        <v>270</v>
      </c>
      <c r="C42" s="1025">
        <v>270</v>
      </c>
      <c r="D42" s="1025">
        <v>270</v>
      </c>
      <c r="E42" s="1025">
        <v>270</v>
      </c>
      <c r="F42"/>
      <c r="G42"/>
    </row>
    <row r="43" spans="1:7">
      <c r="A43" s="1024" t="s">
        <v>544</v>
      </c>
      <c r="B43" s="1025">
        <v>127</v>
      </c>
      <c r="C43" s="1025">
        <v>127</v>
      </c>
      <c r="D43" s="1025">
        <v>127</v>
      </c>
      <c r="E43" s="1025">
        <v>127</v>
      </c>
      <c r="F43"/>
      <c r="G43"/>
    </row>
    <row r="44" spans="1:7">
      <c r="A44" s="1024" t="s">
        <v>557</v>
      </c>
      <c r="B44" s="1025">
        <v>120</v>
      </c>
      <c r="C44" s="1025">
        <v>45</v>
      </c>
      <c r="D44" s="1025">
        <v>0</v>
      </c>
      <c r="E44" s="1025">
        <v>0</v>
      </c>
      <c r="F44"/>
      <c r="G44"/>
    </row>
    <row r="45" spans="1:7">
      <c r="A45" s="1024" t="s">
        <v>554</v>
      </c>
      <c r="B45" s="1025">
        <v>104</v>
      </c>
      <c r="C45" s="1025">
        <v>0</v>
      </c>
      <c r="D45" s="1025">
        <v>80</v>
      </c>
      <c r="E45" s="1025">
        <v>104</v>
      </c>
      <c r="F45"/>
      <c r="G45"/>
    </row>
    <row r="46" spans="1:7">
      <c r="A46" s="1024" t="s">
        <v>548</v>
      </c>
      <c r="B46" s="1025">
        <v>125</v>
      </c>
      <c r="C46" s="1025">
        <v>125</v>
      </c>
      <c r="D46" s="1025">
        <v>125</v>
      </c>
      <c r="E46" s="1025">
        <v>125</v>
      </c>
      <c r="F46"/>
      <c r="G46"/>
    </row>
    <row r="47" spans="1:7">
      <c r="A47" s="1024" t="s">
        <v>523</v>
      </c>
      <c r="B47" s="1025">
        <v>157</v>
      </c>
      <c r="C47" s="1025">
        <v>157</v>
      </c>
      <c r="D47" s="1025">
        <v>157</v>
      </c>
      <c r="E47" s="1025">
        <v>157</v>
      </c>
      <c r="F47"/>
      <c r="G47"/>
    </row>
    <row r="48" spans="1:7">
      <c r="A48" s="1024" t="s">
        <v>545</v>
      </c>
      <c r="B48" s="1025">
        <v>176</v>
      </c>
      <c r="C48" s="1025">
        <v>176</v>
      </c>
      <c r="D48" s="1025">
        <v>176</v>
      </c>
      <c r="E48" s="1025">
        <v>176</v>
      </c>
      <c r="F48"/>
      <c r="G48"/>
    </row>
    <row r="49" spans="1:7">
      <c r="A49" s="1024" t="s">
        <v>527</v>
      </c>
      <c r="B49" s="1025">
        <v>396</v>
      </c>
      <c r="C49" s="1025">
        <v>396</v>
      </c>
      <c r="D49" s="1025">
        <v>396</v>
      </c>
      <c r="E49" s="1025">
        <v>396</v>
      </c>
      <c r="F49"/>
      <c r="G49"/>
    </row>
    <row r="50" spans="1:7">
      <c r="A50" s="1024" t="s">
        <v>562</v>
      </c>
      <c r="B50" s="1025">
        <v>323</v>
      </c>
      <c r="C50" s="1025">
        <v>0</v>
      </c>
      <c r="D50" s="1025">
        <v>200</v>
      </c>
      <c r="E50" s="1025">
        <v>323</v>
      </c>
      <c r="F50"/>
      <c r="G50"/>
    </row>
    <row r="51" spans="1:7">
      <c r="A51" s="1024" t="s">
        <v>551</v>
      </c>
      <c r="B51" s="1025">
        <v>31</v>
      </c>
      <c r="C51" s="1025">
        <v>31</v>
      </c>
      <c r="D51" s="1025">
        <v>31</v>
      </c>
      <c r="E51" s="1025">
        <v>31</v>
      </c>
      <c r="F51"/>
      <c r="G51"/>
    </row>
    <row r="52" spans="1:7">
      <c r="A52" s="1024" t="s">
        <v>517</v>
      </c>
      <c r="B52" s="1025">
        <v>213</v>
      </c>
      <c r="C52" s="1025">
        <v>213</v>
      </c>
      <c r="D52" s="1025">
        <v>213</v>
      </c>
      <c r="E52" s="1025">
        <v>213</v>
      </c>
      <c r="F52"/>
      <c r="G52"/>
    </row>
    <row r="53" spans="1:7">
      <c r="A53" s="1024" t="s">
        <v>531</v>
      </c>
      <c r="B53" s="1025">
        <v>250</v>
      </c>
      <c r="C53" s="1025">
        <v>250</v>
      </c>
      <c r="D53" s="1025">
        <v>250</v>
      </c>
      <c r="E53" s="1025">
        <v>250</v>
      </c>
      <c r="F53"/>
      <c r="G53"/>
    </row>
    <row r="54" spans="1:7">
      <c r="A54" s="1024" t="s">
        <v>535</v>
      </c>
      <c r="B54" s="1025">
        <v>206</v>
      </c>
      <c r="C54" s="1025">
        <v>206</v>
      </c>
      <c r="D54" s="1025">
        <v>206</v>
      </c>
      <c r="E54" s="1025">
        <v>206</v>
      </c>
      <c r="F54"/>
      <c r="G54"/>
    </row>
    <row r="55" spans="1:7">
      <c r="A55" s="1024" t="s">
        <v>547</v>
      </c>
      <c r="B55" s="1025">
        <v>141</v>
      </c>
      <c r="C55" s="1025">
        <v>141</v>
      </c>
      <c r="D55" s="1025">
        <v>141</v>
      </c>
      <c r="E55" s="1025">
        <v>141</v>
      </c>
      <c r="F55"/>
      <c r="G55"/>
    </row>
    <row r="56" spans="1:7">
      <c r="A56" s="1024" t="s">
        <v>542</v>
      </c>
      <c r="B56" s="1025">
        <v>664</v>
      </c>
      <c r="C56" s="1025">
        <v>500</v>
      </c>
      <c r="D56" s="1025">
        <v>525</v>
      </c>
      <c r="E56" s="1025">
        <v>533.33333333333337</v>
      </c>
      <c r="F56"/>
      <c r="G56"/>
    </row>
    <row r="57" spans="1:7">
      <c r="A57" s="1024" t="s">
        <v>561</v>
      </c>
      <c r="B57" s="1025">
        <v>221</v>
      </c>
      <c r="C57" s="1025">
        <v>221</v>
      </c>
      <c r="D57" s="1025">
        <v>221</v>
      </c>
      <c r="E57" s="1025">
        <v>221</v>
      </c>
      <c r="F57"/>
      <c r="G57"/>
    </row>
    <row r="58" spans="1:7">
      <c r="A58" s="1024" t="s">
        <v>563</v>
      </c>
      <c r="B58" s="1025">
        <v>195</v>
      </c>
      <c r="C58" s="1025">
        <v>195</v>
      </c>
      <c r="D58" s="1025">
        <v>195</v>
      </c>
      <c r="E58" s="1025">
        <v>195</v>
      </c>
      <c r="F58"/>
      <c r="G58"/>
    </row>
    <row r="59" spans="1:7">
      <c r="A59" s="1024" t="s">
        <v>538</v>
      </c>
      <c r="B59" s="1025">
        <v>1101</v>
      </c>
      <c r="C59" s="1025">
        <v>500</v>
      </c>
      <c r="D59" s="1025">
        <v>1025</v>
      </c>
      <c r="E59" s="1025">
        <v>1101</v>
      </c>
      <c r="F59"/>
      <c r="G59"/>
    </row>
    <row r="60" spans="1:7">
      <c r="A60" s="1024" t="s">
        <v>1618</v>
      </c>
      <c r="B60" s="1025">
        <v>158</v>
      </c>
      <c r="C60" s="1025">
        <v>158</v>
      </c>
      <c r="D60" s="1025">
        <v>158</v>
      </c>
      <c r="E60" s="1025">
        <v>158</v>
      </c>
      <c r="F60"/>
      <c r="G60"/>
    </row>
    <row r="61" spans="1:7">
      <c r="A61" s="1024" t="s">
        <v>1616</v>
      </c>
      <c r="B61" s="1025">
        <v>502</v>
      </c>
      <c r="C61" s="1025">
        <v>500</v>
      </c>
      <c r="D61" s="1025">
        <v>502</v>
      </c>
      <c r="E61" s="1025">
        <v>502</v>
      </c>
      <c r="F61"/>
      <c r="G61"/>
    </row>
    <row r="62" spans="1:7">
      <c r="A62" s="1024" t="s">
        <v>1617</v>
      </c>
      <c r="B62" s="1025">
        <v>251</v>
      </c>
      <c r="C62" s="1025">
        <v>251</v>
      </c>
      <c r="D62" s="1025">
        <v>251</v>
      </c>
      <c r="E62" s="1025">
        <v>251</v>
      </c>
      <c r="F62"/>
      <c r="G62"/>
    </row>
    <row r="63" spans="1:7">
      <c r="A63" s="1024" t="s">
        <v>1720</v>
      </c>
      <c r="B63" s="1025">
        <v>439</v>
      </c>
      <c r="C63" s="1025">
        <v>439</v>
      </c>
      <c r="D63" s="1025">
        <v>439</v>
      </c>
      <c r="E63" s="1025">
        <v>439</v>
      </c>
      <c r="F63"/>
      <c r="G63"/>
    </row>
    <row r="64" spans="1:7">
      <c r="A64" s="1024" t="s">
        <v>1726</v>
      </c>
      <c r="B64" s="1025">
        <v>130</v>
      </c>
      <c r="C64" s="1025">
        <v>130</v>
      </c>
      <c r="D64" s="1025">
        <v>130</v>
      </c>
      <c r="E64" s="1025">
        <v>130</v>
      </c>
      <c r="F64"/>
      <c r="G64"/>
    </row>
    <row r="65" spans="1:7">
      <c r="A65" s="1024" t="s">
        <v>2157</v>
      </c>
      <c r="B65" s="1025">
        <v>103</v>
      </c>
      <c r="C65" s="1025">
        <v>0</v>
      </c>
      <c r="D65" s="1025">
        <v>103</v>
      </c>
      <c r="E65" s="1025">
        <v>103</v>
      </c>
      <c r="F65"/>
      <c r="G65"/>
    </row>
    <row r="66" spans="1:7">
      <c r="A66" s="1024" t="s">
        <v>2585</v>
      </c>
      <c r="B66" s="1025">
        <v>1674</v>
      </c>
      <c r="C66" s="1025">
        <v>0</v>
      </c>
      <c r="D66" s="1025">
        <v>600</v>
      </c>
      <c r="E66" s="1025">
        <v>1600</v>
      </c>
      <c r="F66"/>
      <c r="G66"/>
    </row>
    <row r="67" spans="1:7">
      <c r="A67" s="1024" t="s">
        <v>2586</v>
      </c>
      <c r="B67" s="1025">
        <v>170</v>
      </c>
      <c r="C67" s="1025">
        <v>0</v>
      </c>
      <c r="D67" s="1025">
        <v>0</v>
      </c>
      <c r="E67" s="1025">
        <v>0</v>
      </c>
      <c r="F67"/>
      <c r="G67"/>
    </row>
    <row r="68" spans="1:7">
      <c r="A68" s="1024" t="s">
        <v>2659</v>
      </c>
      <c r="B68" s="1025">
        <v>60</v>
      </c>
      <c r="C68" s="1025">
        <v>0</v>
      </c>
      <c r="D68" s="1025">
        <v>0</v>
      </c>
      <c r="E68" s="1025">
        <v>0</v>
      </c>
      <c r="F68"/>
      <c r="G68"/>
    </row>
    <row r="69" spans="1:7">
      <c r="A69" s="1024" t="s">
        <v>2661</v>
      </c>
      <c r="B69" s="1025">
        <v>504</v>
      </c>
      <c r="C69" s="1025">
        <v>0</v>
      </c>
      <c r="D69" s="1025">
        <v>0</v>
      </c>
      <c r="E69" s="1025">
        <v>0</v>
      </c>
      <c r="F69"/>
      <c r="G69"/>
    </row>
    <row r="70" spans="1:7">
      <c r="A70" s="1024" t="s">
        <v>2589</v>
      </c>
      <c r="B70" s="1025">
        <v>653</v>
      </c>
      <c r="C70" s="1025">
        <v>0</v>
      </c>
      <c r="D70" s="1025">
        <v>0</v>
      </c>
      <c r="E70" s="1025">
        <v>0</v>
      </c>
      <c r="F70"/>
      <c r="G70"/>
    </row>
    <row r="71" spans="1:7">
      <c r="A71" s="1024" t="s">
        <v>2588</v>
      </c>
      <c r="B71" s="1025">
        <v>2786</v>
      </c>
      <c r="C71" s="1025">
        <v>0</v>
      </c>
      <c r="D71" s="1025">
        <v>0</v>
      </c>
      <c r="E71" s="1025">
        <v>0</v>
      </c>
      <c r="F71"/>
      <c r="G71"/>
    </row>
    <row r="72" spans="1:7">
      <c r="A72" s="1024" t="s">
        <v>2896</v>
      </c>
      <c r="B72" s="1025">
        <v>162</v>
      </c>
      <c r="C72" s="1025">
        <v>0</v>
      </c>
      <c r="D72" s="1025">
        <v>162</v>
      </c>
      <c r="E72" s="1025">
        <v>0</v>
      </c>
      <c r="F72"/>
      <c r="G72"/>
    </row>
    <row r="73" spans="1:7">
      <c r="A73" s="1024" t="s">
        <v>2897</v>
      </c>
      <c r="B73" s="1025">
        <v>132</v>
      </c>
      <c r="C73" s="1025">
        <v>132</v>
      </c>
      <c r="D73" s="1025">
        <v>132</v>
      </c>
      <c r="E73" s="1025">
        <v>132</v>
      </c>
      <c r="F73"/>
      <c r="G73"/>
    </row>
    <row r="74" spans="1:7">
      <c r="A74" s="1024" t="s">
        <v>2857</v>
      </c>
      <c r="B74" s="1025">
        <v>40</v>
      </c>
      <c r="C74" s="1025">
        <v>0</v>
      </c>
      <c r="D74" s="1025">
        <v>40</v>
      </c>
      <c r="E74" s="1025">
        <v>0</v>
      </c>
      <c r="F74"/>
      <c r="G74"/>
    </row>
    <row r="75" spans="1:7">
      <c r="A75" s="1024" t="s">
        <v>2858</v>
      </c>
      <c r="B75" s="1025">
        <v>28</v>
      </c>
      <c r="C75" s="1025">
        <v>0</v>
      </c>
      <c r="D75" s="1025">
        <v>28</v>
      </c>
      <c r="E75" s="1025">
        <v>0</v>
      </c>
      <c r="F75"/>
      <c r="G75"/>
    </row>
    <row r="76" spans="1:7">
      <c r="A76" s="1024" t="s">
        <v>2859</v>
      </c>
      <c r="B76" s="1025">
        <v>31</v>
      </c>
      <c r="C76" s="1025">
        <v>0</v>
      </c>
      <c r="D76" s="1025">
        <v>31</v>
      </c>
      <c r="E76" s="1025">
        <v>0</v>
      </c>
      <c r="F76"/>
      <c r="G76"/>
    </row>
    <row r="77" spans="1:7">
      <c r="A77" s="1024" t="s">
        <v>2860</v>
      </c>
      <c r="B77" s="1025">
        <v>179</v>
      </c>
      <c r="C77" s="1025">
        <v>0</v>
      </c>
      <c r="D77" s="1025">
        <v>179</v>
      </c>
      <c r="E77" s="1025">
        <v>179</v>
      </c>
      <c r="F77"/>
      <c r="G77"/>
    </row>
    <row r="78" spans="1:7">
      <c r="A78" s="1024" t="s">
        <v>2861</v>
      </c>
      <c r="B78" s="1025">
        <v>26</v>
      </c>
      <c r="C78" s="1025">
        <v>0</v>
      </c>
      <c r="D78" s="1025">
        <v>26</v>
      </c>
      <c r="E78" s="1025">
        <v>26</v>
      </c>
      <c r="F78"/>
      <c r="G78"/>
    </row>
    <row r="79" spans="1:7">
      <c r="A79" s="1024" t="s">
        <v>2862</v>
      </c>
      <c r="B79" s="1025">
        <v>155</v>
      </c>
      <c r="C79" s="1025">
        <v>0</v>
      </c>
      <c r="D79" s="1025">
        <v>0</v>
      </c>
      <c r="E79" s="1025">
        <v>0</v>
      </c>
      <c r="F79"/>
      <c r="G79"/>
    </row>
    <row r="80" spans="1:7">
      <c r="A80" s="1024" t="s">
        <v>2829</v>
      </c>
      <c r="B80" s="1025">
        <v>77</v>
      </c>
      <c r="C80" s="1025">
        <v>0</v>
      </c>
      <c r="D80" s="1025">
        <v>77</v>
      </c>
      <c r="E80" s="1025">
        <v>77</v>
      </c>
      <c r="F80"/>
      <c r="G80"/>
    </row>
    <row r="81" spans="1:7">
      <c r="A81" s="1024" t="s">
        <v>2989</v>
      </c>
      <c r="B81" s="1025">
        <v>87</v>
      </c>
      <c r="C81" s="1025">
        <v>0</v>
      </c>
      <c r="D81" s="1025">
        <v>0</v>
      </c>
      <c r="E81" s="1025">
        <v>0</v>
      </c>
      <c r="F81"/>
      <c r="G81"/>
    </row>
    <row r="82" spans="1:7">
      <c r="A82" s="1024" t="s">
        <v>2990</v>
      </c>
      <c r="B82" s="1025">
        <v>82</v>
      </c>
      <c r="C82" s="1025">
        <v>0</v>
      </c>
      <c r="D82" s="1025">
        <v>0</v>
      </c>
      <c r="E82" s="1025">
        <v>0</v>
      </c>
      <c r="F82"/>
      <c r="G82"/>
    </row>
    <row r="83" spans="1:7">
      <c r="A83" s="1024" t="s">
        <v>2991</v>
      </c>
      <c r="B83" s="1025">
        <v>135</v>
      </c>
      <c r="C83" s="1025">
        <v>0</v>
      </c>
      <c r="D83" s="1025">
        <v>0</v>
      </c>
      <c r="E83" s="1025">
        <v>0</v>
      </c>
      <c r="F83"/>
      <c r="G83"/>
    </row>
    <row r="84" spans="1:7">
      <c r="A84" s="1024" t="s">
        <v>2992</v>
      </c>
      <c r="B84" s="1025">
        <v>123</v>
      </c>
      <c r="C84" s="1025">
        <v>0</v>
      </c>
      <c r="D84" s="1025">
        <v>0</v>
      </c>
      <c r="E84" s="1025">
        <v>0</v>
      </c>
      <c r="F84"/>
      <c r="G84"/>
    </row>
    <row r="85" spans="1:7">
      <c r="A85" s="1024" t="s">
        <v>2993</v>
      </c>
      <c r="B85" s="1025">
        <v>37</v>
      </c>
      <c r="C85" s="1025">
        <v>0</v>
      </c>
      <c r="D85" s="1025">
        <v>0</v>
      </c>
      <c r="E85" s="1025">
        <v>37</v>
      </c>
      <c r="F85"/>
      <c r="G85"/>
    </row>
    <row r="86" spans="1:7">
      <c r="A86" s="1024" t="s">
        <v>2994</v>
      </c>
      <c r="B86" s="1025">
        <v>130</v>
      </c>
      <c r="C86" s="1025">
        <v>0</v>
      </c>
      <c r="D86" s="1025">
        <v>0</v>
      </c>
      <c r="E86" s="1025">
        <v>0</v>
      </c>
      <c r="F86"/>
      <c r="G86"/>
    </row>
    <row r="87" spans="1:7">
      <c r="A87" s="1024" t="s">
        <v>2997</v>
      </c>
      <c r="B87" s="1025">
        <v>144</v>
      </c>
      <c r="C87" s="1025">
        <v>0</v>
      </c>
      <c r="D87" s="1025">
        <v>0</v>
      </c>
      <c r="E87" s="1025">
        <v>0</v>
      </c>
      <c r="F87"/>
      <c r="G87"/>
    </row>
    <row r="88" spans="1:7">
      <c r="A88" s="1024" t="s">
        <v>2998</v>
      </c>
      <c r="B88" s="1025">
        <v>61</v>
      </c>
      <c r="C88" s="1025">
        <v>0</v>
      </c>
      <c r="D88" s="1025">
        <v>0</v>
      </c>
      <c r="E88" s="1025">
        <v>0</v>
      </c>
      <c r="F88"/>
      <c r="G88"/>
    </row>
    <row r="89" spans="1:7">
      <c r="A89" s="1024" t="s">
        <v>2999</v>
      </c>
      <c r="B89" s="1025">
        <v>469</v>
      </c>
      <c r="C89" s="1025">
        <v>0</v>
      </c>
      <c r="D89" s="1025">
        <v>0</v>
      </c>
      <c r="E89" s="1025">
        <v>66.666666666666671</v>
      </c>
      <c r="F89"/>
      <c r="G89"/>
    </row>
    <row r="90" spans="1:7">
      <c r="A90" s="1024" t="s">
        <v>3000</v>
      </c>
      <c r="B90" s="1025">
        <v>157</v>
      </c>
      <c r="C90" s="1025">
        <v>0</v>
      </c>
      <c r="D90" s="1025">
        <v>0</v>
      </c>
      <c r="E90" s="1025">
        <v>0</v>
      </c>
      <c r="F90"/>
      <c r="G90"/>
    </row>
    <row r="91" spans="1:7">
      <c r="A91" s="1024" t="s">
        <v>3001</v>
      </c>
      <c r="B91" s="1025">
        <v>92</v>
      </c>
      <c r="C91" s="1025">
        <v>0</v>
      </c>
      <c r="D91" s="1025">
        <v>0</v>
      </c>
      <c r="E91" s="1025">
        <v>0</v>
      </c>
      <c r="F91"/>
      <c r="G91"/>
    </row>
    <row r="92" spans="1:7">
      <c r="A92" s="1024" t="s">
        <v>3002</v>
      </c>
      <c r="B92" s="1025">
        <v>30</v>
      </c>
      <c r="C92" s="1025">
        <v>0</v>
      </c>
      <c r="D92" s="1025">
        <v>0</v>
      </c>
      <c r="E92" s="1025">
        <v>0</v>
      </c>
      <c r="F92"/>
      <c r="G92"/>
    </row>
    <row r="93" spans="1:7">
      <c r="A93" s="1024" t="s">
        <v>3078</v>
      </c>
      <c r="B93" s="1025">
        <v>328</v>
      </c>
      <c r="C93" s="1025">
        <v>0</v>
      </c>
      <c r="D93" s="1025">
        <v>0</v>
      </c>
      <c r="E93" s="1025">
        <v>0</v>
      </c>
      <c r="F93"/>
      <c r="G93"/>
    </row>
    <row r="94" spans="1:7">
      <c r="A94" s="1024" t="s">
        <v>1285</v>
      </c>
      <c r="B94" s="1025">
        <v>16793</v>
      </c>
      <c r="C94" s="1025">
        <v>5587</v>
      </c>
      <c r="D94" s="1025">
        <v>7616</v>
      </c>
      <c r="E94" s="1025">
        <v>9893.9999999999982</v>
      </c>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7B20-6E5D-47A1-BC22-DBAC78E3C667}">
  <dimension ref="A1:B4"/>
  <sheetViews>
    <sheetView workbookViewId="0">
      <selection activeCell="B22" sqref="B22"/>
    </sheetView>
  </sheetViews>
  <sheetFormatPr defaultRowHeight="15.5"/>
  <cols>
    <col min="1" max="1" width="14.5" bestFit="1" customWidth="1"/>
    <col min="2" max="3" width="59" bestFit="1" customWidth="1"/>
  </cols>
  <sheetData>
    <row r="1" spans="1:2">
      <c r="A1" s="423" t="s">
        <v>20</v>
      </c>
      <c r="B1" s="417" t="s">
        <v>1284</v>
      </c>
    </row>
    <row r="3" spans="1:2">
      <c r="A3" s="423" t="s">
        <v>1283</v>
      </c>
      <c r="B3" t="s">
        <v>2606</v>
      </c>
    </row>
    <row r="4" spans="1:2">
      <c r="A4" s="487" t="s">
        <v>1285</v>
      </c>
      <c r="B4" s="41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431"/>
  <sheetViews>
    <sheetView showGridLines="0" workbookViewId="0">
      <selection activeCell="I22" sqref="I22"/>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1640625" hidden="1" customWidth="1"/>
    <col min="16" max="16" width="71.6640625" hidden="1" customWidth="1"/>
  </cols>
  <sheetData>
    <row r="2" spans="12:16">
      <c r="L2" s="423" t="s">
        <v>34</v>
      </c>
      <c r="M2" s="417" t="s">
        <v>1476</v>
      </c>
    </row>
    <row r="3" spans="12:16">
      <c r="N3" s="362"/>
      <c r="O3" s="362"/>
      <c r="P3" s="362"/>
    </row>
    <row r="4" spans="12:16">
      <c r="L4" s="423" t="s">
        <v>23</v>
      </c>
      <c r="M4" s="423" t="s">
        <v>20</v>
      </c>
      <c r="N4" s="417" t="s">
        <v>2130</v>
      </c>
      <c r="O4" s="417" t="s">
        <v>2131</v>
      </c>
      <c r="P4" s="417" t="s">
        <v>2132</v>
      </c>
    </row>
    <row r="5" spans="12:16">
      <c r="L5" s="417" t="s">
        <v>277</v>
      </c>
      <c r="M5" s="417" t="s">
        <v>2977</v>
      </c>
      <c r="N5" s="416">
        <v>715</v>
      </c>
      <c r="O5" s="416">
        <v>715</v>
      </c>
      <c r="P5" s="416">
        <v>715</v>
      </c>
    </row>
    <row r="6" spans="12:16">
      <c r="L6" s="417" t="s">
        <v>2459</v>
      </c>
      <c r="M6" s="417"/>
      <c r="N6" s="416">
        <v>715</v>
      </c>
      <c r="O6" s="416">
        <v>715</v>
      </c>
      <c r="P6" s="416">
        <v>715</v>
      </c>
    </row>
    <row r="7" spans="12:16">
      <c r="L7" s="417" t="s">
        <v>248</v>
      </c>
      <c r="M7" s="417" t="s">
        <v>2977</v>
      </c>
      <c r="N7" s="416">
        <v>446</v>
      </c>
      <c r="O7" s="416">
        <v>368</v>
      </c>
      <c r="P7" s="416">
        <v>446</v>
      </c>
    </row>
    <row r="8" spans="12:16">
      <c r="L8" s="417" t="s">
        <v>2460</v>
      </c>
      <c r="M8" s="417"/>
      <c r="N8" s="416">
        <v>446</v>
      </c>
      <c r="O8" s="416">
        <v>368</v>
      </c>
      <c r="P8" s="416">
        <v>446</v>
      </c>
    </row>
    <row r="9" spans="12:16">
      <c r="L9" s="417" t="s">
        <v>249</v>
      </c>
      <c r="M9" s="417" t="s">
        <v>2977</v>
      </c>
      <c r="N9" s="416">
        <v>70</v>
      </c>
      <c r="O9" s="416">
        <v>60</v>
      </c>
      <c r="P9" s="416">
        <v>70</v>
      </c>
    </row>
    <row r="10" spans="12:16">
      <c r="L10" s="417" t="s">
        <v>2461</v>
      </c>
      <c r="M10" s="417"/>
      <c r="N10" s="416">
        <v>70</v>
      </c>
      <c r="O10" s="416">
        <v>60</v>
      </c>
      <c r="P10" s="416">
        <v>70</v>
      </c>
    </row>
    <row r="11" spans="12:16">
      <c r="L11" s="417" t="s">
        <v>206</v>
      </c>
      <c r="M11" s="417" t="s">
        <v>2977</v>
      </c>
      <c r="N11" s="416">
        <v>0</v>
      </c>
      <c r="O11" s="416">
        <v>502</v>
      </c>
      <c r="P11" s="416">
        <v>502</v>
      </c>
    </row>
    <row r="12" spans="12:16">
      <c r="L12" s="417" t="s">
        <v>2462</v>
      </c>
      <c r="M12" s="417"/>
      <c r="N12" s="416">
        <v>0</v>
      </c>
      <c r="O12" s="416">
        <v>502</v>
      </c>
      <c r="P12" s="416">
        <v>502</v>
      </c>
    </row>
    <row r="13" spans="12:16">
      <c r="L13" s="417" t="s">
        <v>196</v>
      </c>
      <c r="M13" s="417" t="s">
        <v>2977</v>
      </c>
      <c r="N13" s="416">
        <v>0</v>
      </c>
      <c r="O13" s="416">
        <v>40</v>
      </c>
      <c r="P13" s="416">
        <v>222</v>
      </c>
    </row>
    <row r="14" spans="12:16">
      <c r="L14" s="417" t="s">
        <v>2463</v>
      </c>
      <c r="M14" s="417"/>
      <c r="N14" s="416">
        <v>0</v>
      </c>
      <c r="O14" s="416">
        <v>40</v>
      </c>
      <c r="P14" s="416">
        <v>222</v>
      </c>
    </row>
    <row r="15" spans="12:16">
      <c r="L15" s="417" t="s">
        <v>250</v>
      </c>
      <c r="M15" s="417" t="s">
        <v>2977</v>
      </c>
      <c r="N15" s="416">
        <v>249</v>
      </c>
      <c r="O15" s="416">
        <v>200</v>
      </c>
      <c r="P15" s="416">
        <v>249</v>
      </c>
    </row>
    <row r="16" spans="12:16">
      <c r="L16" s="417" t="s">
        <v>2464</v>
      </c>
      <c r="M16" s="417"/>
      <c r="N16" s="416">
        <v>249</v>
      </c>
      <c r="O16" s="416">
        <v>200</v>
      </c>
      <c r="P16" s="416">
        <v>249</v>
      </c>
    </row>
    <row r="17" spans="12:16">
      <c r="L17" s="417" t="s">
        <v>236</v>
      </c>
      <c r="M17" s="417" t="s">
        <v>2977</v>
      </c>
      <c r="N17" s="416">
        <v>405</v>
      </c>
      <c r="O17" s="416">
        <v>405</v>
      </c>
      <c r="P17" s="416">
        <v>405</v>
      </c>
    </row>
    <row r="18" spans="12:16">
      <c r="L18" s="417" t="s">
        <v>2465</v>
      </c>
      <c r="M18" s="417"/>
      <c r="N18" s="416">
        <v>405</v>
      </c>
      <c r="O18" s="416">
        <v>405</v>
      </c>
      <c r="P18" s="416">
        <v>405</v>
      </c>
    </row>
    <row r="19" spans="12:16">
      <c r="L19" s="417" t="s">
        <v>1490</v>
      </c>
      <c r="M19" s="417" t="s">
        <v>2977</v>
      </c>
      <c r="N19" s="416">
        <v>1900</v>
      </c>
      <c r="O19" s="416">
        <v>1900</v>
      </c>
      <c r="P19" s="416">
        <v>1900</v>
      </c>
    </row>
    <row r="20" spans="12:16">
      <c r="L20" s="417" t="s">
        <v>2466</v>
      </c>
      <c r="M20" s="417"/>
      <c r="N20" s="416">
        <v>1900</v>
      </c>
      <c r="O20" s="416">
        <v>1900</v>
      </c>
      <c r="P20" s="416">
        <v>1900</v>
      </c>
    </row>
    <row r="21" spans="12:16">
      <c r="L21" s="417" t="s">
        <v>251</v>
      </c>
      <c r="M21" s="417" t="s">
        <v>2977</v>
      </c>
      <c r="N21" s="416">
        <v>24</v>
      </c>
      <c r="O21" s="416">
        <v>24</v>
      </c>
      <c r="P21" s="416">
        <v>0</v>
      </c>
    </row>
    <row r="22" spans="12:16">
      <c r="L22" s="417" t="s">
        <v>2467</v>
      </c>
      <c r="M22" s="417"/>
      <c r="N22" s="416">
        <v>24</v>
      </c>
      <c r="O22" s="416">
        <v>24</v>
      </c>
      <c r="P22" s="416">
        <v>0</v>
      </c>
    </row>
    <row r="23" spans="12:16">
      <c r="L23" s="417" t="s">
        <v>245</v>
      </c>
      <c r="M23" s="417" t="s">
        <v>2977</v>
      </c>
      <c r="N23" s="416">
        <v>500</v>
      </c>
      <c r="O23" s="416">
        <v>280</v>
      </c>
      <c r="P23" s="416">
        <v>704</v>
      </c>
    </row>
    <row r="24" spans="12:16">
      <c r="L24" s="417" t="s">
        <v>2468</v>
      </c>
      <c r="M24" s="417"/>
      <c r="N24" s="416">
        <v>500</v>
      </c>
      <c r="O24" s="416">
        <v>280</v>
      </c>
      <c r="P24" s="416">
        <v>704</v>
      </c>
    </row>
    <row r="25" spans="12:16">
      <c r="L25" s="417" t="s">
        <v>252</v>
      </c>
      <c r="M25" s="417" t="s">
        <v>2977</v>
      </c>
      <c r="N25" s="416">
        <v>451</v>
      </c>
      <c r="O25" s="416">
        <v>451</v>
      </c>
      <c r="P25" s="416">
        <v>451</v>
      </c>
    </row>
    <row r="26" spans="12:16">
      <c r="L26" s="417" t="s">
        <v>2469</v>
      </c>
      <c r="M26" s="417"/>
      <c r="N26" s="416">
        <v>451</v>
      </c>
      <c r="O26" s="416">
        <v>451</v>
      </c>
      <c r="P26" s="416">
        <v>451</v>
      </c>
    </row>
    <row r="27" spans="12:16">
      <c r="L27" s="417" t="s">
        <v>160</v>
      </c>
      <c r="M27" s="417" t="s">
        <v>2977</v>
      </c>
      <c r="N27" s="416">
        <v>198</v>
      </c>
      <c r="O27" s="416">
        <v>120</v>
      </c>
      <c r="P27" s="416">
        <v>198</v>
      </c>
    </row>
    <row r="28" spans="12:16">
      <c r="L28" s="417" t="s">
        <v>2422</v>
      </c>
      <c r="M28" s="417"/>
      <c r="N28" s="416">
        <v>198</v>
      </c>
      <c r="O28" s="416">
        <v>120</v>
      </c>
      <c r="P28" s="416">
        <v>198</v>
      </c>
    </row>
    <row r="29" spans="12:16">
      <c r="L29" s="417" t="s">
        <v>232</v>
      </c>
      <c r="M29" s="417" t="s">
        <v>2977</v>
      </c>
      <c r="N29" s="416">
        <v>404</v>
      </c>
      <c r="O29" s="416">
        <v>404</v>
      </c>
      <c r="P29" s="416">
        <v>404</v>
      </c>
    </row>
    <row r="30" spans="12:16">
      <c r="L30" s="417" t="s">
        <v>2470</v>
      </c>
      <c r="M30" s="417"/>
      <c r="N30" s="416">
        <v>404</v>
      </c>
      <c r="O30" s="416">
        <v>404</v>
      </c>
      <c r="P30" s="416">
        <v>404</v>
      </c>
    </row>
    <row r="31" spans="12:16">
      <c r="L31" s="417" t="s">
        <v>1546</v>
      </c>
      <c r="M31" s="417" t="s">
        <v>2977</v>
      </c>
      <c r="N31" s="416">
        <v>0</v>
      </c>
      <c r="O31" s="416">
        <v>0</v>
      </c>
      <c r="P31" s="416">
        <v>0</v>
      </c>
    </row>
    <row r="32" spans="12:16">
      <c r="L32" s="417" t="s">
        <v>2471</v>
      </c>
      <c r="M32" s="417"/>
      <c r="N32" s="416">
        <v>0</v>
      </c>
      <c r="O32" s="416">
        <v>0</v>
      </c>
      <c r="P32" s="416">
        <v>0</v>
      </c>
    </row>
    <row r="33" spans="12:16">
      <c r="L33" s="417" t="s">
        <v>1720</v>
      </c>
      <c r="M33" s="417" t="s">
        <v>2977</v>
      </c>
      <c r="N33" s="416">
        <v>439</v>
      </c>
      <c r="O33" s="416">
        <v>439</v>
      </c>
      <c r="P33" s="416">
        <v>439</v>
      </c>
    </row>
    <row r="34" spans="12:16">
      <c r="L34" s="417" t="s">
        <v>2472</v>
      </c>
      <c r="M34" s="417"/>
      <c r="N34" s="416">
        <v>439</v>
      </c>
      <c r="O34" s="416">
        <v>439</v>
      </c>
      <c r="P34" s="416">
        <v>439</v>
      </c>
    </row>
    <row r="35" spans="12:16">
      <c r="L35" s="417" t="s">
        <v>771</v>
      </c>
      <c r="M35" s="417" t="s">
        <v>2977</v>
      </c>
      <c r="N35" s="416">
        <v>381</v>
      </c>
      <c r="O35" s="416">
        <v>164</v>
      </c>
      <c r="P35" s="416">
        <v>381</v>
      </c>
    </row>
    <row r="36" spans="12:16">
      <c r="L36" s="417" t="s">
        <v>2473</v>
      </c>
      <c r="M36" s="417"/>
      <c r="N36" s="416">
        <v>381</v>
      </c>
      <c r="O36" s="416">
        <v>164</v>
      </c>
      <c r="P36" s="416">
        <v>381</v>
      </c>
    </row>
    <row r="37" spans="12:16">
      <c r="L37" s="417" t="s">
        <v>268</v>
      </c>
      <c r="M37" s="417" t="s">
        <v>2977</v>
      </c>
      <c r="N37" s="416">
        <v>298</v>
      </c>
      <c r="O37" s="416">
        <v>40</v>
      </c>
      <c r="P37" s="416">
        <v>0</v>
      </c>
    </row>
    <row r="38" spans="12:16">
      <c r="L38" s="417" t="s">
        <v>2474</v>
      </c>
      <c r="M38" s="417"/>
      <c r="N38" s="416">
        <v>298</v>
      </c>
      <c r="O38" s="416">
        <v>40</v>
      </c>
      <c r="P38" s="416">
        <v>0</v>
      </c>
    </row>
    <row r="39" spans="12:16">
      <c r="L39" s="417" t="s">
        <v>175</v>
      </c>
      <c r="M39" s="417" t="s">
        <v>2977</v>
      </c>
      <c r="N39" s="416">
        <v>856</v>
      </c>
      <c r="O39" s="416">
        <v>856</v>
      </c>
      <c r="P39" s="416">
        <v>856</v>
      </c>
    </row>
    <row r="40" spans="12:16">
      <c r="L40" s="417" t="s">
        <v>2423</v>
      </c>
      <c r="M40" s="417"/>
      <c r="N40" s="416">
        <v>856</v>
      </c>
      <c r="O40" s="416">
        <v>856</v>
      </c>
      <c r="P40" s="416">
        <v>856</v>
      </c>
    </row>
    <row r="41" spans="12:16">
      <c r="L41" s="417" t="s">
        <v>149</v>
      </c>
      <c r="M41" s="417" t="s">
        <v>2977</v>
      </c>
      <c r="N41" s="416">
        <v>0</v>
      </c>
      <c r="O41" s="416">
        <v>80</v>
      </c>
      <c r="P41" s="416">
        <v>128</v>
      </c>
    </row>
    <row r="42" spans="12:16">
      <c r="L42" s="417" t="s">
        <v>2424</v>
      </c>
      <c r="M42" s="417"/>
      <c r="N42" s="416">
        <v>0</v>
      </c>
      <c r="O42" s="416">
        <v>80</v>
      </c>
      <c r="P42" s="416">
        <v>128</v>
      </c>
    </row>
    <row r="43" spans="12:16">
      <c r="L43" s="417" t="s">
        <v>555</v>
      </c>
      <c r="M43" s="417" t="s">
        <v>2977</v>
      </c>
      <c r="N43" s="416">
        <v>0</v>
      </c>
      <c r="O43" s="416">
        <v>0</v>
      </c>
      <c r="P43" s="416">
        <v>1200</v>
      </c>
    </row>
    <row r="44" spans="12:16">
      <c r="L44" s="417" t="s">
        <v>2475</v>
      </c>
      <c r="M44" s="417"/>
      <c r="N44" s="416">
        <v>0</v>
      </c>
      <c r="O44" s="416">
        <v>0</v>
      </c>
      <c r="P44" s="416">
        <v>1200</v>
      </c>
    </row>
    <row r="45" spans="12:16">
      <c r="L45" s="417" t="s">
        <v>254</v>
      </c>
      <c r="M45" s="417" t="s">
        <v>2977</v>
      </c>
      <c r="N45" s="416">
        <v>471</v>
      </c>
      <c r="O45" s="416">
        <v>280</v>
      </c>
      <c r="P45" s="416">
        <v>471</v>
      </c>
    </row>
    <row r="46" spans="12:16">
      <c r="L46" s="417" t="s">
        <v>2476</v>
      </c>
      <c r="M46" s="417"/>
      <c r="N46" s="416">
        <v>471</v>
      </c>
      <c r="O46" s="416">
        <v>280</v>
      </c>
      <c r="P46" s="416">
        <v>471</v>
      </c>
    </row>
    <row r="47" spans="12:16">
      <c r="L47" s="417" t="s">
        <v>147</v>
      </c>
      <c r="M47" s="417" t="s">
        <v>2977</v>
      </c>
      <c r="N47" s="416">
        <v>1000</v>
      </c>
      <c r="O47" s="416">
        <v>640</v>
      </c>
      <c r="P47" s="416">
        <v>0</v>
      </c>
    </row>
    <row r="48" spans="12:16">
      <c r="L48" s="417" t="s">
        <v>2425</v>
      </c>
      <c r="M48" s="417"/>
      <c r="N48" s="416">
        <v>1000</v>
      </c>
      <c r="O48" s="416">
        <v>640</v>
      </c>
      <c r="P48" s="416">
        <v>0</v>
      </c>
    </row>
    <row r="49" spans="12:16">
      <c r="L49" s="417" t="s">
        <v>217</v>
      </c>
      <c r="M49" s="417" t="s">
        <v>2977</v>
      </c>
      <c r="N49" s="416">
        <v>3405</v>
      </c>
      <c r="O49" s="416">
        <v>3545</v>
      </c>
      <c r="P49" s="416">
        <v>1933.3333333333335</v>
      </c>
    </row>
    <row r="50" spans="12:16">
      <c r="L50" s="417" t="s">
        <v>2477</v>
      </c>
      <c r="M50" s="417"/>
      <c r="N50" s="416">
        <v>3405</v>
      </c>
      <c r="O50" s="416">
        <v>3545</v>
      </c>
      <c r="P50" s="416">
        <v>1933.3333333333335</v>
      </c>
    </row>
    <row r="51" spans="12:16">
      <c r="L51" s="417" t="s">
        <v>198</v>
      </c>
      <c r="M51" s="417" t="s">
        <v>2977</v>
      </c>
      <c r="N51" s="416">
        <v>0</v>
      </c>
      <c r="O51" s="416">
        <v>220</v>
      </c>
      <c r="P51" s="416">
        <v>226</v>
      </c>
    </row>
    <row r="52" spans="12:16">
      <c r="L52" s="417" t="s">
        <v>2478</v>
      </c>
      <c r="M52" s="417"/>
      <c r="N52" s="416">
        <v>0</v>
      </c>
      <c r="O52" s="416">
        <v>220</v>
      </c>
      <c r="P52" s="416">
        <v>226</v>
      </c>
    </row>
    <row r="53" spans="12:16">
      <c r="L53" s="417" t="s">
        <v>1726</v>
      </c>
      <c r="M53" s="417" t="s">
        <v>2977</v>
      </c>
      <c r="N53" s="416">
        <v>130</v>
      </c>
      <c r="O53" s="416">
        <v>130</v>
      </c>
      <c r="P53" s="416">
        <v>130</v>
      </c>
    </row>
    <row r="54" spans="12:16">
      <c r="L54" s="417" t="s">
        <v>2479</v>
      </c>
      <c r="M54" s="417"/>
      <c r="N54" s="416">
        <v>130</v>
      </c>
      <c r="O54" s="416">
        <v>130</v>
      </c>
      <c r="P54" s="416">
        <v>130</v>
      </c>
    </row>
    <row r="55" spans="12:16">
      <c r="L55" s="417" t="s">
        <v>224</v>
      </c>
      <c r="M55" s="417" t="s">
        <v>2977</v>
      </c>
      <c r="N55" s="416">
        <v>0</v>
      </c>
      <c r="O55" s="416">
        <v>2000</v>
      </c>
      <c r="P55" s="416">
        <v>533.33333333333337</v>
      </c>
    </row>
    <row r="56" spans="12:16">
      <c r="L56" s="417" t="s">
        <v>2480</v>
      </c>
      <c r="M56" s="417"/>
      <c r="N56" s="416">
        <v>0</v>
      </c>
      <c r="O56" s="416">
        <v>2000</v>
      </c>
      <c r="P56" s="416">
        <v>533.33333333333337</v>
      </c>
    </row>
    <row r="57" spans="12:16">
      <c r="L57" s="417" t="s">
        <v>161</v>
      </c>
      <c r="M57" s="417" t="s">
        <v>2977</v>
      </c>
      <c r="N57" s="416">
        <v>500</v>
      </c>
      <c r="O57" s="416">
        <v>742</v>
      </c>
      <c r="P57" s="416">
        <v>742</v>
      </c>
    </row>
    <row r="58" spans="12:16">
      <c r="L58" s="417" t="s">
        <v>2426</v>
      </c>
      <c r="M58" s="417"/>
      <c r="N58" s="416">
        <v>500</v>
      </c>
      <c r="O58" s="416">
        <v>742</v>
      </c>
      <c r="P58" s="416">
        <v>742</v>
      </c>
    </row>
    <row r="59" spans="12:16">
      <c r="L59" s="417" t="s">
        <v>233</v>
      </c>
      <c r="M59" s="417" t="s">
        <v>2977</v>
      </c>
      <c r="N59" s="416">
        <v>278</v>
      </c>
      <c r="O59" s="416">
        <v>278</v>
      </c>
      <c r="P59" s="416">
        <v>278</v>
      </c>
    </row>
    <row r="60" spans="12:16">
      <c r="L60" s="417" t="s">
        <v>2481</v>
      </c>
      <c r="M60" s="417"/>
      <c r="N60" s="416">
        <v>278</v>
      </c>
      <c r="O60" s="416">
        <v>278</v>
      </c>
      <c r="P60" s="416">
        <v>278</v>
      </c>
    </row>
    <row r="61" spans="12:16">
      <c r="L61" s="417" t="s">
        <v>1604</v>
      </c>
      <c r="M61" s="417" t="s">
        <v>2977</v>
      </c>
      <c r="N61" s="416">
        <v>500</v>
      </c>
      <c r="O61" s="416">
        <v>320</v>
      </c>
      <c r="P61" s="416">
        <v>661</v>
      </c>
    </row>
    <row r="62" spans="12:16">
      <c r="L62" s="417" t="s">
        <v>2427</v>
      </c>
      <c r="M62" s="417"/>
      <c r="N62" s="416">
        <v>500</v>
      </c>
      <c r="O62" s="416">
        <v>320</v>
      </c>
      <c r="P62" s="416">
        <v>661</v>
      </c>
    </row>
    <row r="63" spans="12:16">
      <c r="L63" s="417" t="s">
        <v>290</v>
      </c>
      <c r="M63" s="417" t="s">
        <v>2977</v>
      </c>
      <c r="N63" s="416">
        <v>7000</v>
      </c>
      <c r="O63" s="416">
        <v>8225</v>
      </c>
      <c r="P63" s="416">
        <v>2750</v>
      </c>
    </row>
    <row r="64" spans="12:16">
      <c r="L64" s="417" t="s">
        <v>2482</v>
      </c>
      <c r="M64" s="417"/>
      <c r="N64" s="416">
        <v>7000</v>
      </c>
      <c r="O64" s="416">
        <v>8225</v>
      </c>
      <c r="P64" s="416">
        <v>2750</v>
      </c>
    </row>
    <row r="65" spans="12:16">
      <c r="L65" s="417" t="s">
        <v>828</v>
      </c>
      <c r="M65" s="417" t="s">
        <v>2977</v>
      </c>
      <c r="N65" s="416">
        <v>62</v>
      </c>
      <c r="O65" s="416">
        <v>62</v>
      </c>
      <c r="P65" s="416">
        <v>62</v>
      </c>
    </row>
    <row r="66" spans="12:16">
      <c r="L66" s="417" t="s">
        <v>2483</v>
      </c>
      <c r="M66" s="417"/>
      <c r="N66" s="416">
        <v>62</v>
      </c>
      <c r="O66" s="416">
        <v>62</v>
      </c>
      <c r="P66" s="416">
        <v>62</v>
      </c>
    </row>
    <row r="67" spans="12:16">
      <c r="L67" s="417" t="s">
        <v>207</v>
      </c>
      <c r="M67" s="417" t="s">
        <v>2977</v>
      </c>
      <c r="N67" s="416">
        <v>0</v>
      </c>
      <c r="O67" s="416">
        <v>57</v>
      </c>
      <c r="P67" s="416">
        <v>57</v>
      </c>
    </row>
    <row r="68" spans="12:16">
      <c r="L68" s="417" t="s">
        <v>2484</v>
      </c>
      <c r="M68" s="417"/>
      <c r="N68" s="416">
        <v>0</v>
      </c>
      <c r="O68" s="416">
        <v>57</v>
      </c>
      <c r="P68" s="416">
        <v>57</v>
      </c>
    </row>
    <row r="69" spans="12:16">
      <c r="L69" s="417" t="s">
        <v>1563</v>
      </c>
      <c r="M69" s="417" t="s">
        <v>2977</v>
      </c>
      <c r="N69" s="416">
        <v>52</v>
      </c>
      <c r="O69" s="416">
        <v>52</v>
      </c>
      <c r="P69" s="416">
        <v>52</v>
      </c>
    </row>
    <row r="70" spans="12:16">
      <c r="L70" s="417" t="s">
        <v>2485</v>
      </c>
      <c r="M70" s="417"/>
      <c r="N70" s="416">
        <v>52</v>
      </c>
      <c r="O70" s="416">
        <v>52</v>
      </c>
      <c r="P70" s="416">
        <v>52</v>
      </c>
    </row>
    <row r="71" spans="12:16">
      <c r="L71" s="417" t="s">
        <v>209</v>
      </c>
      <c r="M71" s="417" t="s">
        <v>2977</v>
      </c>
      <c r="N71" s="416">
        <v>0</v>
      </c>
      <c r="O71" s="416">
        <v>100</v>
      </c>
      <c r="P71" s="416">
        <v>263</v>
      </c>
    </row>
    <row r="72" spans="12:16">
      <c r="L72" s="417" t="s">
        <v>2486</v>
      </c>
      <c r="M72" s="417"/>
      <c r="N72" s="416">
        <v>0</v>
      </c>
      <c r="O72" s="416">
        <v>100</v>
      </c>
      <c r="P72" s="416">
        <v>263</v>
      </c>
    </row>
    <row r="73" spans="12:16">
      <c r="L73" s="417" t="s">
        <v>541</v>
      </c>
      <c r="M73" s="417" t="s">
        <v>2977</v>
      </c>
      <c r="N73" s="416">
        <v>244</v>
      </c>
      <c r="O73" s="416">
        <v>240</v>
      </c>
      <c r="P73" s="416">
        <v>244</v>
      </c>
    </row>
    <row r="74" spans="12:16">
      <c r="L74" s="417" t="s">
        <v>2487</v>
      </c>
      <c r="M74" s="417"/>
      <c r="N74" s="416">
        <v>244</v>
      </c>
      <c r="O74" s="416">
        <v>240</v>
      </c>
      <c r="P74" s="416">
        <v>244</v>
      </c>
    </row>
    <row r="75" spans="12:16">
      <c r="L75" s="417" t="s">
        <v>546</v>
      </c>
      <c r="M75" s="417" t="s">
        <v>2977</v>
      </c>
      <c r="N75" s="416">
        <v>180</v>
      </c>
      <c r="O75" s="416">
        <v>180</v>
      </c>
      <c r="P75" s="416">
        <v>180</v>
      </c>
    </row>
    <row r="76" spans="12:16">
      <c r="L76" s="417" t="s">
        <v>2488</v>
      </c>
      <c r="M76" s="417"/>
      <c r="N76" s="416">
        <v>180</v>
      </c>
      <c r="O76" s="416">
        <v>180</v>
      </c>
      <c r="P76" s="416">
        <v>180</v>
      </c>
    </row>
    <row r="77" spans="12:16">
      <c r="L77" s="417" t="s">
        <v>543</v>
      </c>
      <c r="M77" s="417" t="s">
        <v>2977</v>
      </c>
      <c r="N77" s="416">
        <v>270</v>
      </c>
      <c r="O77" s="416">
        <v>270</v>
      </c>
      <c r="P77" s="416">
        <v>270</v>
      </c>
    </row>
    <row r="78" spans="12:16">
      <c r="L78" s="417" t="s">
        <v>2489</v>
      </c>
      <c r="M78" s="417"/>
      <c r="N78" s="416">
        <v>270</v>
      </c>
      <c r="O78" s="416">
        <v>270</v>
      </c>
      <c r="P78" s="416">
        <v>270</v>
      </c>
    </row>
    <row r="79" spans="12:16">
      <c r="L79" s="417" t="s">
        <v>153</v>
      </c>
      <c r="M79" s="417" t="s">
        <v>2977</v>
      </c>
      <c r="N79" s="416">
        <v>0</v>
      </c>
      <c r="O79" s="416">
        <v>74</v>
      </c>
      <c r="P79" s="416">
        <v>74</v>
      </c>
    </row>
    <row r="80" spans="12:16">
      <c r="L80" s="417" t="s">
        <v>2428</v>
      </c>
      <c r="M80" s="417"/>
      <c r="N80" s="416">
        <v>0</v>
      </c>
      <c r="O80" s="416">
        <v>74</v>
      </c>
      <c r="P80" s="416">
        <v>74</v>
      </c>
    </row>
    <row r="81" spans="12:16">
      <c r="L81" s="417" t="s">
        <v>289</v>
      </c>
      <c r="M81" s="417" t="s">
        <v>2977</v>
      </c>
      <c r="N81" s="416">
        <v>0</v>
      </c>
      <c r="O81" s="416">
        <v>0</v>
      </c>
      <c r="P81" s="416">
        <v>500</v>
      </c>
    </row>
    <row r="82" spans="12:16">
      <c r="L82" s="417" t="s">
        <v>2429</v>
      </c>
      <c r="M82" s="417"/>
      <c r="N82" s="416">
        <v>0</v>
      </c>
      <c r="O82" s="416">
        <v>0</v>
      </c>
      <c r="P82" s="416">
        <v>500</v>
      </c>
    </row>
    <row r="83" spans="12:16">
      <c r="L83" s="417" t="s">
        <v>294</v>
      </c>
      <c r="M83" s="417" t="s">
        <v>2977</v>
      </c>
      <c r="N83" s="416">
        <v>2503</v>
      </c>
      <c r="O83" s="416">
        <v>2503</v>
      </c>
      <c r="P83" s="416">
        <v>1850</v>
      </c>
    </row>
    <row r="84" spans="12:16">
      <c r="L84" s="417" t="s">
        <v>2490</v>
      </c>
      <c r="M84" s="417"/>
      <c r="N84" s="416">
        <v>2503</v>
      </c>
      <c r="O84" s="416">
        <v>2503</v>
      </c>
      <c r="P84" s="416">
        <v>1850</v>
      </c>
    </row>
    <row r="85" spans="12:16">
      <c r="L85" s="417" t="s">
        <v>243</v>
      </c>
      <c r="M85" s="417" t="s">
        <v>2977</v>
      </c>
      <c r="N85" s="416">
        <v>634</v>
      </c>
      <c r="O85" s="416">
        <v>606</v>
      </c>
      <c r="P85" s="416">
        <v>634</v>
      </c>
    </row>
    <row r="86" spans="12:16">
      <c r="L86" s="417" t="s">
        <v>2491</v>
      </c>
      <c r="M86" s="417"/>
      <c r="N86" s="416">
        <v>634</v>
      </c>
      <c r="O86" s="416">
        <v>606</v>
      </c>
      <c r="P86" s="416">
        <v>634</v>
      </c>
    </row>
    <row r="87" spans="12:16">
      <c r="L87" s="417" t="s">
        <v>163</v>
      </c>
      <c r="M87" s="417" t="s">
        <v>2977</v>
      </c>
      <c r="N87" s="416">
        <v>0</v>
      </c>
      <c r="O87" s="416">
        <v>160</v>
      </c>
      <c r="P87" s="416">
        <v>678</v>
      </c>
    </row>
    <row r="88" spans="12:16">
      <c r="L88" s="417" t="s">
        <v>2430</v>
      </c>
      <c r="M88" s="417"/>
      <c r="N88" s="416">
        <v>0</v>
      </c>
      <c r="O88" s="416">
        <v>160</v>
      </c>
      <c r="P88" s="416">
        <v>678</v>
      </c>
    </row>
    <row r="89" spans="12:16">
      <c r="L89" s="417" t="s">
        <v>164</v>
      </c>
      <c r="M89" s="417" t="s">
        <v>2977</v>
      </c>
      <c r="N89" s="416">
        <v>0</v>
      </c>
      <c r="O89" s="416">
        <v>640</v>
      </c>
      <c r="P89" s="416">
        <v>640</v>
      </c>
    </row>
    <row r="90" spans="12:16">
      <c r="L90" s="417" t="s">
        <v>2431</v>
      </c>
      <c r="M90" s="417"/>
      <c r="N90" s="416">
        <v>0</v>
      </c>
      <c r="O90" s="416">
        <v>640</v>
      </c>
      <c r="P90" s="416">
        <v>640</v>
      </c>
    </row>
    <row r="91" spans="12:16">
      <c r="L91" s="417" t="s">
        <v>247</v>
      </c>
      <c r="M91" s="417" t="s">
        <v>2977</v>
      </c>
      <c r="N91" s="416">
        <v>885</v>
      </c>
      <c r="O91" s="416">
        <v>600</v>
      </c>
      <c r="P91" s="416">
        <v>885</v>
      </c>
    </row>
    <row r="92" spans="12:16">
      <c r="L92" s="417" t="s">
        <v>2492</v>
      </c>
      <c r="M92" s="417"/>
      <c r="N92" s="416">
        <v>885</v>
      </c>
      <c r="O92" s="416">
        <v>600</v>
      </c>
      <c r="P92" s="416">
        <v>885</v>
      </c>
    </row>
    <row r="93" spans="12:16">
      <c r="L93" s="417" t="s">
        <v>255</v>
      </c>
      <c r="M93" s="417" t="s">
        <v>2977</v>
      </c>
      <c r="N93" s="416">
        <v>107</v>
      </c>
      <c r="O93" s="416">
        <v>107</v>
      </c>
      <c r="P93" s="416">
        <v>107</v>
      </c>
    </row>
    <row r="94" spans="12:16">
      <c r="L94" s="417" t="s">
        <v>2493</v>
      </c>
      <c r="M94" s="417"/>
      <c r="N94" s="416">
        <v>107</v>
      </c>
      <c r="O94" s="416">
        <v>107</v>
      </c>
      <c r="P94" s="416">
        <v>107</v>
      </c>
    </row>
    <row r="95" spans="12:16">
      <c r="L95" s="417" t="s">
        <v>256</v>
      </c>
      <c r="M95" s="417" t="s">
        <v>2977</v>
      </c>
      <c r="N95" s="416">
        <v>56</v>
      </c>
      <c r="O95" s="416">
        <v>40</v>
      </c>
      <c r="P95" s="416">
        <v>56</v>
      </c>
    </row>
    <row r="96" spans="12:16">
      <c r="L96" s="417" t="s">
        <v>2494</v>
      </c>
      <c r="M96" s="417"/>
      <c r="N96" s="416">
        <v>56</v>
      </c>
      <c r="O96" s="416">
        <v>40</v>
      </c>
      <c r="P96" s="416">
        <v>56</v>
      </c>
    </row>
    <row r="97" spans="12:16">
      <c r="L97" s="417" t="s">
        <v>200</v>
      </c>
      <c r="M97" s="417" t="s">
        <v>2977</v>
      </c>
      <c r="N97" s="416">
        <v>500</v>
      </c>
      <c r="O97" s="416">
        <v>774</v>
      </c>
      <c r="P97" s="416">
        <v>774</v>
      </c>
    </row>
    <row r="98" spans="12:16">
      <c r="L98" s="417" t="s">
        <v>2495</v>
      </c>
      <c r="M98" s="417"/>
      <c r="N98" s="416">
        <v>500</v>
      </c>
      <c r="O98" s="416">
        <v>774</v>
      </c>
      <c r="P98" s="416">
        <v>774</v>
      </c>
    </row>
    <row r="99" spans="12:16">
      <c r="L99" s="417" t="s">
        <v>544</v>
      </c>
      <c r="M99" s="417" t="s">
        <v>2977</v>
      </c>
      <c r="N99" s="416">
        <v>127</v>
      </c>
      <c r="O99" s="416">
        <v>127</v>
      </c>
      <c r="P99" s="416">
        <v>127</v>
      </c>
    </row>
    <row r="100" spans="12:16">
      <c r="L100" s="417" t="s">
        <v>2496</v>
      </c>
      <c r="M100" s="417"/>
      <c r="N100" s="416">
        <v>127</v>
      </c>
      <c r="O100" s="416">
        <v>127</v>
      </c>
      <c r="P100" s="416">
        <v>127</v>
      </c>
    </row>
    <row r="101" spans="12:16">
      <c r="L101" s="417" t="s">
        <v>281</v>
      </c>
      <c r="M101" s="417" t="s">
        <v>2977</v>
      </c>
      <c r="N101" s="416">
        <v>255</v>
      </c>
      <c r="O101" s="416">
        <v>182</v>
      </c>
      <c r="P101" s="416">
        <v>255</v>
      </c>
    </row>
    <row r="102" spans="12:16">
      <c r="L102" s="417" t="s">
        <v>2497</v>
      </c>
      <c r="M102" s="417"/>
      <c r="N102" s="416">
        <v>255</v>
      </c>
      <c r="O102" s="416">
        <v>182</v>
      </c>
      <c r="P102" s="416">
        <v>255</v>
      </c>
    </row>
    <row r="103" spans="12:16">
      <c r="L103" s="417" t="s">
        <v>282</v>
      </c>
      <c r="M103" s="417" t="s">
        <v>2977</v>
      </c>
      <c r="N103" s="416">
        <v>426</v>
      </c>
      <c r="O103" s="416">
        <v>126</v>
      </c>
      <c r="P103" s="416">
        <v>426</v>
      </c>
    </row>
    <row r="104" spans="12:16">
      <c r="L104" s="417" t="s">
        <v>2498</v>
      </c>
      <c r="M104" s="417"/>
      <c r="N104" s="416">
        <v>426</v>
      </c>
      <c r="O104" s="416">
        <v>126</v>
      </c>
      <c r="P104" s="416">
        <v>426</v>
      </c>
    </row>
    <row r="105" spans="12:16">
      <c r="L105" s="417" t="s">
        <v>283</v>
      </c>
      <c r="M105" s="417" t="s">
        <v>2977</v>
      </c>
      <c r="N105" s="416">
        <v>1422</v>
      </c>
      <c r="O105" s="416">
        <v>803</v>
      </c>
      <c r="P105" s="416">
        <v>1422</v>
      </c>
    </row>
    <row r="106" spans="12:16">
      <c r="L106" s="417" t="s">
        <v>2499</v>
      </c>
      <c r="M106" s="417"/>
      <c r="N106" s="416">
        <v>1422</v>
      </c>
      <c r="O106" s="416">
        <v>803</v>
      </c>
      <c r="P106" s="416">
        <v>1422</v>
      </c>
    </row>
    <row r="107" spans="12:16">
      <c r="L107" s="417" t="s">
        <v>1591</v>
      </c>
      <c r="M107" s="417" t="s">
        <v>2977</v>
      </c>
      <c r="N107" s="416">
        <v>460</v>
      </c>
      <c r="O107" s="416">
        <v>300</v>
      </c>
      <c r="P107" s="416">
        <v>400</v>
      </c>
    </row>
    <row r="108" spans="12:16">
      <c r="L108" s="417" t="s">
        <v>2500</v>
      </c>
      <c r="M108" s="417"/>
      <c r="N108" s="416">
        <v>460</v>
      </c>
      <c r="O108" s="416">
        <v>300</v>
      </c>
      <c r="P108" s="416">
        <v>400</v>
      </c>
    </row>
    <row r="109" spans="12:16">
      <c r="L109" s="417" t="s">
        <v>1613</v>
      </c>
      <c r="M109" s="417" t="s">
        <v>2977</v>
      </c>
      <c r="N109" s="416">
        <v>0</v>
      </c>
      <c r="O109" s="416">
        <v>60</v>
      </c>
      <c r="P109" s="416">
        <v>76</v>
      </c>
    </row>
    <row r="110" spans="12:16">
      <c r="L110" s="417" t="s">
        <v>2432</v>
      </c>
      <c r="M110" s="417"/>
      <c r="N110" s="416">
        <v>0</v>
      </c>
      <c r="O110" s="416">
        <v>60</v>
      </c>
      <c r="P110" s="416">
        <v>76</v>
      </c>
    </row>
    <row r="111" spans="12:16">
      <c r="L111" s="417" t="s">
        <v>176</v>
      </c>
      <c r="M111" s="417" t="s">
        <v>2977</v>
      </c>
      <c r="N111" s="416">
        <v>140</v>
      </c>
      <c r="O111" s="416">
        <v>120</v>
      </c>
      <c r="P111" s="416">
        <v>140</v>
      </c>
    </row>
    <row r="112" spans="12:16">
      <c r="L112" s="417" t="s">
        <v>2433</v>
      </c>
      <c r="M112" s="417"/>
      <c r="N112" s="416">
        <v>140</v>
      </c>
      <c r="O112" s="416">
        <v>120</v>
      </c>
      <c r="P112" s="416">
        <v>140</v>
      </c>
    </row>
    <row r="113" spans="12:16">
      <c r="L113" s="417" t="s">
        <v>177</v>
      </c>
      <c r="M113" s="417" t="s">
        <v>2977</v>
      </c>
      <c r="N113" s="416">
        <v>1342</v>
      </c>
      <c r="O113" s="416">
        <v>1342</v>
      </c>
      <c r="P113" s="416">
        <v>400</v>
      </c>
    </row>
    <row r="114" spans="12:16">
      <c r="L114" s="417" t="s">
        <v>2501</v>
      </c>
      <c r="M114" s="417"/>
      <c r="N114" s="416">
        <v>1342</v>
      </c>
      <c r="O114" s="416">
        <v>1342</v>
      </c>
      <c r="P114" s="416">
        <v>400</v>
      </c>
    </row>
    <row r="115" spans="12:16">
      <c r="L115" s="417" t="s">
        <v>1616</v>
      </c>
      <c r="M115" s="417" t="s">
        <v>2977</v>
      </c>
      <c r="N115" s="416">
        <v>500</v>
      </c>
      <c r="O115" s="416">
        <v>502</v>
      </c>
      <c r="P115" s="416">
        <v>502</v>
      </c>
    </row>
    <row r="116" spans="12:16">
      <c r="L116" s="417" t="s">
        <v>2502</v>
      </c>
      <c r="M116" s="417"/>
      <c r="N116" s="416">
        <v>500</v>
      </c>
      <c r="O116" s="416">
        <v>502</v>
      </c>
      <c r="P116" s="416">
        <v>502</v>
      </c>
    </row>
    <row r="117" spans="12:16">
      <c r="L117" s="417" t="s">
        <v>269</v>
      </c>
      <c r="M117" s="417" t="s">
        <v>2977</v>
      </c>
      <c r="N117" s="416">
        <v>500</v>
      </c>
      <c r="O117" s="416">
        <v>560</v>
      </c>
      <c r="P117" s="416">
        <v>1900</v>
      </c>
    </row>
    <row r="118" spans="12:16">
      <c r="L118" s="417" t="s">
        <v>2503</v>
      </c>
      <c r="M118" s="417"/>
      <c r="N118" s="416">
        <v>500</v>
      </c>
      <c r="O118" s="416">
        <v>560</v>
      </c>
      <c r="P118" s="416">
        <v>1900</v>
      </c>
    </row>
    <row r="119" spans="12:16">
      <c r="L119" s="417" t="s">
        <v>237</v>
      </c>
      <c r="M119" s="417" t="s">
        <v>2977</v>
      </c>
      <c r="N119" s="416">
        <v>1000</v>
      </c>
      <c r="O119" s="416">
        <v>1189</v>
      </c>
      <c r="P119" s="416">
        <v>1189</v>
      </c>
    </row>
    <row r="120" spans="12:16">
      <c r="L120" s="417" t="s">
        <v>2504</v>
      </c>
      <c r="M120" s="417"/>
      <c r="N120" s="416">
        <v>1000</v>
      </c>
      <c r="O120" s="416">
        <v>1189</v>
      </c>
      <c r="P120" s="416">
        <v>1189</v>
      </c>
    </row>
    <row r="121" spans="12:16">
      <c r="L121" s="417" t="s">
        <v>178</v>
      </c>
      <c r="M121" s="417" t="s">
        <v>2977</v>
      </c>
      <c r="N121" s="416">
        <v>2973</v>
      </c>
      <c r="O121" s="416">
        <v>2600</v>
      </c>
      <c r="P121" s="416">
        <v>2973</v>
      </c>
    </row>
    <row r="122" spans="12:16">
      <c r="L122" s="417" t="s">
        <v>2434</v>
      </c>
      <c r="M122" s="417"/>
      <c r="N122" s="416">
        <v>2973</v>
      </c>
      <c r="O122" s="416">
        <v>2600</v>
      </c>
      <c r="P122" s="416">
        <v>2973</v>
      </c>
    </row>
    <row r="123" spans="12:16">
      <c r="L123" s="417" t="s">
        <v>179</v>
      </c>
      <c r="M123" s="417" t="s">
        <v>2977</v>
      </c>
      <c r="N123" s="416">
        <v>198</v>
      </c>
      <c r="O123" s="416">
        <v>198</v>
      </c>
      <c r="P123" s="416">
        <v>198</v>
      </c>
    </row>
    <row r="124" spans="12:16">
      <c r="L124" s="417" t="s">
        <v>2435</v>
      </c>
      <c r="M124" s="417"/>
      <c r="N124" s="416">
        <v>198</v>
      </c>
      <c r="O124" s="416">
        <v>198</v>
      </c>
      <c r="P124" s="416">
        <v>198</v>
      </c>
    </row>
    <row r="125" spans="12:16">
      <c r="L125" s="417" t="s">
        <v>183</v>
      </c>
      <c r="M125" s="417" t="s">
        <v>2977</v>
      </c>
      <c r="N125" s="416">
        <v>1517</v>
      </c>
      <c r="O125" s="416">
        <v>1517</v>
      </c>
      <c r="P125" s="416">
        <v>899.99999999999989</v>
      </c>
    </row>
    <row r="126" spans="12:16">
      <c r="L126" s="417" t="s">
        <v>2436</v>
      </c>
      <c r="M126" s="417"/>
      <c r="N126" s="416">
        <v>1517</v>
      </c>
      <c r="O126" s="416">
        <v>1517</v>
      </c>
      <c r="P126" s="416">
        <v>899.99999999999989</v>
      </c>
    </row>
    <row r="127" spans="12:16">
      <c r="L127" s="417" t="s">
        <v>39</v>
      </c>
      <c r="M127" s="417" t="s">
        <v>2977</v>
      </c>
      <c r="N127" s="416">
        <v>694</v>
      </c>
      <c r="O127" s="416">
        <v>694</v>
      </c>
      <c r="P127" s="416">
        <v>694</v>
      </c>
    </row>
    <row r="128" spans="12:16">
      <c r="L128" s="417" t="s">
        <v>2505</v>
      </c>
      <c r="M128" s="417"/>
      <c r="N128" s="416">
        <v>694</v>
      </c>
      <c r="O128" s="416">
        <v>694</v>
      </c>
      <c r="P128" s="416">
        <v>694</v>
      </c>
    </row>
    <row r="129" spans="12:16">
      <c r="L129" s="417" t="s">
        <v>165</v>
      </c>
      <c r="M129" s="417" t="s">
        <v>2977</v>
      </c>
      <c r="N129" s="416">
        <v>0</v>
      </c>
      <c r="O129" s="416">
        <v>140</v>
      </c>
      <c r="P129" s="416">
        <v>322</v>
      </c>
    </row>
    <row r="130" spans="12:16">
      <c r="L130" s="417" t="s">
        <v>2437</v>
      </c>
      <c r="M130" s="417"/>
      <c r="N130" s="416">
        <v>0</v>
      </c>
      <c r="O130" s="416">
        <v>140</v>
      </c>
      <c r="P130" s="416">
        <v>322</v>
      </c>
    </row>
    <row r="131" spans="12:16">
      <c r="L131" s="417" t="s">
        <v>210</v>
      </c>
      <c r="M131" s="417" t="s">
        <v>2977</v>
      </c>
      <c r="N131" s="416">
        <v>0</v>
      </c>
      <c r="O131" s="416">
        <v>741</v>
      </c>
      <c r="P131" s="416">
        <v>741</v>
      </c>
    </row>
    <row r="132" spans="12:16">
      <c r="L132" s="417" t="s">
        <v>2506</v>
      </c>
      <c r="M132" s="417"/>
      <c r="N132" s="416">
        <v>0</v>
      </c>
      <c r="O132" s="416">
        <v>741</v>
      </c>
      <c r="P132" s="416">
        <v>741</v>
      </c>
    </row>
    <row r="133" spans="12:16">
      <c r="L133" s="417" t="s">
        <v>287</v>
      </c>
      <c r="M133" s="417" t="s">
        <v>2977</v>
      </c>
      <c r="N133" s="416">
        <v>512</v>
      </c>
      <c r="O133" s="416">
        <v>512</v>
      </c>
      <c r="P133" s="416">
        <v>512</v>
      </c>
    </row>
    <row r="134" spans="12:16">
      <c r="L134" s="417" t="s">
        <v>2507</v>
      </c>
      <c r="M134" s="417"/>
      <c r="N134" s="416">
        <v>512</v>
      </c>
      <c r="O134" s="416">
        <v>512</v>
      </c>
      <c r="P134" s="416">
        <v>512</v>
      </c>
    </row>
    <row r="135" spans="12:16">
      <c r="L135" s="417" t="s">
        <v>166</v>
      </c>
      <c r="M135" s="417" t="s">
        <v>2977</v>
      </c>
      <c r="N135" s="416">
        <v>0</v>
      </c>
      <c r="O135" s="416">
        <v>506</v>
      </c>
      <c r="P135" s="416">
        <v>506</v>
      </c>
    </row>
    <row r="136" spans="12:16">
      <c r="L136" s="417" t="s">
        <v>2438</v>
      </c>
      <c r="M136" s="417"/>
      <c r="N136" s="416">
        <v>0</v>
      </c>
      <c r="O136" s="416">
        <v>506</v>
      </c>
      <c r="P136" s="416">
        <v>506</v>
      </c>
    </row>
    <row r="137" spans="12:16">
      <c r="L137" s="417" t="s">
        <v>557</v>
      </c>
      <c r="M137" s="417" t="s">
        <v>2977</v>
      </c>
      <c r="N137" s="416">
        <v>45</v>
      </c>
      <c r="O137" s="416">
        <v>0</v>
      </c>
      <c r="P137" s="416">
        <v>0</v>
      </c>
    </row>
    <row r="138" spans="12:16">
      <c r="L138" s="417" t="s">
        <v>2508</v>
      </c>
      <c r="M138" s="417"/>
      <c r="N138" s="416">
        <v>45</v>
      </c>
      <c r="O138" s="416">
        <v>0</v>
      </c>
      <c r="P138" s="416">
        <v>0</v>
      </c>
    </row>
    <row r="139" spans="12:16">
      <c r="L139" s="417" t="s">
        <v>554</v>
      </c>
      <c r="M139" s="417" t="s">
        <v>2977</v>
      </c>
      <c r="N139" s="416">
        <v>0</v>
      </c>
      <c r="O139" s="416">
        <v>80</v>
      </c>
      <c r="P139" s="416">
        <v>104</v>
      </c>
    </row>
    <row r="140" spans="12:16">
      <c r="L140" s="417" t="s">
        <v>2509</v>
      </c>
      <c r="M140" s="417"/>
      <c r="N140" s="416">
        <v>0</v>
      </c>
      <c r="O140" s="416">
        <v>80</v>
      </c>
      <c r="P140" s="416">
        <v>104</v>
      </c>
    </row>
    <row r="141" spans="12:16">
      <c r="L141" s="417" t="s">
        <v>298</v>
      </c>
      <c r="M141" s="417" t="s">
        <v>2977</v>
      </c>
      <c r="N141" s="416">
        <v>500</v>
      </c>
      <c r="O141" s="416">
        <v>360</v>
      </c>
      <c r="P141" s="416">
        <v>655</v>
      </c>
    </row>
    <row r="142" spans="12:16">
      <c r="L142" s="417" t="s">
        <v>2510</v>
      </c>
      <c r="M142" s="417"/>
      <c r="N142" s="416">
        <v>500</v>
      </c>
      <c r="O142" s="416">
        <v>360</v>
      </c>
      <c r="P142" s="416">
        <v>655</v>
      </c>
    </row>
    <row r="143" spans="12:16">
      <c r="L143" s="417" t="s">
        <v>300</v>
      </c>
      <c r="M143" s="417" t="s">
        <v>2977</v>
      </c>
      <c r="N143" s="416">
        <v>538</v>
      </c>
      <c r="O143" s="416">
        <v>538</v>
      </c>
      <c r="P143" s="416">
        <v>538</v>
      </c>
    </row>
    <row r="144" spans="12:16">
      <c r="L144" s="417" t="s">
        <v>2511</v>
      </c>
      <c r="M144" s="417"/>
      <c r="N144" s="416">
        <v>538</v>
      </c>
      <c r="O144" s="416">
        <v>538</v>
      </c>
      <c r="P144" s="416">
        <v>538</v>
      </c>
    </row>
    <row r="145" spans="12:16">
      <c r="L145" s="417" t="s">
        <v>301</v>
      </c>
      <c r="M145" s="417" t="s">
        <v>2977</v>
      </c>
      <c r="N145" s="416">
        <v>500</v>
      </c>
      <c r="O145" s="416">
        <v>2354</v>
      </c>
      <c r="P145" s="416">
        <v>1366.6666666666667</v>
      </c>
    </row>
    <row r="146" spans="12:16">
      <c r="L146" s="417" t="s">
        <v>2512</v>
      </c>
      <c r="M146" s="417"/>
      <c r="N146" s="416">
        <v>500</v>
      </c>
      <c r="O146" s="416">
        <v>2354</v>
      </c>
      <c r="P146" s="416">
        <v>1366.6666666666667</v>
      </c>
    </row>
    <row r="147" spans="12:16">
      <c r="L147" s="417" t="s">
        <v>302</v>
      </c>
      <c r="M147" s="417" t="s">
        <v>2977</v>
      </c>
      <c r="N147" s="416">
        <v>737</v>
      </c>
      <c r="O147" s="416">
        <v>737</v>
      </c>
      <c r="P147" s="416">
        <v>737</v>
      </c>
    </row>
    <row r="148" spans="12:16">
      <c r="L148" s="417" t="s">
        <v>2513</v>
      </c>
      <c r="M148" s="417"/>
      <c r="N148" s="416">
        <v>737</v>
      </c>
      <c r="O148" s="416">
        <v>737</v>
      </c>
      <c r="P148" s="416">
        <v>737</v>
      </c>
    </row>
    <row r="149" spans="12:16">
      <c r="L149" s="417" t="s">
        <v>548</v>
      </c>
      <c r="M149" s="417" t="s">
        <v>2977</v>
      </c>
      <c r="N149" s="416">
        <v>125</v>
      </c>
      <c r="O149" s="416">
        <v>125</v>
      </c>
      <c r="P149" s="416">
        <v>125</v>
      </c>
    </row>
    <row r="150" spans="12:16">
      <c r="L150" s="417" t="s">
        <v>2514</v>
      </c>
      <c r="M150" s="417"/>
      <c r="N150" s="416">
        <v>125</v>
      </c>
      <c r="O150" s="416">
        <v>125</v>
      </c>
      <c r="P150" s="416">
        <v>125</v>
      </c>
    </row>
    <row r="151" spans="12:16">
      <c r="L151" s="417" t="s">
        <v>523</v>
      </c>
      <c r="M151" s="417" t="s">
        <v>2977</v>
      </c>
      <c r="N151" s="416">
        <v>157</v>
      </c>
      <c r="O151" s="416">
        <v>157</v>
      </c>
      <c r="P151" s="416">
        <v>157</v>
      </c>
    </row>
    <row r="152" spans="12:16">
      <c r="L152" s="417" t="s">
        <v>2515</v>
      </c>
      <c r="M152" s="417"/>
      <c r="N152" s="416">
        <v>157</v>
      </c>
      <c r="O152" s="416">
        <v>157</v>
      </c>
      <c r="P152" s="416">
        <v>157</v>
      </c>
    </row>
    <row r="153" spans="12:16">
      <c r="L153" s="417" t="s">
        <v>193</v>
      </c>
      <c r="M153" s="417" t="s">
        <v>2977</v>
      </c>
      <c r="N153" s="416">
        <v>0</v>
      </c>
      <c r="O153" s="416">
        <v>789</v>
      </c>
      <c r="P153" s="416">
        <v>789</v>
      </c>
    </row>
    <row r="154" spans="12:16">
      <c r="L154" s="417" t="s">
        <v>2516</v>
      </c>
      <c r="M154" s="417"/>
      <c r="N154" s="416">
        <v>0</v>
      </c>
      <c r="O154" s="416">
        <v>789</v>
      </c>
      <c r="P154" s="416">
        <v>789</v>
      </c>
    </row>
    <row r="155" spans="12:16">
      <c r="L155" s="417" t="s">
        <v>263</v>
      </c>
      <c r="M155" s="417" t="s">
        <v>2977</v>
      </c>
      <c r="N155" s="416">
        <v>82</v>
      </c>
      <c r="O155" s="416">
        <v>82</v>
      </c>
      <c r="P155" s="416">
        <v>82</v>
      </c>
    </row>
    <row r="156" spans="12:16">
      <c r="L156" s="417" t="s">
        <v>2517</v>
      </c>
      <c r="M156" s="417"/>
      <c r="N156" s="416">
        <v>82</v>
      </c>
      <c r="O156" s="416">
        <v>82</v>
      </c>
      <c r="P156" s="416">
        <v>82</v>
      </c>
    </row>
    <row r="157" spans="12:16">
      <c r="L157" s="417" t="s">
        <v>264</v>
      </c>
      <c r="M157" s="417" t="s">
        <v>2977</v>
      </c>
      <c r="N157" s="416">
        <v>78</v>
      </c>
      <c r="O157" s="416">
        <v>78</v>
      </c>
      <c r="P157" s="416">
        <v>78</v>
      </c>
    </row>
    <row r="158" spans="12:16">
      <c r="L158" s="417" t="s">
        <v>2518</v>
      </c>
      <c r="M158" s="417"/>
      <c r="N158" s="416">
        <v>78</v>
      </c>
      <c r="O158" s="416">
        <v>78</v>
      </c>
      <c r="P158" s="416">
        <v>78</v>
      </c>
    </row>
    <row r="159" spans="12:16">
      <c r="L159" s="417" t="s">
        <v>257</v>
      </c>
      <c r="M159" s="417" t="s">
        <v>2977</v>
      </c>
      <c r="N159" s="416">
        <v>0</v>
      </c>
      <c r="O159" s="416">
        <v>0</v>
      </c>
      <c r="P159" s="416">
        <v>15</v>
      </c>
    </row>
    <row r="160" spans="12:16">
      <c r="L160" s="417" t="s">
        <v>2519</v>
      </c>
      <c r="M160" s="417"/>
      <c r="N160" s="416">
        <v>0</v>
      </c>
      <c r="O160" s="416">
        <v>0</v>
      </c>
      <c r="P160" s="416">
        <v>15</v>
      </c>
    </row>
    <row r="161" spans="12:16">
      <c r="L161" s="417" t="s">
        <v>1617</v>
      </c>
      <c r="M161" s="417" t="s">
        <v>2977</v>
      </c>
      <c r="N161" s="416">
        <v>251</v>
      </c>
      <c r="O161" s="416">
        <v>251</v>
      </c>
      <c r="P161" s="416">
        <v>251</v>
      </c>
    </row>
    <row r="162" spans="12:16">
      <c r="L162" s="417" t="s">
        <v>2520</v>
      </c>
      <c r="M162" s="417"/>
      <c r="N162" s="416">
        <v>251</v>
      </c>
      <c r="O162" s="416">
        <v>251</v>
      </c>
      <c r="P162" s="416">
        <v>251</v>
      </c>
    </row>
    <row r="163" spans="12:16">
      <c r="L163" s="417" t="s">
        <v>213</v>
      </c>
      <c r="M163" s="417" t="s">
        <v>2977</v>
      </c>
      <c r="N163" s="416">
        <v>0</v>
      </c>
      <c r="O163" s="416">
        <v>120</v>
      </c>
      <c r="P163" s="416">
        <v>424</v>
      </c>
    </row>
    <row r="164" spans="12:16">
      <c r="L164" s="417" t="s">
        <v>2521</v>
      </c>
      <c r="M164" s="417"/>
      <c r="N164" s="416">
        <v>0</v>
      </c>
      <c r="O164" s="416">
        <v>120</v>
      </c>
      <c r="P164" s="416">
        <v>424</v>
      </c>
    </row>
    <row r="165" spans="12:16">
      <c r="L165" s="417" t="s">
        <v>545</v>
      </c>
      <c r="M165" s="417" t="s">
        <v>2977</v>
      </c>
      <c r="N165" s="416">
        <v>176</v>
      </c>
      <c r="O165" s="416">
        <v>176</v>
      </c>
      <c r="P165" s="416">
        <v>176</v>
      </c>
    </row>
    <row r="166" spans="12:16">
      <c r="L166" s="417" t="s">
        <v>2522</v>
      </c>
      <c r="M166" s="417"/>
      <c r="N166" s="416">
        <v>176</v>
      </c>
      <c r="O166" s="416">
        <v>176</v>
      </c>
      <c r="P166" s="416">
        <v>176</v>
      </c>
    </row>
    <row r="167" spans="12:16">
      <c r="L167" s="417" t="s">
        <v>190</v>
      </c>
      <c r="M167" s="417" t="s">
        <v>2977</v>
      </c>
      <c r="N167" s="416">
        <v>0</v>
      </c>
      <c r="O167" s="416">
        <v>0</v>
      </c>
      <c r="P167" s="416">
        <v>105</v>
      </c>
    </row>
    <row r="168" spans="12:16">
      <c r="L168" s="417" t="s">
        <v>2523</v>
      </c>
      <c r="M168" s="417"/>
      <c r="N168" s="416">
        <v>0</v>
      </c>
      <c r="O168" s="416">
        <v>0</v>
      </c>
      <c r="P168" s="416">
        <v>105</v>
      </c>
    </row>
    <row r="169" spans="12:16">
      <c r="L169" s="417" t="s">
        <v>527</v>
      </c>
      <c r="M169" s="417" t="s">
        <v>2977</v>
      </c>
      <c r="N169" s="416">
        <v>396</v>
      </c>
      <c r="O169" s="416">
        <v>396</v>
      </c>
      <c r="P169" s="416">
        <v>396</v>
      </c>
    </row>
    <row r="170" spans="12:16">
      <c r="L170" s="417" t="s">
        <v>2524</v>
      </c>
      <c r="M170" s="417"/>
      <c r="N170" s="416">
        <v>396</v>
      </c>
      <c r="O170" s="416">
        <v>396</v>
      </c>
      <c r="P170" s="416">
        <v>396</v>
      </c>
    </row>
    <row r="171" spans="12:16">
      <c r="L171" s="417" t="s">
        <v>562</v>
      </c>
      <c r="M171" s="417" t="s">
        <v>2977</v>
      </c>
      <c r="N171" s="416">
        <v>0</v>
      </c>
      <c r="O171" s="416">
        <v>200</v>
      </c>
      <c r="P171" s="416">
        <v>323</v>
      </c>
    </row>
    <row r="172" spans="12:16">
      <c r="L172" s="417" t="s">
        <v>2525</v>
      </c>
      <c r="M172" s="417"/>
      <c r="N172" s="416">
        <v>0</v>
      </c>
      <c r="O172" s="416">
        <v>200</v>
      </c>
      <c r="P172" s="416">
        <v>323</v>
      </c>
    </row>
    <row r="173" spans="12:16">
      <c r="L173" s="417" t="s">
        <v>551</v>
      </c>
      <c r="M173" s="417" t="s">
        <v>2977</v>
      </c>
      <c r="N173" s="416">
        <v>31</v>
      </c>
      <c r="O173" s="416">
        <v>31</v>
      </c>
      <c r="P173" s="416">
        <v>31</v>
      </c>
    </row>
    <row r="174" spans="12:16">
      <c r="L174" s="417" t="s">
        <v>2526</v>
      </c>
      <c r="M174" s="417"/>
      <c r="N174" s="416">
        <v>31</v>
      </c>
      <c r="O174" s="416">
        <v>31</v>
      </c>
      <c r="P174" s="416">
        <v>31</v>
      </c>
    </row>
    <row r="175" spans="12:16">
      <c r="L175" s="417" t="s">
        <v>517</v>
      </c>
      <c r="M175" s="417" t="s">
        <v>2977</v>
      </c>
      <c r="N175" s="416">
        <v>213</v>
      </c>
      <c r="O175" s="416">
        <v>213</v>
      </c>
      <c r="P175" s="416">
        <v>213</v>
      </c>
    </row>
    <row r="176" spans="12:16">
      <c r="L176" s="417" t="s">
        <v>2527</v>
      </c>
      <c r="M176" s="417"/>
      <c r="N176" s="416">
        <v>213</v>
      </c>
      <c r="O176" s="416">
        <v>213</v>
      </c>
      <c r="P176" s="416">
        <v>213</v>
      </c>
    </row>
    <row r="177" spans="12:16">
      <c r="L177" s="417" t="s">
        <v>531</v>
      </c>
      <c r="M177" s="417" t="s">
        <v>2977</v>
      </c>
      <c r="N177" s="416">
        <v>250</v>
      </c>
      <c r="O177" s="416">
        <v>250</v>
      </c>
      <c r="P177" s="416">
        <v>250</v>
      </c>
    </row>
    <row r="178" spans="12:16">
      <c r="L178" s="417" t="s">
        <v>2528</v>
      </c>
      <c r="M178" s="417"/>
      <c r="N178" s="416">
        <v>250</v>
      </c>
      <c r="O178" s="416">
        <v>250</v>
      </c>
      <c r="P178" s="416">
        <v>250</v>
      </c>
    </row>
    <row r="179" spans="12:16">
      <c r="L179" s="417" t="s">
        <v>1618</v>
      </c>
      <c r="M179" s="417" t="s">
        <v>2977</v>
      </c>
      <c r="N179" s="416">
        <v>158</v>
      </c>
      <c r="O179" s="416">
        <v>158</v>
      </c>
      <c r="P179" s="416">
        <v>158</v>
      </c>
    </row>
    <row r="180" spans="12:16">
      <c r="L180" s="417" t="s">
        <v>2529</v>
      </c>
      <c r="M180" s="417"/>
      <c r="N180" s="416">
        <v>158</v>
      </c>
      <c r="O180" s="416">
        <v>158</v>
      </c>
      <c r="P180" s="416">
        <v>158</v>
      </c>
    </row>
    <row r="181" spans="12:16">
      <c r="L181" s="417" t="s">
        <v>258</v>
      </c>
      <c r="M181" s="417" t="s">
        <v>2977</v>
      </c>
      <c r="N181" s="416">
        <v>24</v>
      </c>
      <c r="O181" s="416">
        <v>24</v>
      </c>
      <c r="P181" s="416">
        <v>24</v>
      </c>
    </row>
    <row r="182" spans="12:16">
      <c r="L182" s="417" t="s">
        <v>2530</v>
      </c>
      <c r="M182" s="417"/>
      <c r="N182" s="416">
        <v>24</v>
      </c>
      <c r="O182" s="416">
        <v>24</v>
      </c>
      <c r="P182" s="416">
        <v>24</v>
      </c>
    </row>
    <row r="183" spans="12:16">
      <c r="L183" s="417" t="s">
        <v>535</v>
      </c>
      <c r="M183" s="417" t="s">
        <v>2977</v>
      </c>
      <c r="N183" s="416">
        <v>206</v>
      </c>
      <c r="O183" s="416">
        <v>206</v>
      </c>
      <c r="P183" s="416">
        <v>206</v>
      </c>
    </row>
    <row r="184" spans="12:16">
      <c r="L184" s="417" t="s">
        <v>2531</v>
      </c>
      <c r="M184" s="417"/>
      <c r="N184" s="416">
        <v>206</v>
      </c>
      <c r="O184" s="416">
        <v>206</v>
      </c>
      <c r="P184" s="416">
        <v>206</v>
      </c>
    </row>
    <row r="185" spans="12:16">
      <c r="L185" s="417" t="s">
        <v>547</v>
      </c>
      <c r="M185" s="417" t="s">
        <v>2977</v>
      </c>
      <c r="N185" s="416">
        <v>141</v>
      </c>
      <c r="O185" s="416">
        <v>141</v>
      </c>
      <c r="P185" s="416">
        <v>141</v>
      </c>
    </row>
    <row r="186" spans="12:16">
      <c r="L186" s="417" t="s">
        <v>2532</v>
      </c>
      <c r="M186" s="417"/>
      <c r="N186" s="416">
        <v>141</v>
      </c>
      <c r="O186" s="416">
        <v>141</v>
      </c>
      <c r="P186" s="416">
        <v>141</v>
      </c>
    </row>
    <row r="187" spans="12:16">
      <c r="L187" s="417" t="s">
        <v>1612</v>
      </c>
      <c r="M187" s="417" t="s">
        <v>2977</v>
      </c>
      <c r="N187" s="416">
        <v>607</v>
      </c>
      <c r="O187" s="416">
        <v>400</v>
      </c>
      <c r="P187" s="416">
        <v>607</v>
      </c>
    </row>
    <row r="188" spans="12:16">
      <c r="L188" s="417" t="s">
        <v>2439</v>
      </c>
      <c r="M188" s="417"/>
      <c r="N188" s="416">
        <v>607</v>
      </c>
      <c r="O188" s="416">
        <v>400</v>
      </c>
      <c r="P188" s="416">
        <v>607</v>
      </c>
    </row>
    <row r="189" spans="12:16">
      <c r="L189" s="417" t="s">
        <v>234</v>
      </c>
      <c r="M189" s="417" t="s">
        <v>2977</v>
      </c>
      <c r="N189" s="416">
        <v>274</v>
      </c>
      <c r="O189" s="416">
        <v>274</v>
      </c>
      <c r="P189" s="416">
        <v>274</v>
      </c>
    </row>
    <row r="190" spans="12:16">
      <c r="L190" s="417" t="s">
        <v>2533</v>
      </c>
      <c r="M190" s="417"/>
      <c r="N190" s="416">
        <v>274</v>
      </c>
      <c r="O190" s="416">
        <v>274</v>
      </c>
      <c r="P190" s="416">
        <v>274</v>
      </c>
    </row>
    <row r="191" spans="12:16">
      <c r="L191" s="417" t="s">
        <v>231</v>
      </c>
      <c r="M191" s="417" t="s">
        <v>2977</v>
      </c>
      <c r="N191" s="416">
        <v>228</v>
      </c>
      <c r="O191" s="416">
        <v>228</v>
      </c>
      <c r="P191" s="416">
        <v>228</v>
      </c>
    </row>
    <row r="192" spans="12:16">
      <c r="L192" s="417" t="s">
        <v>2534</v>
      </c>
      <c r="M192" s="417"/>
      <c r="N192" s="416">
        <v>228</v>
      </c>
      <c r="O192" s="416">
        <v>228</v>
      </c>
      <c r="P192" s="416">
        <v>228</v>
      </c>
    </row>
    <row r="193" spans="12:16">
      <c r="L193" s="417" t="s">
        <v>155</v>
      </c>
      <c r="M193" s="417" t="s">
        <v>2977</v>
      </c>
      <c r="N193" s="416">
        <v>0</v>
      </c>
      <c r="O193" s="416">
        <v>51</v>
      </c>
      <c r="P193" s="416">
        <v>51</v>
      </c>
    </row>
    <row r="194" spans="12:16">
      <c r="L194" s="417" t="s">
        <v>2440</v>
      </c>
      <c r="M194" s="417"/>
      <c r="N194" s="416">
        <v>0</v>
      </c>
      <c r="O194" s="416">
        <v>51</v>
      </c>
      <c r="P194" s="416">
        <v>51</v>
      </c>
    </row>
    <row r="195" spans="12:16">
      <c r="L195" s="417" t="s">
        <v>270</v>
      </c>
      <c r="M195" s="417" t="s">
        <v>2977</v>
      </c>
      <c r="N195" s="416">
        <v>86</v>
      </c>
      <c r="O195" s="416">
        <v>81</v>
      </c>
      <c r="P195" s="416">
        <v>86</v>
      </c>
    </row>
    <row r="196" spans="12:16">
      <c r="L196" s="417" t="s">
        <v>2535</v>
      </c>
      <c r="M196" s="417"/>
      <c r="N196" s="416">
        <v>86</v>
      </c>
      <c r="O196" s="416">
        <v>81</v>
      </c>
      <c r="P196" s="416">
        <v>86</v>
      </c>
    </row>
    <row r="197" spans="12:16">
      <c r="L197" s="417" t="s">
        <v>158</v>
      </c>
      <c r="M197" s="417" t="s">
        <v>2977</v>
      </c>
      <c r="N197" s="416">
        <v>0</v>
      </c>
      <c r="O197" s="416">
        <v>100</v>
      </c>
      <c r="P197" s="416">
        <v>127</v>
      </c>
    </row>
    <row r="198" spans="12:16">
      <c r="L198" s="417" t="s">
        <v>2441</v>
      </c>
      <c r="M198" s="417"/>
      <c r="N198" s="416">
        <v>0</v>
      </c>
      <c r="O198" s="416">
        <v>100</v>
      </c>
      <c r="P198" s="416">
        <v>127</v>
      </c>
    </row>
    <row r="199" spans="12:16">
      <c r="L199" s="417" t="s">
        <v>185</v>
      </c>
      <c r="M199" s="417" t="s">
        <v>2977</v>
      </c>
      <c r="N199" s="416">
        <v>500</v>
      </c>
      <c r="O199" s="416">
        <v>673</v>
      </c>
      <c r="P199" s="416">
        <v>673</v>
      </c>
    </row>
    <row r="200" spans="12:16">
      <c r="L200" s="417" t="s">
        <v>2442</v>
      </c>
      <c r="M200" s="417"/>
      <c r="N200" s="416">
        <v>500</v>
      </c>
      <c r="O200" s="416">
        <v>673</v>
      </c>
      <c r="P200" s="416">
        <v>673</v>
      </c>
    </row>
    <row r="201" spans="12:16">
      <c r="L201" s="417" t="s">
        <v>542</v>
      </c>
      <c r="M201" s="417" t="s">
        <v>2977</v>
      </c>
      <c r="N201" s="416">
        <v>500</v>
      </c>
      <c r="O201" s="416">
        <v>525</v>
      </c>
      <c r="P201" s="416">
        <v>533.33333333333337</v>
      </c>
    </row>
    <row r="202" spans="12:16">
      <c r="L202" s="417" t="s">
        <v>2536</v>
      </c>
      <c r="M202" s="417"/>
      <c r="N202" s="416">
        <v>500</v>
      </c>
      <c r="O202" s="416">
        <v>525</v>
      </c>
      <c r="P202" s="416">
        <v>533.33333333333337</v>
      </c>
    </row>
    <row r="203" spans="12:16">
      <c r="L203" s="417" t="s">
        <v>295</v>
      </c>
      <c r="M203" s="417" t="s">
        <v>2977</v>
      </c>
      <c r="N203" s="416">
        <v>1570</v>
      </c>
      <c r="O203" s="416">
        <v>1570</v>
      </c>
      <c r="P203" s="416">
        <v>1500</v>
      </c>
    </row>
    <row r="204" spans="12:16">
      <c r="L204" s="417" t="s">
        <v>2537</v>
      </c>
      <c r="M204" s="417"/>
      <c r="N204" s="416">
        <v>1570</v>
      </c>
      <c r="O204" s="416">
        <v>1570</v>
      </c>
      <c r="P204" s="416">
        <v>1500</v>
      </c>
    </row>
    <row r="205" spans="12:16">
      <c r="L205" s="417" t="s">
        <v>167</v>
      </c>
      <c r="M205" s="417" t="s">
        <v>2977</v>
      </c>
      <c r="N205" s="416">
        <v>0</v>
      </c>
      <c r="O205" s="416">
        <v>300</v>
      </c>
      <c r="P205" s="416">
        <v>320</v>
      </c>
    </row>
    <row r="206" spans="12:16">
      <c r="L206" s="417" t="s">
        <v>2443</v>
      </c>
      <c r="M206" s="417"/>
      <c r="N206" s="416">
        <v>0</v>
      </c>
      <c r="O206" s="416">
        <v>300</v>
      </c>
      <c r="P206" s="416">
        <v>320</v>
      </c>
    </row>
    <row r="207" spans="12:16">
      <c r="L207" s="417" t="s">
        <v>284</v>
      </c>
      <c r="M207" s="417" t="s">
        <v>2977</v>
      </c>
      <c r="N207" s="416">
        <v>297</v>
      </c>
      <c r="O207" s="416">
        <v>263</v>
      </c>
      <c r="P207" s="416">
        <v>297</v>
      </c>
    </row>
    <row r="208" spans="12:16">
      <c r="L208" s="417" t="s">
        <v>2538</v>
      </c>
      <c r="M208" s="417"/>
      <c r="N208" s="416">
        <v>297</v>
      </c>
      <c r="O208" s="416">
        <v>263</v>
      </c>
      <c r="P208" s="416">
        <v>297</v>
      </c>
    </row>
    <row r="209" spans="12:16">
      <c r="L209" s="417" t="s">
        <v>235</v>
      </c>
      <c r="M209" s="417" t="s">
        <v>2977</v>
      </c>
      <c r="N209" s="416">
        <v>948</v>
      </c>
      <c r="O209" s="416">
        <v>680</v>
      </c>
      <c r="P209" s="416">
        <v>948</v>
      </c>
    </row>
    <row r="210" spans="12:16">
      <c r="L210" s="417" t="s">
        <v>2539</v>
      </c>
      <c r="M210" s="417"/>
      <c r="N210" s="416">
        <v>948</v>
      </c>
      <c r="O210" s="416">
        <v>680</v>
      </c>
      <c r="P210" s="416">
        <v>948</v>
      </c>
    </row>
    <row r="211" spans="12:16">
      <c r="L211" s="417" t="s">
        <v>1605</v>
      </c>
      <c r="M211" s="417" t="s">
        <v>2977</v>
      </c>
      <c r="N211" s="416">
        <v>500</v>
      </c>
      <c r="O211" s="416">
        <v>1213</v>
      </c>
      <c r="P211" s="416">
        <v>1213</v>
      </c>
    </row>
    <row r="212" spans="12:16">
      <c r="L212" s="417" t="s">
        <v>2540</v>
      </c>
      <c r="M212" s="417"/>
      <c r="N212" s="416">
        <v>500</v>
      </c>
      <c r="O212" s="416">
        <v>1213</v>
      </c>
      <c r="P212" s="416">
        <v>1213</v>
      </c>
    </row>
    <row r="213" spans="12:16">
      <c r="L213" s="417" t="s">
        <v>296</v>
      </c>
      <c r="M213" s="417" t="s">
        <v>2977</v>
      </c>
      <c r="N213" s="416">
        <v>3000</v>
      </c>
      <c r="O213" s="416">
        <v>3120</v>
      </c>
      <c r="P213" s="416">
        <v>250</v>
      </c>
    </row>
    <row r="214" spans="12:16">
      <c r="L214" s="417" t="s">
        <v>2541</v>
      </c>
      <c r="M214" s="417"/>
      <c r="N214" s="416">
        <v>3000</v>
      </c>
      <c r="O214" s="416">
        <v>3120</v>
      </c>
      <c r="P214" s="416">
        <v>250</v>
      </c>
    </row>
    <row r="215" spans="12:16">
      <c r="L215" s="417" t="s">
        <v>180</v>
      </c>
      <c r="M215" s="417" t="s">
        <v>2977</v>
      </c>
      <c r="N215" s="416">
        <v>1059</v>
      </c>
      <c r="O215" s="416">
        <v>850</v>
      </c>
      <c r="P215" s="416">
        <v>1059</v>
      </c>
    </row>
    <row r="216" spans="12:16">
      <c r="L216" s="417" t="s">
        <v>2444</v>
      </c>
      <c r="M216" s="417"/>
      <c r="N216" s="416">
        <v>1059</v>
      </c>
      <c r="O216" s="416">
        <v>850</v>
      </c>
      <c r="P216" s="416">
        <v>1059</v>
      </c>
    </row>
    <row r="217" spans="12:16">
      <c r="L217" s="417" t="s">
        <v>561</v>
      </c>
      <c r="M217" s="417" t="s">
        <v>2977</v>
      </c>
      <c r="N217" s="416">
        <v>221</v>
      </c>
      <c r="O217" s="416">
        <v>221</v>
      </c>
      <c r="P217" s="416">
        <v>221</v>
      </c>
    </row>
    <row r="218" spans="12:16">
      <c r="L218" s="417" t="s">
        <v>2542</v>
      </c>
      <c r="M218" s="417"/>
      <c r="N218" s="416">
        <v>221</v>
      </c>
      <c r="O218" s="416">
        <v>221</v>
      </c>
      <c r="P218" s="416">
        <v>221</v>
      </c>
    </row>
    <row r="219" spans="12:16">
      <c r="L219" s="417" t="s">
        <v>1590</v>
      </c>
      <c r="M219" s="417" t="s">
        <v>2977</v>
      </c>
      <c r="N219" s="416">
        <v>0</v>
      </c>
      <c r="O219" s="416">
        <v>100</v>
      </c>
      <c r="P219" s="416">
        <v>1397</v>
      </c>
    </row>
    <row r="220" spans="12:16">
      <c r="L220" s="417" t="s">
        <v>2445</v>
      </c>
      <c r="M220" s="417"/>
      <c r="N220" s="416">
        <v>0</v>
      </c>
      <c r="O220" s="416">
        <v>100</v>
      </c>
      <c r="P220" s="416">
        <v>1397</v>
      </c>
    </row>
    <row r="221" spans="12:16">
      <c r="L221" s="417" t="s">
        <v>279</v>
      </c>
      <c r="M221" s="417" t="s">
        <v>2977</v>
      </c>
      <c r="N221" s="416">
        <v>0</v>
      </c>
      <c r="O221" s="416">
        <v>334</v>
      </c>
      <c r="P221" s="416">
        <v>334</v>
      </c>
    </row>
    <row r="222" spans="12:16">
      <c r="L222" s="417" t="s">
        <v>2543</v>
      </c>
      <c r="M222" s="417"/>
      <c r="N222" s="416">
        <v>0</v>
      </c>
      <c r="O222" s="416">
        <v>334</v>
      </c>
      <c r="P222" s="416">
        <v>334</v>
      </c>
    </row>
    <row r="223" spans="12:16">
      <c r="L223" s="417" t="s">
        <v>271</v>
      </c>
      <c r="M223" s="417" t="s">
        <v>2977</v>
      </c>
      <c r="N223" s="416">
        <v>298</v>
      </c>
      <c r="O223" s="416">
        <v>298</v>
      </c>
      <c r="P223" s="416">
        <v>298</v>
      </c>
    </row>
    <row r="224" spans="12:16">
      <c r="L224" s="417" t="s">
        <v>2544</v>
      </c>
      <c r="M224" s="417"/>
      <c r="N224" s="416">
        <v>298</v>
      </c>
      <c r="O224" s="416">
        <v>298</v>
      </c>
      <c r="P224" s="416">
        <v>298</v>
      </c>
    </row>
    <row r="225" spans="12:16">
      <c r="L225" s="417" t="s">
        <v>181</v>
      </c>
      <c r="M225" s="417" t="s">
        <v>2977</v>
      </c>
      <c r="N225" s="416">
        <v>193</v>
      </c>
      <c r="O225" s="416">
        <v>193</v>
      </c>
      <c r="P225" s="416">
        <v>193</v>
      </c>
    </row>
    <row r="226" spans="12:16">
      <c r="L226" s="417" t="s">
        <v>2446</v>
      </c>
      <c r="M226" s="417"/>
      <c r="N226" s="416">
        <v>193</v>
      </c>
      <c r="O226" s="416">
        <v>193</v>
      </c>
      <c r="P226" s="416">
        <v>193</v>
      </c>
    </row>
    <row r="227" spans="12:16">
      <c r="L227" s="417" t="s">
        <v>259</v>
      </c>
      <c r="M227" s="417" t="s">
        <v>2977</v>
      </c>
      <c r="N227" s="416">
        <v>72</v>
      </c>
      <c r="O227" s="416">
        <v>40</v>
      </c>
      <c r="P227" s="416">
        <v>72</v>
      </c>
    </row>
    <row r="228" spans="12:16">
      <c r="L228" s="417" t="s">
        <v>2545</v>
      </c>
      <c r="M228" s="417"/>
      <c r="N228" s="416">
        <v>72</v>
      </c>
      <c r="O228" s="416">
        <v>40</v>
      </c>
      <c r="P228" s="416">
        <v>72</v>
      </c>
    </row>
    <row r="229" spans="12:16">
      <c r="L229" s="417" t="s">
        <v>280</v>
      </c>
      <c r="M229" s="417" t="s">
        <v>2977</v>
      </c>
      <c r="N229" s="416">
        <v>3000</v>
      </c>
      <c r="O229" s="416">
        <v>2983</v>
      </c>
      <c r="P229" s="416">
        <v>3451</v>
      </c>
    </row>
    <row r="230" spans="12:16">
      <c r="L230" s="417" t="s">
        <v>2546</v>
      </c>
      <c r="M230" s="417"/>
      <c r="N230" s="416">
        <v>3000</v>
      </c>
      <c r="O230" s="416">
        <v>2983</v>
      </c>
      <c r="P230" s="416">
        <v>3451</v>
      </c>
    </row>
    <row r="231" spans="12:16">
      <c r="L231" s="417" t="s">
        <v>778</v>
      </c>
      <c r="M231" s="417" t="s">
        <v>2977</v>
      </c>
      <c r="N231" s="416">
        <v>0</v>
      </c>
      <c r="O231" s="416">
        <v>0</v>
      </c>
      <c r="P231" s="416">
        <v>0</v>
      </c>
    </row>
    <row r="232" spans="12:16">
      <c r="L232" s="417" t="s">
        <v>2547</v>
      </c>
      <c r="M232" s="417"/>
      <c r="N232" s="416">
        <v>0</v>
      </c>
      <c r="O232" s="416">
        <v>0</v>
      </c>
      <c r="P232" s="416">
        <v>0</v>
      </c>
    </row>
    <row r="233" spans="12:16">
      <c r="L233" s="417" t="s">
        <v>187</v>
      </c>
      <c r="M233" s="417" t="s">
        <v>2977</v>
      </c>
      <c r="N233" s="416">
        <v>0</v>
      </c>
      <c r="O233" s="416">
        <v>362</v>
      </c>
      <c r="P233" s="416">
        <v>362</v>
      </c>
    </row>
    <row r="234" spans="12:16">
      <c r="L234" s="417" t="s">
        <v>2447</v>
      </c>
      <c r="M234" s="417"/>
      <c r="N234" s="416">
        <v>0</v>
      </c>
      <c r="O234" s="416">
        <v>362</v>
      </c>
      <c r="P234" s="416">
        <v>362</v>
      </c>
    </row>
    <row r="235" spans="12:16">
      <c r="L235" s="417" t="s">
        <v>156</v>
      </c>
      <c r="M235" s="417" t="s">
        <v>2977</v>
      </c>
      <c r="N235" s="416">
        <v>0</v>
      </c>
      <c r="O235" s="416">
        <v>141</v>
      </c>
      <c r="P235" s="416">
        <v>141</v>
      </c>
    </row>
    <row r="236" spans="12:16">
      <c r="L236" s="417" t="s">
        <v>2448</v>
      </c>
      <c r="M236" s="417"/>
      <c r="N236" s="416">
        <v>0</v>
      </c>
      <c r="O236" s="416">
        <v>141</v>
      </c>
      <c r="P236" s="416">
        <v>141</v>
      </c>
    </row>
    <row r="237" spans="12:16">
      <c r="L237" s="417" t="s">
        <v>286</v>
      </c>
      <c r="M237" s="417" t="s">
        <v>2977</v>
      </c>
      <c r="N237" s="416">
        <v>266</v>
      </c>
      <c r="O237" s="416">
        <v>266</v>
      </c>
      <c r="P237" s="416">
        <v>266</v>
      </c>
    </row>
    <row r="238" spans="12:16">
      <c r="L238" s="417" t="s">
        <v>2548</v>
      </c>
      <c r="M238" s="417"/>
      <c r="N238" s="416">
        <v>266</v>
      </c>
      <c r="O238" s="416">
        <v>266</v>
      </c>
      <c r="P238" s="416">
        <v>266</v>
      </c>
    </row>
    <row r="239" spans="12:16">
      <c r="L239" s="417" t="s">
        <v>143</v>
      </c>
      <c r="M239" s="417" t="s">
        <v>2977</v>
      </c>
      <c r="N239" s="416">
        <v>1438</v>
      </c>
      <c r="O239" s="416">
        <v>1438</v>
      </c>
      <c r="P239" s="416">
        <v>1438</v>
      </c>
    </row>
    <row r="240" spans="12:16">
      <c r="L240" s="417" t="s">
        <v>2449</v>
      </c>
      <c r="M240" s="417"/>
      <c r="N240" s="416">
        <v>1438</v>
      </c>
      <c r="O240" s="416">
        <v>1438</v>
      </c>
      <c r="P240" s="416">
        <v>1438</v>
      </c>
    </row>
    <row r="241" spans="12:16">
      <c r="L241" s="417" t="s">
        <v>188</v>
      </c>
      <c r="M241" s="417" t="s">
        <v>2977</v>
      </c>
      <c r="N241" s="416">
        <v>0</v>
      </c>
      <c r="O241" s="416">
        <v>100</v>
      </c>
      <c r="P241" s="416">
        <v>116</v>
      </c>
    </row>
    <row r="242" spans="12:16">
      <c r="L242" s="417" t="s">
        <v>2450</v>
      </c>
      <c r="M242" s="417"/>
      <c r="N242" s="416">
        <v>0</v>
      </c>
      <c r="O242" s="416">
        <v>100</v>
      </c>
      <c r="P242" s="416">
        <v>116</v>
      </c>
    </row>
    <row r="243" spans="12:16">
      <c r="L243" s="417" t="s">
        <v>168</v>
      </c>
      <c r="M243" s="417" t="s">
        <v>2977</v>
      </c>
      <c r="N243" s="416">
        <v>500</v>
      </c>
      <c r="O243" s="416">
        <v>260</v>
      </c>
      <c r="P243" s="416">
        <v>595</v>
      </c>
    </row>
    <row r="244" spans="12:16">
      <c r="L244" s="417" t="s">
        <v>2451</v>
      </c>
      <c r="M244" s="417"/>
      <c r="N244" s="416">
        <v>500</v>
      </c>
      <c r="O244" s="416">
        <v>260</v>
      </c>
      <c r="P244" s="416">
        <v>595</v>
      </c>
    </row>
    <row r="245" spans="12:16">
      <c r="L245" s="417" t="s">
        <v>265</v>
      </c>
      <c r="M245" s="417" t="s">
        <v>2977</v>
      </c>
      <c r="N245" s="416">
        <v>101</v>
      </c>
      <c r="O245" s="416">
        <v>100</v>
      </c>
      <c r="P245" s="416">
        <v>101</v>
      </c>
    </row>
    <row r="246" spans="12:16">
      <c r="L246" s="417" t="s">
        <v>2549</v>
      </c>
      <c r="M246" s="417"/>
      <c r="N246" s="416">
        <v>101</v>
      </c>
      <c r="O246" s="416">
        <v>100</v>
      </c>
      <c r="P246" s="416">
        <v>101</v>
      </c>
    </row>
    <row r="247" spans="12:16">
      <c r="L247" s="417" t="s">
        <v>182</v>
      </c>
      <c r="M247" s="417" t="s">
        <v>2977</v>
      </c>
      <c r="N247" s="416">
        <v>1050</v>
      </c>
      <c r="O247" s="416">
        <v>1050</v>
      </c>
      <c r="P247" s="416">
        <v>0</v>
      </c>
    </row>
    <row r="248" spans="12:16">
      <c r="L248" s="417" t="s">
        <v>2452</v>
      </c>
      <c r="M248" s="417"/>
      <c r="N248" s="416">
        <v>1050</v>
      </c>
      <c r="O248" s="416">
        <v>1050</v>
      </c>
      <c r="P248" s="416">
        <v>0</v>
      </c>
    </row>
    <row r="249" spans="12:16">
      <c r="L249" s="417" t="s">
        <v>215</v>
      </c>
      <c r="M249" s="417" t="s">
        <v>2977</v>
      </c>
      <c r="N249" s="416">
        <v>300</v>
      </c>
      <c r="O249" s="416">
        <v>284</v>
      </c>
      <c r="P249" s="416">
        <v>300</v>
      </c>
    </row>
    <row r="250" spans="12:16">
      <c r="L250" s="417" t="s">
        <v>2550</v>
      </c>
      <c r="M250" s="417"/>
      <c r="N250" s="416">
        <v>300</v>
      </c>
      <c r="O250" s="416">
        <v>284</v>
      </c>
      <c r="P250" s="416">
        <v>300</v>
      </c>
    </row>
    <row r="251" spans="12:16">
      <c r="L251" s="417" t="s">
        <v>216</v>
      </c>
      <c r="M251" s="417" t="s">
        <v>2977</v>
      </c>
      <c r="N251" s="416">
        <v>0</v>
      </c>
      <c r="O251" s="416">
        <v>182</v>
      </c>
      <c r="P251" s="416">
        <v>182</v>
      </c>
    </row>
    <row r="252" spans="12:16">
      <c r="L252" s="417" t="s">
        <v>2551</v>
      </c>
      <c r="M252" s="417"/>
      <c r="N252" s="416">
        <v>0</v>
      </c>
      <c r="O252" s="416">
        <v>182</v>
      </c>
      <c r="P252" s="416">
        <v>182</v>
      </c>
    </row>
    <row r="253" spans="12:16">
      <c r="L253" s="417" t="s">
        <v>169</v>
      </c>
      <c r="M253" s="417" t="s">
        <v>2977</v>
      </c>
      <c r="N253" s="416">
        <v>0</v>
      </c>
      <c r="O253" s="416">
        <v>340</v>
      </c>
      <c r="P253" s="416">
        <v>629</v>
      </c>
    </row>
    <row r="254" spans="12:16">
      <c r="L254" s="417" t="s">
        <v>2453</v>
      </c>
      <c r="M254" s="417"/>
      <c r="N254" s="416">
        <v>0</v>
      </c>
      <c r="O254" s="416">
        <v>340</v>
      </c>
      <c r="P254" s="416">
        <v>629</v>
      </c>
    </row>
    <row r="255" spans="12:16">
      <c r="L255" s="417" t="s">
        <v>1717</v>
      </c>
      <c r="M255" s="417" t="s">
        <v>2977</v>
      </c>
      <c r="N255" s="416">
        <v>500</v>
      </c>
      <c r="O255" s="416">
        <v>20</v>
      </c>
      <c r="P255" s="416">
        <v>628</v>
      </c>
    </row>
    <row r="256" spans="12:16">
      <c r="L256" s="417" t="s">
        <v>2552</v>
      </c>
      <c r="M256" s="417"/>
      <c r="N256" s="416">
        <v>500</v>
      </c>
      <c r="O256" s="416">
        <v>20</v>
      </c>
      <c r="P256" s="416">
        <v>628</v>
      </c>
    </row>
    <row r="257" spans="12:16">
      <c r="L257" s="417" t="s">
        <v>865</v>
      </c>
      <c r="M257" s="417" t="s">
        <v>2977</v>
      </c>
      <c r="N257" s="416">
        <v>174</v>
      </c>
      <c r="O257" s="416">
        <v>40</v>
      </c>
      <c r="P257" s="416">
        <v>174</v>
      </c>
    </row>
    <row r="258" spans="12:16">
      <c r="L258" s="417" t="s">
        <v>2553</v>
      </c>
      <c r="M258" s="417"/>
      <c r="N258" s="416">
        <v>174</v>
      </c>
      <c r="O258" s="416">
        <v>40</v>
      </c>
      <c r="P258" s="416">
        <v>174</v>
      </c>
    </row>
    <row r="259" spans="12:16">
      <c r="L259" s="417" t="s">
        <v>1615</v>
      </c>
      <c r="M259" s="417" t="s">
        <v>2977</v>
      </c>
      <c r="N259" s="416">
        <v>0</v>
      </c>
      <c r="O259" s="416">
        <v>413</v>
      </c>
      <c r="P259" s="416">
        <v>413</v>
      </c>
    </row>
    <row r="260" spans="12:16">
      <c r="L260" s="417" t="s">
        <v>2554</v>
      </c>
      <c r="M260" s="417"/>
      <c r="N260" s="416">
        <v>0</v>
      </c>
      <c r="O260" s="416">
        <v>413</v>
      </c>
      <c r="P260" s="416">
        <v>413</v>
      </c>
    </row>
    <row r="261" spans="12:16">
      <c r="L261" s="417" t="s">
        <v>170</v>
      </c>
      <c r="M261" s="417" t="s">
        <v>2977</v>
      </c>
      <c r="N261" s="416">
        <v>500</v>
      </c>
      <c r="O261" s="416">
        <v>220</v>
      </c>
      <c r="P261" s="416">
        <v>543</v>
      </c>
    </row>
    <row r="262" spans="12:16">
      <c r="L262" s="417" t="s">
        <v>2454</v>
      </c>
      <c r="M262" s="417"/>
      <c r="N262" s="416">
        <v>500</v>
      </c>
      <c r="O262" s="416">
        <v>220</v>
      </c>
      <c r="P262" s="416">
        <v>543</v>
      </c>
    </row>
    <row r="263" spans="12:16">
      <c r="L263" s="417" t="s">
        <v>266</v>
      </c>
      <c r="M263" s="417" t="s">
        <v>2977</v>
      </c>
      <c r="N263" s="416">
        <v>268</v>
      </c>
      <c r="O263" s="416">
        <v>268</v>
      </c>
      <c r="P263" s="416">
        <v>268</v>
      </c>
    </row>
    <row r="264" spans="12:16">
      <c r="L264" s="417" t="s">
        <v>2555</v>
      </c>
      <c r="M264" s="417"/>
      <c r="N264" s="416">
        <v>268</v>
      </c>
      <c r="O264" s="416">
        <v>268</v>
      </c>
      <c r="P264" s="416">
        <v>268</v>
      </c>
    </row>
    <row r="265" spans="12:16">
      <c r="L265" s="417" t="s">
        <v>171</v>
      </c>
      <c r="M265" s="417" t="s">
        <v>2977</v>
      </c>
      <c r="N265" s="416">
        <v>0</v>
      </c>
      <c r="O265" s="416">
        <v>100</v>
      </c>
      <c r="P265" s="416">
        <v>169</v>
      </c>
    </row>
    <row r="266" spans="12:16">
      <c r="L266" s="417" t="s">
        <v>2455</v>
      </c>
      <c r="M266" s="417"/>
      <c r="N266" s="416">
        <v>0</v>
      </c>
      <c r="O266" s="416">
        <v>100</v>
      </c>
      <c r="P266" s="416">
        <v>169</v>
      </c>
    </row>
    <row r="267" spans="12:16">
      <c r="L267" s="417" t="s">
        <v>172</v>
      </c>
      <c r="M267" s="417" t="s">
        <v>2977</v>
      </c>
      <c r="N267" s="416">
        <v>0</v>
      </c>
      <c r="O267" s="416">
        <v>241</v>
      </c>
      <c r="P267" s="416">
        <v>241</v>
      </c>
    </row>
    <row r="268" spans="12:16">
      <c r="L268" s="417" t="s">
        <v>2456</v>
      </c>
      <c r="M268" s="417"/>
      <c r="N268" s="416">
        <v>0</v>
      </c>
      <c r="O268" s="416">
        <v>241</v>
      </c>
      <c r="P268" s="416">
        <v>241</v>
      </c>
    </row>
    <row r="269" spans="12:16">
      <c r="L269" s="417" t="s">
        <v>274</v>
      </c>
      <c r="M269" s="417" t="s">
        <v>2977</v>
      </c>
      <c r="N269" s="416">
        <v>186</v>
      </c>
      <c r="O269" s="416">
        <v>120</v>
      </c>
      <c r="P269" s="416">
        <v>186</v>
      </c>
    </row>
    <row r="270" spans="12:16">
      <c r="L270" s="417" t="s">
        <v>2556</v>
      </c>
      <c r="M270" s="417"/>
      <c r="N270" s="416">
        <v>186</v>
      </c>
      <c r="O270" s="416">
        <v>120</v>
      </c>
      <c r="P270" s="416">
        <v>186</v>
      </c>
    </row>
    <row r="271" spans="12:16">
      <c r="L271" s="417" t="s">
        <v>1614</v>
      </c>
      <c r="M271" s="417" t="s">
        <v>2977</v>
      </c>
      <c r="N271" s="416">
        <v>500</v>
      </c>
      <c r="O271" s="416">
        <v>560</v>
      </c>
      <c r="P271" s="416">
        <v>973</v>
      </c>
    </row>
    <row r="272" spans="12:16">
      <c r="L272" s="417" t="s">
        <v>2457</v>
      </c>
      <c r="M272" s="417"/>
      <c r="N272" s="416">
        <v>500</v>
      </c>
      <c r="O272" s="416">
        <v>560</v>
      </c>
      <c r="P272" s="416">
        <v>973</v>
      </c>
    </row>
    <row r="273" spans="12:16">
      <c r="L273" s="417" t="s">
        <v>563</v>
      </c>
      <c r="M273" s="417" t="s">
        <v>2977</v>
      </c>
      <c r="N273" s="416">
        <v>195</v>
      </c>
      <c r="O273" s="416">
        <v>195</v>
      </c>
      <c r="P273" s="416">
        <v>195</v>
      </c>
    </row>
    <row r="274" spans="12:16">
      <c r="L274" s="417" t="s">
        <v>2557</v>
      </c>
      <c r="M274" s="417"/>
      <c r="N274" s="416">
        <v>195</v>
      </c>
      <c r="O274" s="416">
        <v>195</v>
      </c>
      <c r="P274" s="416">
        <v>195</v>
      </c>
    </row>
    <row r="275" spans="12:16">
      <c r="L275" s="417" t="s">
        <v>1611</v>
      </c>
      <c r="M275" s="417" t="s">
        <v>2977</v>
      </c>
      <c r="N275" s="416">
        <v>253</v>
      </c>
      <c r="O275" s="416">
        <v>161</v>
      </c>
      <c r="P275" s="416">
        <v>253</v>
      </c>
    </row>
    <row r="276" spans="12:16">
      <c r="L276" s="417" t="s">
        <v>2458</v>
      </c>
      <c r="M276" s="417"/>
      <c r="N276" s="416">
        <v>253</v>
      </c>
      <c r="O276" s="416">
        <v>161</v>
      </c>
      <c r="P276" s="416">
        <v>253</v>
      </c>
    </row>
    <row r="277" spans="12:16">
      <c r="L277" s="417" t="s">
        <v>275</v>
      </c>
      <c r="M277" s="417" t="s">
        <v>2977</v>
      </c>
      <c r="N277" s="416">
        <v>319</v>
      </c>
      <c r="O277" s="416">
        <v>180</v>
      </c>
      <c r="P277" s="416">
        <v>319</v>
      </c>
    </row>
    <row r="278" spans="12:16">
      <c r="L278" s="417" t="s">
        <v>2558</v>
      </c>
      <c r="M278" s="417"/>
      <c r="N278" s="416">
        <v>319</v>
      </c>
      <c r="O278" s="416">
        <v>180</v>
      </c>
      <c r="P278" s="416">
        <v>319</v>
      </c>
    </row>
    <row r="279" spans="12:16">
      <c r="L279" s="417" t="s">
        <v>261</v>
      </c>
      <c r="M279" s="417" t="s">
        <v>2977</v>
      </c>
      <c r="N279" s="416">
        <v>0</v>
      </c>
      <c r="O279" s="416">
        <v>133</v>
      </c>
      <c r="P279" s="416">
        <v>133</v>
      </c>
    </row>
    <row r="280" spans="12:16">
      <c r="L280" s="417" t="s">
        <v>2559</v>
      </c>
      <c r="M280" s="417"/>
      <c r="N280" s="416">
        <v>0</v>
      </c>
      <c r="O280" s="416">
        <v>133</v>
      </c>
      <c r="P280" s="416">
        <v>133</v>
      </c>
    </row>
    <row r="281" spans="12:16">
      <c r="L281" s="417" t="s">
        <v>221</v>
      </c>
      <c r="M281" s="417" t="s">
        <v>2977</v>
      </c>
      <c r="N281" s="416">
        <v>1500</v>
      </c>
      <c r="O281" s="416">
        <v>5020</v>
      </c>
      <c r="P281" s="416">
        <v>733.33333333333337</v>
      </c>
    </row>
    <row r="282" spans="12:16">
      <c r="L282" s="417" t="s">
        <v>2560</v>
      </c>
      <c r="M282" s="417"/>
      <c r="N282" s="416">
        <v>1500</v>
      </c>
      <c r="O282" s="416">
        <v>5020</v>
      </c>
      <c r="P282" s="416">
        <v>733.33333333333337</v>
      </c>
    </row>
    <row r="283" spans="12:16">
      <c r="L283" s="417" t="s">
        <v>223</v>
      </c>
      <c r="M283" s="417" t="s">
        <v>2977</v>
      </c>
      <c r="N283" s="416">
        <v>0</v>
      </c>
      <c r="O283" s="416">
        <v>0</v>
      </c>
      <c r="P283" s="416">
        <v>66.666666666666671</v>
      </c>
    </row>
    <row r="284" spans="12:16">
      <c r="L284" s="417" t="s">
        <v>2561</v>
      </c>
      <c r="M284" s="417"/>
      <c r="N284" s="416">
        <v>0</v>
      </c>
      <c r="O284" s="416">
        <v>0</v>
      </c>
      <c r="P284" s="416">
        <v>66.666666666666671</v>
      </c>
    </row>
    <row r="285" spans="12:16">
      <c r="L285" s="417" t="s">
        <v>222</v>
      </c>
      <c r="M285" s="417" t="s">
        <v>2977</v>
      </c>
      <c r="N285" s="416">
        <v>0</v>
      </c>
      <c r="O285" s="416">
        <v>0</v>
      </c>
      <c r="P285" s="416">
        <v>0</v>
      </c>
    </row>
    <row r="286" spans="12:16">
      <c r="L286" s="417" t="s">
        <v>2562</v>
      </c>
      <c r="M286" s="417"/>
      <c r="N286" s="416">
        <v>0</v>
      </c>
      <c r="O286" s="416">
        <v>0</v>
      </c>
      <c r="P286" s="416">
        <v>0</v>
      </c>
    </row>
    <row r="287" spans="12:16">
      <c r="L287" s="417" t="s">
        <v>262</v>
      </c>
      <c r="M287" s="417" t="s">
        <v>2977</v>
      </c>
      <c r="N287" s="416">
        <v>66</v>
      </c>
      <c r="O287" s="416">
        <v>66</v>
      </c>
      <c r="P287" s="416">
        <v>66</v>
      </c>
    </row>
    <row r="288" spans="12:16">
      <c r="L288" s="417" t="s">
        <v>2563</v>
      </c>
      <c r="M288" s="417"/>
      <c r="N288" s="416">
        <v>66</v>
      </c>
      <c r="O288" s="416">
        <v>66</v>
      </c>
      <c r="P288" s="416">
        <v>66</v>
      </c>
    </row>
    <row r="289" spans="12:16">
      <c r="L289" s="417" t="s">
        <v>538</v>
      </c>
      <c r="M289" s="417" t="s">
        <v>2977</v>
      </c>
      <c r="N289" s="416">
        <v>500</v>
      </c>
      <c r="O289" s="416">
        <v>1025</v>
      </c>
      <c r="P289" s="416">
        <v>1101</v>
      </c>
    </row>
    <row r="290" spans="12:16">
      <c r="L290" s="417" t="s">
        <v>2564</v>
      </c>
      <c r="M290" s="417"/>
      <c r="N290" s="416">
        <v>500</v>
      </c>
      <c r="O290" s="416">
        <v>1025</v>
      </c>
      <c r="P290" s="416">
        <v>1101</v>
      </c>
    </row>
    <row r="291" spans="12:16">
      <c r="L291" s="417" t="s">
        <v>2114</v>
      </c>
      <c r="M291" s="417" t="s">
        <v>2977</v>
      </c>
      <c r="N291" s="416">
        <v>0</v>
      </c>
      <c r="O291" s="416">
        <v>0</v>
      </c>
      <c r="P291" s="416">
        <v>0</v>
      </c>
    </row>
    <row r="292" spans="12:16">
      <c r="L292" s="417" t="s">
        <v>2565</v>
      </c>
      <c r="M292" s="417"/>
      <c r="N292" s="416">
        <v>0</v>
      </c>
      <c r="O292" s="416">
        <v>0</v>
      </c>
      <c r="P292" s="416">
        <v>0</v>
      </c>
    </row>
    <row r="293" spans="12:16">
      <c r="L293" s="417" t="s">
        <v>2158</v>
      </c>
      <c r="M293" s="417" t="s">
        <v>2977</v>
      </c>
      <c r="N293" s="416">
        <v>32</v>
      </c>
      <c r="O293" s="416">
        <v>32</v>
      </c>
      <c r="P293" s="416">
        <v>32</v>
      </c>
    </row>
    <row r="294" spans="12:16">
      <c r="L294" s="417" t="s">
        <v>2566</v>
      </c>
      <c r="M294" s="417"/>
      <c r="N294" s="416">
        <v>32</v>
      </c>
      <c r="O294" s="416">
        <v>32</v>
      </c>
      <c r="P294" s="416">
        <v>32</v>
      </c>
    </row>
    <row r="295" spans="12:16">
      <c r="L295" s="417" t="s">
        <v>2157</v>
      </c>
      <c r="M295" s="417" t="s">
        <v>2977</v>
      </c>
      <c r="N295" s="416">
        <v>0</v>
      </c>
      <c r="O295" s="416">
        <v>103</v>
      </c>
      <c r="P295" s="416">
        <v>103</v>
      </c>
    </row>
    <row r="296" spans="12:16">
      <c r="L296" s="417" t="s">
        <v>2567</v>
      </c>
      <c r="M296" s="417"/>
      <c r="N296" s="416">
        <v>0</v>
      </c>
      <c r="O296" s="416">
        <v>103</v>
      </c>
      <c r="P296" s="416">
        <v>103</v>
      </c>
    </row>
    <row r="297" spans="12:16">
      <c r="L297" s="417" t="s">
        <v>2231</v>
      </c>
      <c r="M297" s="417" t="s">
        <v>2977</v>
      </c>
      <c r="N297" s="416">
        <v>203</v>
      </c>
      <c r="O297" s="416">
        <v>144</v>
      </c>
      <c r="P297" s="416">
        <v>203</v>
      </c>
    </row>
    <row r="298" spans="12:16">
      <c r="L298" s="417" t="s">
        <v>2238</v>
      </c>
      <c r="M298" s="417"/>
      <c r="N298" s="416">
        <v>203</v>
      </c>
      <c r="O298" s="416">
        <v>144</v>
      </c>
      <c r="P298" s="416">
        <v>203</v>
      </c>
    </row>
    <row r="299" spans="12:16">
      <c r="L299" s="417" t="s">
        <v>2233</v>
      </c>
      <c r="M299" s="417" t="s">
        <v>2977</v>
      </c>
      <c r="N299" s="416">
        <v>404</v>
      </c>
      <c r="O299" s="416">
        <v>120</v>
      </c>
      <c r="P299" s="416">
        <v>404</v>
      </c>
    </row>
    <row r="300" spans="12:16">
      <c r="L300" s="417" t="s">
        <v>2568</v>
      </c>
      <c r="M300" s="417"/>
      <c r="N300" s="416">
        <v>404</v>
      </c>
      <c r="O300" s="416">
        <v>120</v>
      </c>
      <c r="P300" s="416">
        <v>404</v>
      </c>
    </row>
    <row r="301" spans="12:16">
      <c r="L301" s="417" t="s">
        <v>2607</v>
      </c>
      <c r="M301" s="417" t="s">
        <v>2977</v>
      </c>
      <c r="N301" s="416">
        <v>0</v>
      </c>
      <c r="O301" s="416">
        <v>32</v>
      </c>
      <c r="P301" s="416">
        <v>32</v>
      </c>
    </row>
    <row r="302" spans="12:16">
      <c r="L302" s="417" t="s">
        <v>2608</v>
      </c>
      <c r="M302" s="417"/>
      <c r="N302" s="416">
        <v>0</v>
      </c>
      <c r="O302" s="416">
        <v>32</v>
      </c>
      <c r="P302" s="416">
        <v>32</v>
      </c>
    </row>
    <row r="303" spans="12:16">
      <c r="L303" s="417" t="s">
        <v>2585</v>
      </c>
      <c r="M303" s="417" t="s">
        <v>2977</v>
      </c>
      <c r="N303" s="416">
        <v>0</v>
      </c>
      <c r="O303" s="416">
        <v>600</v>
      </c>
      <c r="P303" s="416">
        <v>1600</v>
      </c>
    </row>
    <row r="304" spans="12:16">
      <c r="L304" s="417" t="s">
        <v>2643</v>
      </c>
      <c r="M304" s="417"/>
      <c r="N304" s="416">
        <v>0</v>
      </c>
      <c r="O304" s="416">
        <v>600</v>
      </c>
      <c r="P304" s="416">
        <v>1600</v>
      </c>
    </row>
    <row r="305" spans="12:16">
      <c r="L305" s="417" t="s">
        <v>2586</v>
      </c>
      <c r="M305" s="417" t="s">
        <v>2977</v>
      </c>
      <c r="N305" s="416">
        <v>0</v>
      </c>
      <c r="O305" s="416">
        <v>0</v>
      </c>
      <c r="P305" s="416">
        <v>0</v>
      </c>
    </row>
    <row r="306" spans="12:16">
      <c r="L306" s="417" t="s">
        <v>2644</v>
      </c>
      <c r="M306" s="417"/>
      <c r="N306" s="416">
        <v>0</v>
      </c>
      <c r="O306" s="416">
        <v>0</v>
      </c>
      <c r="P306" s="416">
        <v>0</v>
      </c>
    </row>
    <row r="307" spans="12:16">
      <c r="L307" s="417" t="s">
        <v>2658</v>
      </c>
      <c r="M307" s="417" t="s">
        <v>2977</v>
      </c>
      <c r="N307" s="416">
        <v>591</v>
      </c>
      <c r="O307" s="416">
        <v>591</v>
      </c>
      <c r="P307" s="416">
        <v>591</v>
      </c>
    </row>
    <row r="308" spans="12:16">
      <c r="L308" s="417" t="s">
        <v>2684</v>
      </c>
      <c r="M308" s="417"/>
      <c r="N308" s="416">
        <v>591</v>
      </c>
      <c r="O308" s="416">
        <v>591</v>
      </c>
      <c r="P308" s="416">
        <v>591</v>
      </c>
    </row>
    <row r="309" spans="12:16">
      <c r="L309" s="417" t="s">
        <v>2659</v>
      </c>
      <c r="M309" s="417" t="s">
        <v>2977</v>
      </c>
      <c r="N309" s="416">
        <v>0</v>
      </c>
      <c r="O309" s="416">
        <v>0</v>
      </c>
      <c r="P309" s="416">
        <v>0</v>
      </c>
    </row>
    <row r="310" spans="12:16">
      <c r="L310" s="417" t="s">
        <v>2685</v>
      </c>
      <c r="M310" s="417"/>
      <c r="N310" s="416">
        <v>0</v>
      </c>
      <c r="O310" s="416">
        <v>0</v>
      </c>
      <c r="P310" s="416">
        <v>0</v>
      </c>
    </row>
    <row r="311" spans="12:16">
      <c r="L311" s="417" t="s">
        <v>2661</v>
      </c>
      <c r="M311" s="417" t="s">
        <v>2977</v>
      </c>
      <c r="N311" s="416">
        <v>0</v>
      </c>
      <c r="O311" s="416">
        <v>0</v>
      </c>
      <c r="P311" s="416">
        <v>0</v>
      </c>
    </row>
    <row r="312" spans="12:16">
      <c r="L312" s="417" t="s">
        <v>2686</v>
      </c>
      <c r="M312" s="417"/>
      <c r="N312" s="416">
        <v>0</v>
      </c>
      <c r="O312" s="416">
        <v>0</v>
      </c>
      <c r="P312" s="416">
        <v>0</v>
      </c>
    </row>
    <row r="313" spans="12:16">
      <c r="L313" s="417" t="s">
        <v>2718</v>
      </c>
      <c r="M313" s="417" t="s">
        <v>2977</v>
      </c>
      <c r="N313" s="416">
        <v>160</v>
      </c>
      <c r="O313" s="416">
        <v>160</v>
      </c>
      <c r="P313" s="416">
        <v>160</v>
      </c>
    </row>
    <row r="314" spans="12:16">
      <c r="L314" s="417" t="s">
        <v>2751</v>
      </c>
      <c r="M314" s="417"/>
      <c r="N314" s="416">
        <v>160</v>
      </c>
      <c r="O314" s="416">
        <v>160</v>
      </c>
      <c r="P314" s="416">
        <v>160</v>
      </c>
    </row>
    <row r="315" spans="12:16">
      <c r="L315" s="417" t="s">
        <v>2719</v>
      </c>
      <c r="M315" s="417" t="s">
        <v>2977</v>
      </c>
      <c r="N315" s="416">
        <v>0</v>
      </c>
      <c r="O315" s="416">
        <v>0</v>
      </c>
      <c r="P315" s="416">
        <v>0</v>
      </c>
    </row>
    <row r="316" spans="12:16">
      <c r="L316" s="417" t="s">
        <v>2752</v>
      </c>
      <c r="M316" s="417"/>
      <c r="N316" s="416">
        <v>0</v>
      </c>
      <c r="O316" s="416">
        <v>0</v>
      </c>
      <c r="P316" s="416">
        <v>0</v>
      </c>
    </row>
    <row r="317" spans="12:16">
      <c r="L317" s="417" t="s">
        <v>2720</v>
      </c>
      <c r="M317" s="417" t="s">
        <v>2977</v>
      </c>
      <c r="N317" s="416">
        <v>0</v>
      </c>
      <c r="O317" s="416">
        <v>0</v>
      </c>
      <c r="P317" s="416">
        <v>0</v>
      </c>
    </row>
    <row r="318" spans="12:16">
      <c r="L318" s="417" t="s">
        <v>2753</v>
      </c>
      <c r="M318" s="417"/>
      <c r="N318" s="416">
        <v>0</v>
      </c>
      <c r="O318" s="416">
        <v>0</v>
      </c>
      <c r="P318" s="416">
        <v>0</v>
      </c>
    </row>
    <row r="319" spans="12:16">
      <c r="L319" s="417" t="s">
        <v>2723</v>
      </c>
      <c r="M319" s="417" t="s">
        <v>2977</v>
      </c>
      <c r="N319" s="416">
        <v>0</v>
      </c>
      <c r="O319" s="416">
        <v>0</v>
      </c>
      <c r="P319" s="416">
        <v>0</v>
      </c>
    </row>
    <row r="320" spans="12:16">
      <c r="L320" s="417" t="s">
        <v>3082</v>
      </c>
      <c r="M320" s="417"/>
      <c r="N320" s="416">
        <v>0</v>
      </c>
      <c r="O320" s="416">
        <v>0</v>
      </c>
      <c r="P320" s="416">
        <v>0</v>
      </c>
    </row>
    <row r="321" spans="12:16">
      <c r="L321" s="417" t="s">
        <v>2726</v>
      </c>
      <c r="M321" s="417" t="s">
        <v>2977</v>
      </c>
      <c r="N321" s="416">
        <v>0</v>
      </c>
      <c r="O321" s="416">
        <v>0</v>
      </c>
      <c r="P321" s="416">
        <v>0</v>
      </c>
    </row>
    <row r="322" spans="12:16">
      <c r="L322" s="417" t="s">
        <v>2754</v>
      </c>
      <c r="M322" s="417"/>
      <c r="N322" s="416">
        <v>0</v>
      </c>
      <c r="O322" s="416">
        <v>0</v>
      </c>
      <c r="P322" s="416">
        <v>0</v>
      </c>
    </row>
    <row r="323" spans="12:16">
      <c r="L323" s="417" t="s">
        <v>2727</v>
      </c>
      <c r="M323" s="417" t="s">
        <v>2977</v>
      </c>
      <c r="N323" s="416">
        <v>0</v>
      </c>
      <c r="O323" s="416">
        <v>0</v>
      </c>
      <c r="P323" s="416">
        <v>0</v>
      </c>
    </row>
    <row r="324" spans="12:16">
      <c r="L324" s="417" t="s">
        <v>2755</v>
      </c>
      <c r="M324" s="417"/>
      <c r="N324" s="416">
        <v>0</v>
      </c>
      <c r="O324" s="416">
        <v>0</v>
      </c>
      <c r="P324" s="416">
        <v>0</v>
      </c>
    </row>
    <row r="325" spans="12:16">
      <c r="L325" s="417" t="s">
        <v>2584</v>
      </c>
      <c r="M325" s="417" t="s">
        <v>2977</v>
      </c>
      <c r="N325" s="416">
        <v>0</v>
      </c>
      <c r="O325" s="416">
        <v>0</v>
      </c>
      <c r="P325" s="416">
        <v>0</v>
      </c>
    </row>
    <row r="326" spans="12:16">
      <c r="L326" s="417" t="s">
        <v>3083</v>
      </c>
      <c r="M326" s="417"/>
      <c r="N326" s="416">
        <v>0</v>
      </c>
      <c r="O326" s="416">
        <v>0</v>
      </c>
      <c r="P326" s="416">
        <v>0</v>
      </c>
    </row>
    <row r="327" spans="12:16">
      <c r="L327" s="417" t="s">
        <v>2583</v>
      </c>
      <c r="M327" s="417" t="s">
        <v>2977</v>
      </c>
      <c r="N327" s="416">
        <v>0</v>
      </c>
      <c r="O327" s="416">
        <v>0</v>
      </c>
      <c r="P327" s="416">
        <v>0</v>
      </c>
    </row>
    <row r="328" spans="12:16">
      <c r="L328" s="417" t="s">
        <v>3084</v>
      </c>
      <c r="M328" s="417"/>
      <c r="N328" s="416">
        <v>0</v>
      </c>
      <c r="O328" s="416">
        <v>0</v>
      </c>
      <c r="P328" s="416">
        <v>0</v>
      </c>
    </row>
    <row r="329" spans="12:16">
      <c r="L329" s="417" t="s">
        <v>2589</v>
      </c>
      <c r="M329" s="417" t="s">
        <v>2977</v>
      </c>
      <c r="N329" s="416">
        <v>0</v>
      </c>
      <c r="O329" s="416">
        <v>0</v>
      </c>
      <c r="P329" s="416">
        <v>0</v>
      </c>
    </row>
    <row r="330" spans="12:16">
      <c r="L330" s="417" t="s">
        <v>2902</v>
      </c>
      <c r="M330" s="417"/>
      <c r="N330" s="416">
        <v>0</v>
      </c>
      <c r="O330" s="416">
        <v>0</v>
      </c>
      <c r="P330" s="416">
        <v>0</v>
      </c>
    </row>
    <row r="331" spans="12:16">
      <c r="L331" s="417" t="s">
        <v>2588</v>
      </c>
      <c r="M331" s="417" t="s">
        <v>2977</v>
      </c>
      <c r="N331" s="416">
        <v>0</v>
      </c>
      <c r="O331" s="416">
        <v>0</v>
      </c>
      <c r="P331" s="416">
        <v>0</v>
      </c>
    </row>
    <row r="332" spans="12:16">
      <c r="L332" s="417" t="s">
        <v>2903</v>
      </c>
      <c r="M332" s="417"/>
      <c r="N332" s="416">
        <v>0</v>
      </c>
      <c r="O332" s="416">
        <v>0</v>
      </c>
      <c r="P332" s="416">
        <v>0</v>
      </c>
    </row>
    <row r="333" spans="12:16">
      <c r="L333" s="417" t="s">
        <v>1534</v>
      </c>
      <c r="M333" s="417" t="s">
        <v>2977</v>
      </c>
      <c r="N333" s="416">
        <v>1936</v>
      </c>
      <c r="O333" s="416">
        <v>1440</v>
      </c>
      <c r="P333" s="416">
        <v>800</v>
      </c>
    </row>
    <row r="334" spans="12:16">
      <c r="L334" s="417" t="s">
        <v>2756</v>
      </c>
      <c r="M334" s="417"/>
      <c r="N334" s="416">
        <v>1936</v>
      </c>
      <c r="O334" s="416">
        <v>1440</v>
      </c>
      <c r="P334" s="416">
        <v>800</v>
      </c>
    </row>
    <row r="335" spans="12:16">
      <c r="L335" s="417" t="s">
        <v>2893</v>
      </c>
      <c r="M335" s="417" t="s">
        <v>2977</v>
      </c>
      <c r="N335" s="416">
        <v>275</v>
      </c>
      <c r="O335" s="416">
        <v>275</v>
      </c>
      <c r="P335" s="416">
        <v>275</v>
      </c>
    </row>
    <row r="336" spans="12:16">
      <c r="L336" s="417" t="s">
        <v>2904</v>
      </c>
      <c r="M336" s="417"/>
      <c r="N336" s="416">
        <v>275</v>
      </c>
      <c r="O336" s="416">
        <v>275</v>
      </c>
      <c r="P336" s="416">
        <v>275</v>
      </c>
    </row>
    <row r="337" spans="12:16">
      <c r="L337" s="417" t="s">
        <v>2894</v>
      </c>
      <c r="M337" s="417" t="s">
        <v>2977</v>
      </c>
      <c r="N337" s="416">
        <v>430</v>
      </c>
      <c r="O337" s="416">
        <v>300</v>
      </c>
      <c r="P337" s="416">
        <v>430</v>
      </c>
    </row>
    <row r="338" spans="12:16">
      <c r="L338" s="417" t="s">
        <v>2905</v>
      </c>
      <c r="M338" s="417"/>
      <c r="N338" s="416">
        <v>430</v>
      </c>
      <c r="O338" s="416">
        <v>300</v>
      </c>
      <c r="P338" s="416">
        <v>430</v>
      </c>
    </row>
    <row r="339" spans="12:16">
      <c r="L339" s="417" t="s">
        <v>2896</v>
      </c>
      <c r="M339" s="417" t="s">
        <v>2977</v>
      </c>
      <c r="N339" s="416">
        <v>0</v>
      </c>
      <c r="O339" s="416">
        <v>162</v>
      </c>
      <c r="P339" s="416">
        <v>0</v>
      </c>
    </row>
    <row r="340" spans="12:16">
      <c r="L340" s="417" t="s">
        <v>2906</v>
      </c>
      <c r="M340" s="417"/>
      <c r="N340" s="416">
        <v>0</v>
      </c>
      <c r="O340" s="416">
        <v>162</v>
      </c>
      <c r="P340" s="416">
        <v>0</v>
      </c>
    </row>
    <row r="341" spans="12:16">
      <c r="L341" s="417" t="s">
        <v>2897</v>
      </c>
      <c r="M341" s="417" t="s">
        <v>2977</v>
      </c>
      <c r="N341" s="416">
        <v>132</v>
      </c>
      <c r="O341" s="416">
        <v>132</v>
      </c>
      <c r="P341" s="416">
        <v>132</v>
      </c>
    </row>
    <row r="342" spans="12:16">
      <c r="L342" s="417" t="s">
        <v>2907</v>
      </c>
      <c r="M342" s="417"/>
      <c r="N342" s="416">
        <v>132</v>
      </c>
      <c r="O342" s="416">
        <v>132</v>
      </c>
      <c r="P342" s="416">
        <v>132</v>
      </c>
    </row>
    <row r="343" spans="12:16">
      <c r="L343" s="417" t="s">
        <v>2889</v>
      </c>
      <c r="M343" s="417" t="s">
        <v>2977</v>
      </c>
      <c r="N343" s="416">
        <v>0</v>
      </c>
      <c r="O343" s="416">
        <v>0</v>
      </c>
      <c r="P343" s="416">
        <v>544</v>
      </c>
    </row>
    <row r="344" spans="12:16">
      <c r="L344" s="417" t="s">
        <v>2908</v>
      </c>
      <c r="M344" s="417"/>
      <c r="N344" s="416">
        <v>0</v>
      </c>
      <c r="O344" s="416">
        <v>0</v>
      </c>
      <c r="P344" s="416">
        <v>544</v>
      </c>
    </row>
    <row r="345" spans="12:16">
      <c r="L345" s="417" t="s">
        <v>2895</v>
      </c>
      <c r="M345" s="417" t="s">
        <v>2977</v>
      </c>
      <c r="N345" s="416">
        <v>0</v>
      </c>
      <c r="O345" s="416">
        <v>0</v>
      </c>
      <c r="P345" s="416">
        <v>0</v>
      </c>
    </row>
    <row r="346" spans="12:16">
      <c r="L346" s="417" t="s">
        <v>2909</v>
      </c>
      <c r="M346" s="417"/>
      <c r="N346" s="416">
        <v>0</v>
      </c>
      <c r="O346" s="416">
        <v>0</v>
      </c>
      <c r="P346" s="416">
        <v>0</v>
      </c>
    </row>
    <row r="347" spans="12:16">
      <c r="L347" s="417" t="s">
        <v>2885</v>
      </c>
      <c r="M347" s="417" t="s">
        <v>2977</v>
      </c>
      <c r="N347" s="416">
        <v>0</v>
      </c>
      <c r="O347" s="416">
        <v>0</v>
      </c>
      <c r="P347" s="416">
        <v>0</v>
      </c>
    </row>
    <row r="348" spans="12:16">
      <c r="L348" s="417" t="s">
        <v>2910</v>
      </c>
      <c r="M348" s="417"/>
      <c r="N348" s="416">
        <v>0</v>
      </c>
      <c r="O348" s="416">
        <v>0</v>
      </c>
      <c r="P348" s="416">
        <v>0</v>
      </c>
    </row>
    <row r="349" spans="12:16">
      <c r="L349" s="417" t="s">
        <v>2886</v>
      </c>
      <c r="M349" s="417" t="s">
        <v>2977</v>
      </c>
      <c r="N349" s="416">
        <v>0</v>
      </c>
      <c r="O349" s="416">
        <v>0</v>
      </c>
      <c r="P349" s="416">
        <v>0</v>
      </c>
    </row>
    <row r="350" spans="12:16">
      <c r="L350" s="417" t="s">
        <v>2911</v>
      </c>
      <c r="M350" s="417"/>
      <c r="N350" s="416">
        <v>0</v>
      </c>
      <c r="O350" s="416">
        <v>0</v>
      </c>
      <c r="P350" s="416">
        <v>0</v>
      </c>
    </row>
    <row r="351" spans="12:16">
      <c r="L351" s="417" t="s">
        <v>2890</v>
      </c>
      <c r="M351" s="417" t="s">
        <v>2977</v>
      </c>
      <c r="N351" s="416">
        <v>0</v>
      </c>
      <c r="O351" s="416">
        <v>0</v>
      </c>
      <c r="P351" s="416">
        <v>0</v>
      </c>
    </row>
    <row r="352" spans="12:16">
      <c r="L352" s="417" t="s">
        <v>2912</v>
      </c>
      <c r="M352" s="417"/>
      <c r="N352" s="416">
        <v>0</v>
      </c>
      <c r="O352" s="416">
        <v>0</v>
      </c>
      <c r="P352" s="416">
        <v>0</v>
      </c>
    </row>
    <row r="353" spans="12:16">
      <c r="L353" s="417" t="s">
        <v>2891</v>
      </c>
      <c r="M353" s="417" t="s">
        <v>2977</v>
      </c>
      <c r="N353" s="416">
        <v>0</v>
      </c>
      <c r="O353" s="416">
        <v>0</v>
      </c>
      <c r="P353" s="416">
        <v>0</v>
      </c>
    </row>
    <row r="354" spans="12:16">
      <c r="L354" s="417" t="s">
        <v>2913</v>
      </c>
      <c r="M354" s="417"/>
      <c r="N354" s="416">
        <v>0</v>
      </c>
      <c r="O354" s="416">
        <v>0</v>
      </c>
      <c r="P354" s="416">
        <v>0</v>
      </c>
    </row>
    <row r="355" spans="12:16">
      <c r="L355" s="417" t="s">
        <v>2892</v>
      </c>
      <c r="M355" s="417" t="s">
        <v>2977</v>
      </c>
      <c r="N355" s="416">
        <v>0</v>
      </c>
      <c r="O355" s="416">
        <v>0</v>
      </c>
      <c r="P355" s="416">
        <v>0</v>
      </c>
    </row>
    <row r="356" spans="12:16">
      <c r="L356" s="417" t="s">
        <v>2914</v>
      </c>
      <c r="M356" s="417"/>
      <c r="N356" s="416">
        <v>0</v>
      </c>
      <c r="O356" s="416">
        <v>0</v>
      </c>
      <c r="P356" s="416">
        <v>0</v>
      </c>
    </row>
    <row r="357" spans="12:16">
      <c r="L357" s="417" t="s">
        <v>2887</v>
      </c>
      <c r="M357" s="417" t="s">
        <v>2977</v>
      </c>
      <c r="N357" s="416">
        <v>0</v>
      </c>
      <c r="O357" s="416">
        <v>0</v>
      </c>
      <c r="P357" s="416">
        <v>0</v>
      </c>
    </row>
    <row r="358" spans="12:16">
      <c r="L358" s="417" t="s">
        <v>2915</v>
      </c>
      <c r="M358" s="417"/>
      <c r="N358" s="416">
        <v>0</v>
      </c>
      <c r="O358" s="416">
        <v>0</v>
      </c>
      <c r="P358" s="416">
        <v>0</v>
      </c>
    </row>
    <row r="359" spans="12:16">
      <c r="L359" s="417" t="s">
        <v>2884</v>
      </c>
      <c r="M359" s="417" t="s">
        <v>2977</v>
      </c>
      <c r="N359" s="416">
        <v>0</v>
      </c>
      <c r="O359" s="416">
        <v>0</v>
      </c>
      <c r="P359" s="416">
        <v>0</v>
      </c>
    </row>
    <row r="360" spans="12:16">
      <c r="L360" s="417" t="s">
        <v>2916</v>
      </c>
      <c r="M360" s="417"/>
      <c r="N360" s="416">
        <v>0</v>
      </c>
      <c r="O360" s="416">
        <v>0</v>
      </c>
      <c r="P360" s="416">
        <v>0</v>
      </c>
    </row>
    <row r="361" spans="12:16">
      <c r="L361" s="417" t="s">
        <v>2883</v>
      </c>
      <c r="M361" s="417" t="s">
        <v>2977</v>
      </c>
      <c r="N361" s="416">
        <v>94</v>
      </c>
      <c r="O361" s="416">
        <v>94</v>
      </c>
      <c r="P361" s="416">
        <v>94</v>
      </c>
    </row>
    <row r="362" spans="12:16">
      <c r="L362" s="417" t="s">
        <v>2917</v>
      </c>
      <c r="M362" s="417"/>
      <c r="N362" s="416">
        <v>94</v>
      </c>
      <c r="O362" s="416">
        <v>94</v>
      </c>
      <c r="P362" s="416">
        <v>94</v>
      </c>
    </row>
    <row r="363" spans="12:16">
      <c r="L363" s="417" t="s">
        <v>2875</v>
      </c>
      <c r="M363" s="417" t="s">
        <v>2977</v>
      </c>
      <c r="N363" s="416">
        <v>344</v>
      </c>
      <c r="O363" s="416">
        <v>344</v>
      </c>
      <c r="P363" s="416">
        <v>344</v>
      </c>
    </row>
    <row r="364" spans="12:16">
      <c r="L364" s="417" t="s">
        <v>2918</v>
      </c>
      <c r="M364" s="417"/>
      <c r="N364" s="416">
        <v>344</v>
      </c>
      <c r="O364" s="416">
        <v>344</v>
      </c>
      <c r="P364" s="416">
        <v>344</v>
      </c>
    </row>
    <row r="365" spans="12:16">
      <c r="L365" s="417" t="s">
        <v>2857</v>
      </c>
      <c r="M365" s="417" t="s">
        <v>2977</v>
      </c>
      <c r="N365" s="416">
        <v>0</v>
      </c>
      <c r="O365" s="416">
        <v>40</v>
      </c>
      <c r="P365" s="416">
        <v>0</v>
      </c>
    </row>
    <row r="366" spans="12:16">
      <c r="L366" s="417" t="s">
        <v>2919</v>
      </c>
      <c r="M366" s="417"/>
      <c r="N366" s="416">
        <v>0</v>
      </c>
      <c r="O366" s="416">
        <v>40</v>
      </c>
      <c r="P366" s="416">
        <v>0</v>
      </c>
    </row>
    <row r="367" spans="12:16">
      <c r="L367" s="417" t="s">
        <v>2858</v>
      </c>
      <c r="M367" s="417" t="s">
        <v>2977</v>
      </c>
      <c r="N367" s="416">
        <v>0</v>
      </c>
      <c r="O367" s="416">
        <v>28</v>
      </c>
      <c r="P367" s="416">
        <v>0</v>
      </c>
    </row>
    <row r="368" spans="12:16">
      <c r="L368" s="417" t="s">
        <v>2920</v>
      </c>
      <c r="M368" s="417"/>
      <c r="N368" s="416">
        <v>0</v>
      </c>
      <c r="O368" s="416">
        <v>28</v>
      </c>
      <c r="P368" s="416">
        <v>0</v>
      </c>
    </row>
    <row r="369" spans="12:16">
      <c r="L369" s="417" t="s">
        <v>2859</v>
      </c>
      <c r="M369" s="417" t="s">
        <v>2977</v>
      </c>
      <c r="N369" s="416">
        <v>0</v>
      </c>
      <c r="O369" s="416">
        <v>31</v>
      </c>
      <c r="P369" s="416">
        <v>0</v>
      </c>
    </row>
    <row r="370" spans="12:16">
      <c r="L370" s="417" t="s">
        <v>2921</v>
      </c>
      <c r="M370" s="417"/>
      <c r="N370" s="416">
        <v>0</v>
      </c>
      <c r="O370" s="416">
        <v>31</v>
      </c>
      <c r="P370" s="416">
        <v>0</v>
      </c>
    </row>
    <row r="371" spans="12:16">
      <c r="L371" s="417" t="s">
        <v>2860</v>
      </c>
      <c r="M371" s="417" t="s">
        <v>2977</v>
      </c>
      <c r="N371" s="416">
        <v>0</v>
      </c>
      <c r="O371" s="416">
        <v>179</v>
      </c>
      <c r="P371" s="416">
        <v>179</v>
      </c>
    </row>
    <row r="372" spans="12:16">
      <c r="L372" s="417" t="s">
        <v>2922</v>
      </c>
      <c r="M372" s="417"/>
      <c r="N372" s="416">
        <v>0</v>
      </c>
      <c r="O372" s="416">
        <v>179</v>
      </c>
      <c r="P372" s="416">
        <v>179</v>
      </c>
    </row>
    <row r="373" spans="12:16">
      <c r="L373" s="417" t="s">
        <v>2861</v>
      </c>
      <c r="M373" s="417" t="s">
        <v>2977</v>
      </c>
      <c r="N373" s="416">
        <v>0</v>
      </c>
      <c r="O373" s="416">
        <v>26</v>
      </c>
      <c r="P373" s="416">
        <v>26</v>
      </c>
    </row>
    <row r="374" spans="12:16">
      <c r="L374" s="417" t="s">
        <v>2923</v>
      </c>
      <c r="M374" s="417"/>
      <c r="N374" s="416">
        <v>0</v>
      </c>
      <c r="O374" s="416">
        <v>26</v>
      </c>
      <c r="P374" s="416">
        <v>26</v>
      </c>
    </row>
    <row r="375" spans="12:16">
      <c r="L375" s="417" t="s">
        <v>2862</v>
      </c>
      <c r="M375" s="417" t="s">
        <v>2977</v>
      </c>
      <c r="N375" s="416">
        <v>0</v>
      </c>
      <c r="O375" s="416">
        <v>0</v>
      </c>
      <c r="P375" s="416">
        <v>0</v>
      </c>
    </row>
    <row r="376" spans="12:16">
      <c r="L376" s="417" t="s">
        <v>2924</v>
      </c>
      <c r="M376" s="417"/>
      <c r="N376" s="416">
        <v>0</v>
      </c>
      <c r="O376" s="416">
        <v>0</v>
      </c>
      <c r="P376" s="416">
        <v>0</v>
      </c>
    </row>
    <row r="377" spans="12:16">
      <c r="L377" s="417" t="s">
        <v>2829</v>
      </c>
      <c r="M377" s="417" t="s">
        <v>2977</v>
      </c>
      <c r="N377" s="416">
        <v>0</v>
      </c>
      <c r="O377" s="416">
        <v>77</v>
      </c>
      <c r="P377" s="416">
        <v>77</v>
      </c>
    </row>
    <row r="378" spans="12:16">
      <c r="L378" s="417" t="s">
        <v>2925</v>
      </c>
      <c r="M378" s="417"/>
      <c r="N378" s="416">
        <v>0</v>
      </c>
      <c r="O378" s="416">
        <v>77</v>
      </c>
      <c r="P378" s="416">
        <v>77</v>
      </c>
    </row>
    <row r="379" spans="12:16">
      <c r="L379" s="417" t="s">
        <v>2876</v>
      </c>
      <c r="M379" s="417" t="s">
        <v>2977</v>
      </c>
      <c r="N379" s="416">
        <v>221</v>
      </c>
      <c r="O379" s="416">
        <v>160</v>
      </c>
      <c r="P379" s="416">
        <v>221</v>
      </c>
    </row>
    <row r="380" spans="12:16">
      <c r="L380" s="417" t="s">
        <v>2926</v>
      </c>
      <c r="M380" s="417"/>
      <c r="N380" s="416">
        <v>221</v>
      </c>
      <c r="O380" s="416">
        <v>160</v>
      </c>
      <c r="P380" s="416">
        <v>221</v>
      </c>
    </row>
    <row r="381" spans="12:16">
      <c r="L381" s="417" t="s">
        <v>3005</v>
      </c>
      <c r="M381" s="417" t="s">
        <v>2977</v>
      </c>
      <c r="N381" s="416">
        <v>0</v>
      </c>
      <c r="O381" s="416">
        <v>0</v>
      </c>
      <c r="P381" s="416">
        <v>0</v>
      </c>
    </row>
    <row r="382" spans="12:16">
      <c r="L382" s="417" t="s">
        <v>3085</v>
      </c>
      <c r="M382" s="417"/>
      <c r="N382" s="416">
        <v>0</v>
      </c>
      <c r="O382" s="416">
        <v>0</v>
      </c>
      <c r="P382" s="416">
        <v>0</v>
      </c>
    </row>
    <row r="383" spans="12:16">
      <c r="L383" s="417" t="s">
        <v>3008</v>
      </c>
      <c r="M383" s="417" t="s">
        <v>2977</v>
      </c>
      <c r="N383" s="416">
        <v>0</v>
      </c>
      <c r="O383" s="416">
        <v>0</v>
      </c>
      <c r="P383" s="416">
        <v>0</v>
      </c>
    </row>
    <row r="384" spans="12:16">
      <c r="L384" s="417" t="s">
        <v>3086</v>
      </c>
      <c r="M384" s="417"/>
      <c r="N384" s="416">
        <v>0</v>
      </c>
      <c r="O384" s="416">
        <v>0</v>
      </c>
      <c r="P384" s="416">
        <v>0</v>
      </c>
    </row>
    <row r="385" spans="12:16">
      <c r="L385" s="417" t="s">
        <v>2996</v>
      </c>
      <c r="M385" s="417" t="s">
        <v>2977</v>
      </c>
      <c r="N385" s="416">
        <v>0</v>
      </c>
      <c r="O385" s="416">
        <v>0</v>
      </c>
      <c r="P385" s="416">
        <v>0</v>
      </c>
    </row>
    <row r="386" spans="12:16">
      <c r="L386" s="417" t="s">
        <v>3087</v>
      </c>
      <c r="M386" s="417"/>
      <c r="N386" s="416">
        <v>0</v>
      </c>
      <c r="O386" s="416">
        <v>0</v>
      </c>
      <c r="P386" s="416">
        <v>0</v>
      </c>
    </row>
    <row r="387" spans="12:16">
      <c r="L387" s="417" t="s">
        <v>3003</v>
      </c>
      <c r="M387" s="417" t="s">
        <v>2977</v>
      </c>
      <c r="N387" s="416">
        <v>0</v>
      </c>
      <c r="O387" s="416">
        <v>0</v>
      </c>
      <c r="P387" s="416">
        <v>0</v>
      </c>
    </row>
    <row r="388" spans="12:16">
      <c r="L388" s="417" t="s">
        <v>3088</v>
      </c>
      <c r="M388" s="417"/>
      <c r="N388" s="416">
        <v>0</v>
      </c>
      <c r="O388" s="416">
        <v>0</v>
      </c>
      <c r="P388" s="416">
        <v>0</v>
      </c>
    </row>
    <row r="389" spans="12:16">
      <c r="L389" s="417" t="s">
        <v>3004</v>
      </c>
      <c r="M389" s="417" t="s">
        <v>2977</v>
      </c>
      <c r="N389" s="416">
        <v>0</v>
      </c>
      <c r="O389" s="416">
        <v>0</v>
      </c>
      <c r="P389" s="416">
        <v>0</v>
      </c>
    </row>
    <row r="390" spans="12:16">
      <c r="L390" s="417" t="s">
        <v>3089</v>
      </c>
      <c r="M390" s="417"/>
      <c r="N390" s="416">
        <v>0</v>
      </c>
      <c r="O390" s="416">
        <v>0</v>
      </c>
      <c r="P390" s="416">
        <v>0</v>
      </c>
    </row>
    <row r="391" spans="12:16">
      <c r="L391" s="417" t="s">
        <v>3010</v>
      </c>
      <c r="M391" s="417" t="s">
        <v>2977</v>
      </c>
      <c r="N391" s="416">
        <v>0</v>
      </c>
      <c r="O391" s="416">
        <v>0</v>
      </c>
      <c r="P391" s="416">
        <v>0</v>
      </c>
    </row>
    <row r="392" spans="12:16">
      <c r="L392" s="417" t="s">
        <v>3090</v>
      </c>
      <c r="M392" s="417"/>
      <c r="N392" s="416">
        <v>0</v>
      </c>
      <c r="O392" s="416">
        <v>0</v>
      </c>
      <c r="P392" s="416">
        <v>0</v>
      </c>
    </row>
    <row r="393" spans="12:16">
      <c r="L393" s="417" t="s">
        <v>3007</v>
      </c>
      <c r="M393" s="417" t="s">
        <v>2977</v>
      </c>
      <c r="N393" s="416">
        <v>0</v>
      </c>
      <c r="O393" s="416">
        <v>0</v>
      </c>
      <c r="P393" s="416">
        <v>0</v>
      </c>
    </row>
    <row r="394" spans="12:16">
      <c r="L394" s="417" t="s">
        <v>3091</v>
      </c>
      <c r="M394" s="417"/>
      <c r="N394" s="416">
        <v>0</v>
      </c>
      <c r="O394" s="416">
        <v>0</v>
      </c>
      <c r="P394" s="416">
        <v>0</v>
      </c>
    </row>
    <row r="395" spans="12:16">
      <c r="L395" s="417" t="s">
        <v>2995</v>
      </c>
      <c r="M395" s="417" t="s">
        <v>2977</v>
      </c>
      <c r="N395" s="416">
        <v>0</v>
      </c>
      <c r="O395" s="416">
        <v>0</v>
      </c>
      <c r="P395" s="416">
        <v>0</v>
      </c>
    </row>
    <row r="396" spans="12:16">
      <c r="L396" s="417" t="s">
        <v>3092</v>
      </c>
      <c r="M396" s="417"/>
      <c r="N396" s="416">
        <v>0</v>
      </c>
      <c r="O396" s="416">
        <v>0</v>
      </c>
      <c r="P396" s="416">
        <v>0</v>
      </c>
    </row>
    <row r="397" spans="12:16">
      <c r="L397" s="417" t="s">
        <v>3009</v>
      </c>
      <c r="M397" s="417" t="s">
        <v>2977</v>
      </c>
      <c r="N397" s="416">
        <v>0</v>
      </c>
      <c r="O397" s="416">
        <v>0</v>
      </c>
      <c r="P397" s="416">
        <v>0</v>
      </c>
    </row>
    <row r="398" spans="12:16">
      <c r="L398" s="417" t="s">
        <v>3093</v>
      </c>
      <c r="M398" s="417"/>
      <c r="N398" s="416">
        <v>0</v>
      </c>
      <c r="O398" s="416">
        <v>0</v>
      </c>
      <c r="P398" s="416">
        <v>0</v>
      </c>
    </row>
    <row r="399" spans="12:16">
      <c r="L399" s="417" t="s">
        <v>3006</v>
      </c>
      <c r="M399" s="417" t="s">
        <v>2977</v>
      </c>
      <c r="N399" s="416">
        <v>0</v>
      </c>
      <c r="O399" s="416">
        <v>0</v>
      </c>
      <c r="P399" s="416">
        <v>0</v>
      </c>
    </row>
    <row r="400" spans="12:16">
      <c r="L400" s="417" t="s">
        <v>3094</v>
      </c>
      <c r="M400" s="417"/>
      <c r="N400" s="416">
        <v>0</v>
      </c>
      <c r="O400" s="416">
        <v>0</v>
      </c>
      <c r="P400" s="416">
        <v>0</v>
      </c>
    </row>
    <row r="401" spans="12:16">
      <c r="L401" s="417" t="s">
        <v>2989</v>
      </c>
      <c r="M401" s="417" t="s">
        <v>2977</v>
      </c>
      <c r="N401" s="416">
        <v>0</v>
      </c>
      <c r="O401" s="416">
        <v>0</v>
      </c>
      <c r="P401" s="416">
        <v>0</v>
      </c>
    </row>
    <row r="402" spans="12:16">
      <c r="L402" s="417" t="s">
        <v>3095</v>
      </c>
      <c r="M402" s="417"/>
      <c r="N402" s="416">
        <v>0</v>
      </c>
      <c r="O402" s="416">
        <v>0</v>
      </c>
      <c r="P402" s="416">
        <v>0</v>
      </c>
    </row>
    <row r="403" spans="12:16">
      <c r="L403" s="417" t="s">
        <v>2990</v>
      </c>
      <c r="M403" s="417" t="s">
        <v>2977</v>
      </c>
      <c r="N403" s="416">
        <v>0</v>
      </c>
      <c r="O403" s="416">
        <v>0</v>
      </c>
      <c r="P403" s="416">
        <v>0</v>
      </c>
    </row>
    <row r="404" spans="12:16">
      <c r="L404" s="417" t="s">
        <v>3096</v>
      </c>
      <c r="M404" s="417"/>
      <c r="N404" s="416">
        <v>0</v>
      </c>
      <c r="O404" s="416">
        <v>0</v>
      </c>
      <c r="P404" s="416">
        <v>0</v>
      </c>
    </row>
    <row r="405" spans="12:16">
      <c r="L405" s="417" t="s">
        <v>2991</v>
      </c>
      <c r="M405" s="417" t="s">
        <v>2977</v>
      </c>
      <c r="N405" s="416">
        <v>0</v>
      </c>
      <c r="O405" s="416">
        <v>0</v>
      </c>
      <c r="P405" s="416">
        <v>0</v>
      </c>
    </row>
    <row r="406" spans="12:16">
      <c r="L406" s="417" t="s">
        <v>3097</v>
      </c>
      <c r="M406" s="417"/>
      <c r="N406" s="416">
        <v>0</v>
      </c>
      <c r="O406" s="416">
        <v>0</v>
      </c>
      <c r="P406" s="416">
        <v>0</v>
      </c>
    </row>
    <row r="407" spans="12:16">
      <c r="L407" s="417" t="s">
        <v>2992</v>
      </c>
      <c r="M407" s="417" t="s">
        <v>2977</v>
      </c>
      <c r="N407" s="416">
        <v>0</v>
      </c>
      <c r="O407" s="416">
        <v>0</v>
      </c>
      <c r="P407" s="416">
        <v>0</v>
      </c>
    </row>
    <row r="408" spans="12:16">
      <c r="L408" s="417" t="s">
        <v>3098</v>
      </c>
      <c r="M408" s="417"/>
      <c r="N408" s="416">
        <v>0</v>
      </c>
      <c r="O408" s="416">
        <v>0</v>
      </c>
      <c r="P408" s="416">
        <v>0</v>
      </c>
    </row>
    <row r="409" spans="12:16">
      <c r="L409" s="417" t="s">
        <v>2993</v>
      </c>
      <c r="M409" s="417" t="s">
        <v>2977</v>
      </c>
      <c r="N409" s="416">
        <v>0</v>
      </c>
      <c r="O409" s="416">
        <v>0</v>
      </c>
      <c r="P409" s="416">
        <v>37</v>
      </c>
    </row>
    <row r="410" spans="12:16">
      <c r="L410" s="417" t="s">
        <v>3099</v>
      </c>
      <c r="M410" s="417"/>
      <c r="N410" s="416">
        <v>0</v>
      </c>
      <c r="O410" s="416">
        <v>0</v>
      </c>
      <c r="P410" s="416">
        <v>37</v>
      </c>
    </row>
    <row r="411" spans="12:16">
      <c r="L411" s="417" t="s">
        <v>2994</v>
      </c>
      <c r="M411" s="417" t="s">
        <v>2977</v>
      </c>
      <c r="N411" s="416">
        <v>0</v>
      </c>
      <c r="O411" s="416">
        <v>0</v>
      </c>
      <c r="P411" s="416">
        <v>0</v>
      </c>
    </row>
    <row r="412" spans="12:16">
      <c r="L412" s="417" t="s">
        <v>3100</v>
      </c>
      <c r="M412" s="417"/>
      <c r="N412" s="416">
        <v>0</v>
      </c>
      <c r="O412" s="416">
        <v>0</v>
      </c>
      <c r="P412" s="416">
        <v>0</v>
      </c>
    </row>
    <row r="413" spans="12:16">
      <c r="L413" s="417" t="s">
        <v>2997</v>
      </c>
      <c r="M413" s="417" t="s">
        <v>2977</v>
      </c>
      <c r="N413" s="416">
        <v>0</v>
      </c>
      <c r="O413" s="416">
        <v>0</v>
      </c>
      <c r="P413" s="416">
        <v>0</v>
      </c>
    </row>
    <row r="414" spans="12:16">
      <c r="L414" s="417" t="s">
        <v>3101</v>
      </c>
      <c r="M414" s="417"/>
      <c r="N414" s="416">
        <v>0</v>
      </c>
      <c r="O414" s="416">
        <v>0</v>
      </c>
      <c r="P414" s="416">
        <v>0</v>
      </c>
    </row>
    <row r="415" spans="12:16">
      <c r="L415" s="417" t="s">
        <v>2998</v>
      </c>
      <c r="M415" s="417" t="s">
        <v>2977</v>
      </c>
      <c r="N415" s="416">
        <v>0</v>
      </c>
      <c r="O415" s="416">
        <v>0</v>
      </c>
      <c r="P415" s="416">
        <v>0</v>
      </c>
    </row>
    <row r="416" spans="12:16">
      <c r="L416" s="417" t="s">
        <v>3102</v>
      </c>
      <c r="M416" s="417"/>
      <c r="N416" s="416">
        <v>0</v>
      </c>
      <c r="O416" s="416">
        <v>0</v>
      </c>
      <c r="P416" s="416">
        <v>0</v>
      </c>
    </row>
    <row r="417" spans="12:16">
      <c r="L417" s="417" t="s">
        <v>2999</v>
      </c>
      <c r="M417" s="417" t="s">
        <v>2977</v>
      </c>
      <c r="N417" s="416">
        <v>0</v>
      </c>
      <c r="O417" s="416">
        <v>0</v>
      </c>
      <c r="P417" s="416">
        <v>66.666666666666671</v>
      </c>
    </row>
    <row r="418" spans="12:16">
      <c r="L418" s="417" t="s">
        <v>3103</v>
      </c>
      <c r="M418" s="417"/>
      <c r="N418" s="416">
        <v>0</v>
      </c>
      <c r="O418" s="416">
        <v>0</v>
      </c>
      <c r="P418" s="416">
        <v>66.666666666666671</v>
      </c>
    </row>
    <row r="419" spans="12:16">
      <c r="L419" s="417" t="s">
        <v>3000</v>
      </c>
      <c r="M419" s="417" t="s">
        <v>2977</v>
      </c>
      <c r="N419" s="416">
        <v>0</v>
      </c>
      <c r="O419" s="416">
        <v>0</v>
      </c>
      <c r="P419" s="416">
        <v>0</v>
      </c>
    </row>
    <row r="420" spans="12:16">
      <c r="L420" s="417" t="s">
        <v>3104</v>
      </c>
      <c r="M420" s="417"/>
      <c r="N420" s="416">
        <v>0</v>
      </c>
      <c r="O420" s="416">
        <v>0</v>
      </c>
      <c r="P420" s="416">
        <v>0</v>
      </c>
    </row>
    <row r="421" spans="12:16">
      <c r="L421" s="417" t="s">
        <v>3001</v>
      </c>
      <c r="M421" s="417" t="s">
        <v>2977</v>
      </c>
      <c r="N421" s="416">
        <v>0</v>
      </c>
      <c r="O421" s="416">
        <v>0</v>
      </c>
      <c r="P421" s="416">
        <v>0</v>
      </c>
    </row>
    <row r="422" spans="12:16">
      <c r="L422" s="417" t="s">
        <v>3105</v>
      </c>
      <c r="M422" s="417"/>
      <c r="N422" s="416">
        <v>0</v>
      </c>
      <c r="O422" s="416">
        <v>0</v>
      </c>
      <c r="P422" s="416">
        <v>0</v>
      </c>
    </row>
    <row r="423" spans="12:16">
      <c r="L423" s="417" t="s">
        <v>3002</v>
      </c>
      <c r="M423" s="417" t="s">
        <v>2977</v>
      </c>
      <c r="N423" s="416">
        <v>0</v>
      </c>
      <c r="O423" s="416">
        <v>0</v>
      </c>
      <c r="P423" s="416">
        <v>0</v>
      </c>
    </row>
    <row r="424" spans="12:16">
      <c r="L424" s="417" t="s">
        <v>3106</v>
      </c>
      <c r="M424" s="417"/>
      <c r="N424" s="416">
        <v>0</v>
      </c>
      <c r="O424" s="416">
        <v>0</v>
      </c>
      <c r="P424" s="416">
        <v>0</v>
      </c>
    </row>
    <row r="425" spans="12:16">
      <c r="L425" s="417" t="s">
        <v>3078</v>
      </c>
      <c r="M425" s="417" t="s">
        <v>2977</v>
      </c>
      <c r="N425" s="416">
        <v>0</v>
      </c>
      <c r="O425" s="416">
        <v>0</v>
      </c>
      <c r="P425" s="416">
        <v>0</v>
      </c>
    </row>
    <row r="426" spans="12:16">
      <c r="L426" s="417" t="s">
        <v>3107</v>
      </c>
      <c r="M426" s="417"/>
      <c r="N426" s="416">
        <v>0</v>
      </c>
      <c r="O426" s="416">
        <v>0</v>
      </c>
      <c r="P426" s="416">
        <v>0</v>
      </c>
    </row>
    <row r="427" spans="12:16">
      <c r="L427" s="417" t="s">
        <v>3210</v>
      </c>
      <c r="M427" s="417" t="s">
        <v>2977</v>
      </c>
      <c r="N427" s="416">
        <v>213</v>
      </c>
      <c r="O427" s="416">
        <v>160</v>
      </c>
      <c r="P427" s="416">
        <v>213</v>
      </c>
    </row>
    <row r="428" spans="12:16">
      <c r="L428" s="417" t="s">
        <v>3246</v>
      </c>
      <c r="M428" s="417"/>
      <c r="N428" s="416">
        <v>213</v>
      </c>
      <c r="O428" s="416">
        <v>160</v>
      </c>
      <c r="P428" s="416">
        <v>213</v>
      </c>
    </row>
    <row r="429" spans="12:16">
      <c r="L429" s="417" t="s">
        <v>3209</v>
      </c>
      <c r="M429" s="417" t="s">
        <v>2977</v>
      </c>
      <c r="N429" s="416">
        <v>324</v>
      </c>
      <c r="O429" s="416">
        <v>144</v>
      </c>
      <c r="P429" s="416">
        <v>0</v>
      </c>
    </row>
    <row r="430" spans="12:16">
      <c r="L430" s="417" t="s">
        <v>3247</v>
      </c>
      <c r="M430" s="417"/>
      <c r="N430" s="416">
        <v>324</v>
      </c>
      <c r="O430" s="416">
        <v>144</v>
      </c>
      <c r="P430" s="416">
        <v>0</v>
      </c>
    </row>
    <row r="431" spans="12:16">
      <c r="L431" s="417" t="s">
        <v>1285</v>
      </c>
      <c r="N431" s="416">
        <v>70115</v>
      </c>
      <c r="O431" s="416">
        <v>82734</v>
      </c>
      <c r="P431" s="416">
        <v>76636.333333333343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2" workbookViewId="0">
      <selection activeCell="A8" sqref="A8"/>
    </sheetView>
  </sheetViews>
  <sheetFormatPr defaultColWidth="9" defaultRowHeight="13"/>
  <cols>
    <col min="1" max="3" width="9" style="18"/>
    <col min="4" max="4" width="9" style="66"/>
    <col min="5" max="5" width="15.6640625" style="65" customWidth="1"/>
    <col min="6" max="14" width="9" style="18"/>
    <col min="15" max="15" width="15.6640625" style="18" customWidth="1"/>
    <col min="16" max="27" width="9" style="18"/>
    <col min="28" max="28" width="13" style="61" customWidth="1"/>
    <col min="29" max="29" width="16.6640625" style="61" customWidth="1"/>
    <col min="30" max="16384" width="9" style="18"/>
  </cols>
  <sheetData>
    <row r="1" spans="1:29" ht="14" thickTop="1" thickBot="1">
      <c r="A1" s="1" t="s">
        <v>0</v>
      </c>
      <c r="B1" s="1" t="s">
        <v>1</v>
      </c>
      <c r="C1" s="1" t="s">
        <v>2</v>
      </c>
      <c r="D1" s="49" t="s">
        <v>3</v>
      </c>
      <c r="E1" s="49" t="s">
        <v>4</v>
      </c>
      <c r="F1" s="1" t="s">
        <v>874</v>
      </c>
      <c r="G1" s="1" t="s">
        <v>5</v>
      </c>
      <c r="H1" s="1" t="s">
        <v>6</v>
      </c>
      <c r="I1" s="1" t="s">
        <v>47</v>
      </c>
      <c r="J1" s="1" t="s">
        <v>48</v>
      </c>
      <c r="K1" s="1" t="s">
        <v>51</v>
      </c>
      <c r="L1" s="2" t="s">
        <v>53</v>
      </c>
      <c r="M1" s="2" t="s">
        <v>54</v>
      </c>
      <c r="N1" s="2" t="s">
        <v>115</v>
      </c>
      <c r="O1" s="2" t="s">
        <v>116</v>
      </c>
      <c r="P1" s="2" t="s">
        <v>59</v>
      </c>
      <c r="Q1" s="2" t="s">
        <v>57</v>
      </c>
      <c r="R1" s="3" t="s">
        <v>61</v>
      </c>
      <c r="S1" s="3" t="s">
        <v>875</v>
      </c>
      <c r="T1" s="4" t="s">
        <v>62</v>
      </c>
      <c r="U1" s="3" t="s">
        <v>63</v>
      </c>
      <c r="V1" s="3" t="s">
        <v>64</v>
      </c>
      <c r="W1" s="5" t="s">
        <v>66</v>
      </c>
      <c r="X1" s="5"/>
      <c r="Y1" s="5" t="s">
        <v>876</v>
      </c>
      <c r="Z1" s="5" t="s">
        <v>67</v>
      </c>
      <c r="AA1" s="47" t="s">
        <v>68</v>
      </c>
      <c r="AB1" s="61" t="s">
        <v>877</v>
      </c>
    </row>
    <row r="2" spans="1:29" ht="13.5" thickBot="1">
      <c r="A2" s="11" t="s">
        <v>16</v>
      </c>
      <c r="B2" s="12" t="s">
        <v>16</v>
      </c>
      <c r="C2" s="11" t="s">
        <v>16</v>
      </c>
      <c r="D2" s="53" t="s">
        <v>16</v>
      </c>
      <c r="E2" s="50" t="s">
        <v>16</v>
      </c>
      <c r="F2" s="12" t="s">
        <v>17</v>
      </c>
      <c r="G2" s="11" t="s">
        <v>17</v>
      </c>
      <c r="H2" s="12" t="s">
        <v>50</v>
      </c>
      <c r="I2" s="11" t="s">
        <v>16</v>
      </c>
      <c r="J2" s="12" t="s">
        <v>19</v>
      </c>
      <c r="K2" s="11" t="s">
        <v>52</v>
      </c>
      <c r="L2" s="12" t="s">
        <v>17</v>
      </c>
      <c r="M2" s="11" t="s">
        <v>17</v>
      </c>
      <c r="N2" s="12" t="s">
        <v>17</v>
      </c>
      <c r="O2" s="11" t="s">
        <v>17</v>
      </c>
      <c r="P2" s="12" t="s">
        <v>52</v>
      </c>
      <c r="Q2" s="11" t="s">
        <v>17</v>
      </c>
      <c r="R2" s="12" t="s">
        <v>17</v>
      </c>
      <c r="S2" s="11" t="s">
        <v>17</v>
      </c>
      <c r="T2" s="12" t="s">
        <v>17</v>
      </c>
      <c r="U2" s="11" t="s">
        <v>878</v>
      </c>
      <c r="V2" s="12" t="s">
        <v>878</v>
      </c>
      <c r="W2" s="11" t="s">
        <v>17</v>
      </c>
      <c r="X2" s="11"/>
      <c r="Y2" s="12" t="s">
        <v>17</v>
      </c>
      <c r="Z2" s="11" t="s">
        <v>17</v>
      </c>
      <c r="AA2" s="48" t="s">
        <v>17</v>
      </c>
    </row>
    <row r="3" spans="1:29" ht="118" thickTop="1" thickBot="1">
      <c r="A3" s="14" t="s">
        <v>20</v>
      </c>
      <c r="B3" s="13" t="s">
        <v>879</v>
      </c>
      <c r="C3" s="14" t="s">
        <v>21</v>
      </c>
      <c r="D3" s="54" t="s">
        <v>22</v>
      </c>
      <c r="E3" s="51" t="s">
        <v>23</v>
      </c>
      <c r="F3" s="13" t="s">
        <v>25</v>
      </c>
      <c r="G3" s="14" t="s">
        <v>880</v>
      </c>
      <c r="H3" s="13" t="s">
        <v>881</v>
      </c>
      <c r="I3" s="14" t="s">
        <v>882</v>
      </c>
      <c r="J3" s="13" t="s">
        <v>883</v>
      </c>
      <c r="K3" s="14" t="s">
        <v>884</v>
      </c>
      <c r="L3" s="13" t="s">
        <v>885</v>
      </c>
      <c r="M3" s="14" t="s">
        <v>886</v>
      </c>
      <c r="N3" s="13" t="s">
        <v>887</v>
      </c>
      <c r="O3" s="14" t="s">
        <v>888</v>
      </c>
      <c r="P3" s="13" t="s">
        <v>889</v>
      </c>
      <c r="Q3" s="14" t="s">
        <v>890</v>
      </c>
      <c r="R3" s="13" t="s">
        <v>891</v>
      </c>
      <c r="S3" s="14" t="s">
        <v>892</v>
      </c>
      <c r="T3" s="13" t="s">
        <v>893</v>
      </c>
      <c r="U3" s="14" t="s">
        <v>894</v>
      </c>
      <c r="V3" s="13" t="s">
        <v>895</v>
      </c>
      <c r="W3" s="16" t="s">
        <v>896</v>
      </c>
      <c r="X3" s="16" t="s">
        <v>897</v>
      </c>
      <c r="Y3" s="13" t="s">
        <v>898</v>
      </c>
      <c r="Z3" s="14" t="s">
        <v>899</v>
      </c>
      <c r="AA3" s="56" t="s">
        <v>900</v>
      </c>
      <c r="AB3" s="62" t="s">
        <v>901</v>
      </c>
      <c r="AC3" s="62" t="s">
        <v>902</v>
      </c>
    </row>
    <row r="4" spans="1:29" ht="14" thickTop="1" thickBot="1">
      <c r="A4" s="42" t="s">
        <v>2977</v>
      </c>
      <c r="B4" s="10" t="s">
        <v>903</v>
      </c>
      <c r="C4" s="8" t="s">
        <v>37</v>
      </c>
      <c r="D4" s="52" t="s">
        <v>327</v>
      </c>
      <c r="E4" s="52" t="s">
        <v>487</v>
      </c>
      <c r="F4" s="7"/>
      <c r="G4" s="8"/>
      <c r="H4" s="7" t="s">
        <v>41</v>
      </c>
      <c r="I4" s="41" t="s">
        <v>317</v>
      </c>
      <c r="J4" s="7"/>
      <c r="K4" s="15">
        <v>0</v>
      </c>
      <c r="L4" s="7"/>
      <c r="M4" s="8"/>
      <c r="N4" s="7"/>
      <c r="O4" s="8"/>
      <c r="P4" s="7"/>
      <c r="Q4" s="7"/>
      <c r="R4" s="8"/>
      <c r="S4" s="7"/>
      <c r="T4" s="9"/>
      <c r="U4" s="7" t="s">
        <v>137</v>
      </c>
      <c r="V4" s="7" t="s">
        <v>137</v>
      </c>
      <c r="W4" s="7"/>
      <c r="X4" s="7" t="s">
        <v>138</v>
      </c>
      <c r="Y4" s="8"/>
      <c r="Z4" s="7"/>
      <c r="AA4" s="57"/>
      <c r="AB4" s="61" t="s">
        <v>2093</v>
      </c>
      <c r="AC4" s="61" t="s">
        <v>346</v>
      </c>
    </row>
    <row r="5" spans="1:29" ht="14" thickTop="1" thickBot="1">
      <c r="A5" s="42" t="s">
        <v>2978</v>
      </c>
      <c r="B5" s="10" t="s">
        <v>319</v>
      </c>
      <c r="C5" s="8" t="s">
        <v>304</v>
      </c>
      <c r="D5" s="52" t="s">
        <v>195</v>
      </c>
      <c r="E5" s="52" t="s">
        <v>431</v>
      </c>
      <c r="F5" s="7"/>
      <c r="G5" s="8"/>
      <c r="H5" s="7" t="s">
        <v>136</v>
      </c>
      <c r="I5" s="41" t="s">
        <v>150</v>
      </c>
      <c r="J5" s="7"/>
      <c r="K5" s="15">
        <v>0.1</v>
      </c>
      <c r="L5" s="7"/>
      <c r="M5" s="8"/>
      <c r="N5" s="7"/>
      <c r="O5" s="8"/>
      <c r="P5" s="7"/>
      <c r="Q5" s="7"/>
      <c r="R5" s="8"/>
      <c r="S5" s="7"/>
      <c r="T5" s="9"/>
      <c r="U5" s="7" t="s">
        <v>904</v>
      </c>
      <c r="V5" s="7" t="s">
        <v>151</v>
      </c>
      <c r="W5" s="7"/>
      <c r="X5" s="7" t="s">
        <v>229</v>
      </c>
      <c r="Y5" s="8"/>
      <c r="Z5" s="7"/>
      <c r="AA5" s="57"/>
      <c r="AB5" s="61" t="s">
        <v>2093</v>
      </c>
      <c r="AC5" s="61" t="s">
        <v>310</v>
      </c>
    </row>
    <row r="6" spans="1:29" ht="14" thickTop="1" thickBot="1">
      <c r="A6" s="42" t="s">
        <v>2979</v>
      </c>
      <c r="B6" s="10" t="s">
        <v>905</v>
      </c>
      <c r="C6" s="8" t="s">
        <v>515</v>
      </c>
      <c r="D6" s="52" t="s">
        <v>324</v>
      </c>
      <c r="E6" s="52" t="s">
        <v>503</v>
      </c>
      <c r="F6" s="7"/>
      <c r="G6" s="8"/>
      <c r="H6" s="7" t="s">
        <v>293</v>
      </c>
      <c r="I6" s="6" t="s">
        <v>906</v>
      </c>
      <c r="J6" s="7"/>
      <c r="K6" s="15">
        <v>0.2</v>
      </c>
      <c r="L6" s="7"/>
      <c r="M6" s="8"/>
      <c r="N6" s="7"/>
      <c r="O6" s="8"/>
      <c r="P6" s="7"/>
      <c r="Q6" s="7"/>
      <c r="R6" s="8"/>
      <c r="S6" s="7"/>
      <c r="T6" s="9"/>
      <c r="U6" s="7" t="s">
        <v>186</v>
      </c>
      <c r="V6" s="7" t="s">
        <v>186</v>
      </c>
      <c r="W6" s="7"/>
      <c r="X6" s="7" t="s">
        <v>145</v>
      </c>
      <c r="Y6" s="8"/>
      <c r="Z6" s="7"/>
      <c r="AA6" s="57"/>
      <c r="AB6" s="61" t="s">
        <v>2093</v>
      </c>
      <c r="AC6" s="61" t="s">
        <v>318</v>
      </c>
    </row>
    <row r="7" spans="1:29" ht="14" thickTop="1" thickBot="1">
      <c r="A7" s="42" t="s">
        <v>2980</v>
      </c>
      <c r="B7" s="10" t="s">
        <v>907</v>
      </c>
      <c r="D7" s="52" t="s">
        <v>146</v>
      </c>
      <c r="E7" s="52" t="s">
        <v>457</v>
      </c>
      <c r="F7" s="7"/>
      <c r="G7" s="8"/>
      <c r="H7" s="7"/>
      <c r="I7" s="41" t="s">
        <v>328</v>
      </c>
      <c r="J7" s="7"/>
      <c r="K7" s="15">
        <v>0.3</v>
      </c>
      <c r="L7" s="7"/>
      <c r="M7" s="8"/>
      <c r="N7" s="7"/>
      <c r="O7" s="8"/>
      <c r="P7" s="7"/>
      <c r="Q7" s="7"/>
      <c r="R7" s="8"/>
      <c r="S7" s="7"/>
      <c r="T7" s="9"/>
      <c r="U7" s="7" t="s">
        <v>140</v>
      </c>
      <c r="V7" s="7" t="s">
        <v>140</v>
      </c>
      <c r="W7" s="7"/>
      <c r="X7" s="7"/>
      <c r="Y7" s="8"/>
      <c r="Z7" s="7"/>
      <c r="AA7" s="57"/>
      <c r="AB7" s="61" t="s">
        <v>2093</v>
      </c>
      <c r="AC7" s="61" t="s">
        <v>397</v>
      </c>
    </row>
    <row r="8" spans="1:29" ht="14" thickTop="1" thickBot="1">
      <c r="A8" s="64"/>
      <c r="B8" s="10" t="s">
        <v>908</v>
      </c>
      <c r="D8" s="52" t="s">
        <v>148</v>
      </c>
      <c r="E8" s="52" t="s">
        <v>475</v>
      </c>
      <c r="F8" s="7"/>
      <c r="G8" s="8"/>
      <c r="H8" s="7"/>
      <c r="I8" s="55" t="s">
        <v>909</v>
      </c>
      <c r="J8" s="7"/>
      <c r="K8" s="15">
        <v>0.4</v>
      </c>
      <c r="L8" s="7"/>
      <c r="M8" s="8"/>
      <c r="N8" s="7"/>
      <c r="O8" s="8"/>
      <c r="P8" s="7"/>
      <c r="Q8" s="7"/>
      <c r="R8" s="8"/>
      <c r="S8" s="7"/>
      <c r="T8" s="9"/>
      <c r="U8" s="64"/>
      <c r="V8" s="64"/>
      <c r="W8" s="7"/>
      <c r="X8" s="7"/>
      <c r="Y8" s="8"/>
      <c r="Z8" s="7"/>
      <c r="AA8" s="57"/>
      <c r="AB8" s="61" t="s">
        <v>2093</v>
      </c>
      <c r="AC8" s="61" t="s">
        <v>359</v>
      </c>
    </row>
    <row r="9" spans="1:29" ht="13.5" thickBot="1">
      <c r="A9" s="64"/>
      <c r="B9" s="10" t="s">
        <v>1756</v>
      </c>
      <c r="D9" s="52" t="s">
        <v>534</v>
      </c>
      <c r="E9" s="52" t="s">
        <v>495</v>
      </c>
      <c r="F9" s="7"/>
      <c r="G9" s="8"/>
      <c r="H9" s="7"/>
      <c r="I9" s="40" t="s">
        <v>910</v>
      </c>
      <c r="J9" s="7"/>
      <c r="K9" s="15">
        <v>0.5</v>
      </c>
      <c r="L9" s="7"/>
      <c r="M9" s="8"/>
      <c r="N9" s="7"/>
      <c r="O9" s="8"/>
      <c r="P9" s="7"/>
      <c r="Q9" s="7"/>
      <c r="R9" s="8"/>
      <c r="S9" s="7"/>
      <c r="T9" s="9"/>
      <c r="U9" s="7"/>
      <c r="V9" s="8"/>
      <c r="W9" s="7"/>
      <c r="X9" s="7"/>
      <c r="Y9" s="8"/>
      <c r="Z9" s="7"/>
      <c r="AA9" s="57"/>
      <c r="AB9" s="61" t="s">
        <v>2093</v>
      </c>
      <c r="AC9" s="61" t="s">
        <v>362</v>
      </c>
    </row>
    <row r="10" spans="1:29" ht="13.5" thickBot="1">
      <c r="B10" s="10" t="s">
        <v>311</v>
      </c>
      <c r="D10" s="52" t="s">
        <v>556</v>
      </c>
      <c r="E10" s="52" t="s">
        <v>676</v>
      </c>
      <c r="F10" s="7"/>
      <c r="G10" s="8"/>
      <c r="H10" s="7"/>
      <c r="I10" s="40" t="s">
        <v>912</v>
      </c>
      <c r="J10" s="7"/>
      <c r="K10" s="15">
        <v>0.6</v>
      </c>
      <c r="L10" s="7"/>
      <c r="M10" s="8"/>
      <c r="N10" s="7"/>
      <c r="O10" s="8"/>
      <c r="P10" s="7"/>
      <c r="Q10" s="7"/>
      <c r="R10" s="8"/>
      <c r="S10" s="7"/>
      <c r="T10" s="9"/>
      <c r="U10" s="7"/>
      <c r="V10" s="8"/>
      <c r="W10" s="7"/>
      <c r="X10" s="7"/>
      <c r="Y10" s="8"/>
      <c r="Z10" s="7"/>
      <c r="AA10" s="57"/>
      <c r="AB10" s="61" t="s">
        <v>2093</v>
      </c>
      <c r="AC10" s="61" t="s">
        <v>388</v>
      </c>
    </row>
    <row r="11" spans="1:29" ht="13.5" thickBot="1">
      <c r="B11" s="10" t="s">
        <v>911</v>
      </c>
      <c r="D11" s="52" t="s">
        <v>587</v>
      </c>
      <c r="E11" s="52" t="s">
        <v>430</v>
      </c>
      <c r="F11" s="7"/>
      <c r="G11" s="8"/>
      <c r="H11" s="7"/>
      <c r="I11" s="419" t="s">
        <v>307</v>
      </c>
      <c r="J11" s="7"/>
      <c r="K11" s="15">
        <v>0.7</v>
      </c>
      <c r="L11" s="7"/>
      <c r="M11" s="8"/>
      <c r="N11" s="7"/>
      <c r="O11" s="8"/>
      <c r="P11" s="7"/>
      <c r="Q11" s="7"/>
      <c r="R11" s="8"/>
      <c r="S11" s="7"/>
      <c r="T11" s="9"/>
      <c r="U11" s="7"/>
      <c r="V11" s="8"/>
      <c r="W11" s="7"/>
      <c r="X11" s="7"/>
      <c r="Y11" s="8"/>
      <c r="Z11" s="7"/>
      <c r="AA11" s="57"/>
      <c r="AB11" s="61" t="s">
        <v>2093</v>
      </c>
      <c r="AC11" s="61" t="s">
        <v>344</v>
      </c>
    </row>
    <row r="12" spans="1:29" ht="13.5" thickBot="1">
      <c r="A12" s="64"/>
      <c r="B12" s="10" t="s">
        <v>323</v>
      </c>
      <c r="D12" s="52" t="s">
        <v>801</v>
      </c>
      <c r="E12" s="52" t="s">
        <v>447</v>
      </c>
      <c r="F12" s="7"/>
      <c r="G12" s="8"/>
      <c r="H12" s="7"/>
      <c r="I12" s="30" t="s">
        <v>228</v>
      </c>
      <c r="J12" s="7"/>
      <c r="K12" s="15">
        <v>0.8</v>
      </c>
      <c r="L12" s="7"/>
      <c r="M12" s="8"/>
      <c r="N12" s="7"/>
      <c r="O12" s="8"/>
      <c r="P12" s="7"/>
      <c r="Q12" s="7"/>
      <c r="R12" s="8"/>
      <c r="S12" s="7"/>
      <c r="T12" s="9"/>
      <c r="U12" s="7"/>
      <c r="V12" s="8"/>
      <c r="W12" s="7"/>
      <c r="X12" s="7"/>
      <c r="Y12" s="8"/>
      <c r="Z12" s="7"/>
      <c r="AA12" s="57"/>
      <c r="AB12" s="61" t="s">
        <v>2093</v>
      </c>
      <c r="AC12" s="61" t="s">
        <v>305</v>
      </c>
    </row>
    <row r="13" spans="1:29" ht="13.5" thickBot="1">
      <c r="A13" s="64"/>
      <c r="B13" s="10" t="s">
        <v>913</v>
      </c>
      <c r="C13" s="64"/>
      <c r="D13" s="52" t="s">
        <v>519</v>
      </c>
      <c r="E13" s="52" t="s">
        <v>466</v>
      </c>
      <c r="F13" s="7"/>
      <c r="G13" s="8"/>
      <c r="H13" s="7"/>
      <c r="I13" s="30" t="s">
        <v>40</v>
      </c>
      <c r="J13" s="7"/>
      <c r="K13" s="15">
        <v>0.9</v>
      </c>
      <c r="L13" s="7"/>
      <c r="M13" s="8"/>
      <c r="N13" s="7"/>
      <c r="O13" s="8"/>
      <c r="P13" s="7"/>
      <c r="Q13" s="7"/>
      <c r="R13" s="8"/>
      <c r="S13" s="7"/>
      <c r="T13" s="9"/>
      <c r="U13" s="7"/>
      <c r="V13" s="8"/>
      <c r="W13" s="7"/>
      <c r="X13" s="7"/>
      <c r="Y13" s="8"/>
      <c r="Z13" s="7"/>
      <c r="AA13" s="57"/>
      <c r="AB13" s="61" t="s">
        <v>37</v>
      </c>
      <c r="AC13" s="61" t="s">
        <v>195</v>
      </c>
    </row>
    <row r="14" spans="1:29" ht="13.5" thickBot="1">
      <c r="A14" s="64"/>
      <c r="B14" s="10" t="s">
        <v>914</v>
      </c>
      <c r="D14" s="52" t="s">
        <v>346</v>
      </c>
      <c r="E14" s="52" t="s">
        <v>459</v>
      </c>
      <c r="F14" s="7"/>
      <c r="G14" s="8"/>
      <c r="H14" s="7"/>
      <c r="I14" s="46" t="s">
        <v>226</v>
      </c>
      <c r="J14" s="7"/>
      <c r="K14" s="15">
        <v>1</v>
      </c>
      <c r="L14" s="7"/>
      <c r="M14" s="8"/>
      <c r="N14" s="7"/>
      <c r="O14" s="8"/>
      <c r="P14" s="7"/>
      <c r="Q14" s="7"/>
      <c r="R14" s="8"/>
      <c r="S14" s="7"/>
      <c r="T14" s="9"/>
      <c r="U14" s="7"/>
      <c r="V14" s="8"/>
      <c r="W14" s="7"/>
      <c r="X14" s="7"/>
      <c r="Y14" s="8"/>
      <c r="Z14" s="7"/>
      <c r="AA14" s="57"/>
      <c r="AB14" s="61" t="s">
        <v>37</v>
      </c>
      <c r="AC14" s="61" t="s">
        <v>146</v>
      </c>
    </row>
    <row r="15" spans="1:29" ht="13.5" thickBot="1">
      <c r="A15" s="64"/>
      <c r="B15" s="10" t="s">
        <v>915</v>
      </c>
      <c r="D15" s="52" t="s">
        <v>310</v>
      </c>
      <c r="E15" s="52" t="s">
        <v>436</v>
      </c>
      <c r="F15" s="7"/>
      <c r="G15" s="8"/>
      <c r="H15" s="7"/>
      <c r="I15" s="30" t="s">
        <v>292</v>
      </c>
      <c r="J15" s="7"/>
      <c r="K15" s="8"/>
      <c r="L15" s="7"/>
      <c r="M15" s="8"/>
      <c r="N15" s="7"/>
      <c r="O15" s="8"/>
      <c r="P15" s="7"/>
      <c r="Q15" s="7"/>
      <c r="R15" s="8"/>
      <c r="S15" s="7"/>
      <c r="T15" s="9"/>
      <c r="U15" s="7"/>
      <c r="V15" s="8"/>
      <c r="W15" s="7"/>
      <c r="X15" s="7"/>
      <c r="Y15" s="8"/>
      <c r="Z15" s="7"/>
      <c r="AA15" s="57"/>
      <c r="AB15" s="61" t="s">
        <v>37</v>
      </c>
      <c r="AC15" s="61" t="s">
        <v>148</v>
      </c>
    </row>
    <row r="16" spans="1:29" ht="13.5" thickBot="1">
      <c r="B16" s="10" t="s">
        <v>916</v>
      </c>
      <c r="D16" s="52" t="s">
        <v>806</v>
      </c>
      <c r="E16" s="52" t="s">
        <v>437</v>
      </c>
      <c r="F16" s="7"/>
      <c r="G16" s="8"/>
      <c r="H16" s="7"/>
      <c r="I16" s="30" t="s">
        <v>518</v>
      </c>
      <c r="J16" s="7"/>
      <c r="K16" s="8"/>
      <c r="L16" s="7"/>
      <c r="M16" s="8"/>
      <c r="N16" s="7"/>
      <c r="O16" s="8"/>
      <c r="P16" s="7"/>
      <c r="Q16" s="7"/>
      <c r="R16" s="8"/>
      <c r="S16" s="7"/>
      <c r="T16" s="9"/>
      <c r="U16" s="7"/>
      <c r="V16" s="8"/>
      <c r="W16" s="7"/>
      <c r="X16" s="7"/>
      <c r="Y16" s="8"/>
      <c r="Z16" s="7"/>
      <c r="AA16" s="57"/>
      <c r="AB16" s="61" t="s">
        <v>37</v>
      </c>
      <c r="AC16" s="61" t="s">
        <v>587</v>
      </c>
    </row>
    <row r="17" spans="1:29" ht="13.5" thickBot="1">
      <c r="B17" s="10" t="s">
        <v>369</v>
      </c>
      <c r="D17" s="52" t="s">
        <v>38</v>
      </c>
      <c r="E17" s="52" t="s">
        <v>425</v>
      </c>
      <c r="F17" s="7"/>
      <c r="G17" s="8"/>
      <c r="H17" s="7"/>
      <c r="I17" s="30" t="s">
        <v>285</v>
      </c>
      <c r="J17" s="7"/>
      <c r="K17" s="8"/>
      <c r="L17" s="7"/>
      <c r="M17" s="8"/>
      <c r="N17" s="7"/>
      <c r="O17" s="8"/>
      <c r="P17" s="7"/>
      <c r="Q17" s="7"/>
      <c r="R17" s="8"/>
      <c r="S17" s="7"/>
      <c r="T17" s="9"/>
      <c r="U17" s="7"/>
      <c r="V17" s="8"/>
      <c r="W17" s="7"/>
      <c r="X17" s="7"/>
      <c r="Y17" s="8"/>
      <c r="Z17" s="7"/>
      <c r="AA17" s="57"/>
      <c r="AB17" s="61" t="s">
        <v>37</v>
      </c>
      <c r="AC17" s="61" t="s">
        <v>801</v>
      </c>
    </row>
    <row r="18" spans="1:29" ht="13.5" thickBot="1">
      <c r="A18" s="64"/>
      <c r="B18" s="10" t="s">
        <v>918</v>
      </c>
      <c r="D18" s="52" t="s">
        <v>522</v>
      </c>
      <c r="E18" s="52" t="s">
        <v>505</v>
      </c>
      <c r="F18" s="7"/>
      <c r="G18" s="8"/>
      <c r="H18" s="7"/>
      <c r="I18" s="30" t="s">
        <v>278</v>
      </c>
      <c r="J18" s="7"/>
      <c r="K18" s="8"/>
      <c r="L18" s="7"/>
      <c r="M18" s="8"/>
      <c r="N18" s="7"/>
      <c r="O18" s="8"/>
      <c r="P18" s="7"/>
      <c r="Q18" s="7"/>
      <c r="R18" s="8"/>
      <c r="S18" s="7"/>
      <c r="T18" s="9"/>
      <c r="U18" s="7"/>
      <c r="V18" s="8"/>
      <c r="W18" s="7"/>
      <c r="X18" s="7"/>
      <c r="Y18" s="8"/>
      <c r="Z18" s="7"/>
      <c r="AA18" s="57"/>
      <c r="AB18" s="61" t="s">
        <v>37</v>
      </c>
      <c r="AC18" s="61" t="s">
        <v>806</v>
      </c>
    </row>
    <row r="19" spans="1:29" ht="13.5" thickBot="1">
      <c r="B19" s="418" t="s">
        <v>2159</v>
      </c>
      <c r="D19" s="52" t="s">
        <v>312</v>
      </c>
      <c r="E19" s="52" t="s">
        <v>504</v>
      </c>
      <c r="F19" s="7"/>
      <c r="G19" s="8"/>
      <c r="H19" s="7"/>
      <c r="I19" s="30" t="s">
        <v>314</v>
      </c>
      <c r="J19" s="7"/>
      <c r="K19" s="8"/>
      <c r="L19" s="7"/>
      <c r="M19" s="8"/>
      <c r="N19" s="7"/>
      <c r="O19" s="8"/>
      <c r="P19" s="7"/>
      <c r="Q19" s="7"/>
      <c r="R19" s="8"/>
      <c r="S19" s="7"/>
      <c r="T19" s="9"/>
      <c r="U19" s="7"/>
      <c r="V19" s="8"/>
      <c r="W19" s="7"/>
      <c r="X19" s="7"/>
      <c r="Y19" s="8"/>
      <c r="Z19" s="7"/>
      <c r="AA19" s="57"/>
      <c r="AB19" s="61" t="s">
        <v>37</v>
      </c>
      <c r="AC19" s="61" t="s">
        <v>1025</v>
      </c>
    </row>
    <row r="20" spans="1:29" ht="13.5" thickBot="1">
      <c r="B20" s="10" t="s">
        <v>919</v>
      </c>
      <c r="D20" s="52" t="s">
        <v>318</v>
      </c>
      <c r="E20" s="52" t="s">
        <v>491</v>
      </c>
      <c r="F20" s="7"/>
      <c r="G20" s="8"/>
      <c r="H20" s="7"/>
      <c r="I20" s="30" t="s">
        <v>321</v>
      </c>
      <c r="J20" s="7"/>
      <c r="K20" s="8"/>
      <c r="L20" s="7"/>
      <c r="M20" s="8"/>
      <c r="N20" s="7"/>
      <c r="O20" s="8"/>
      <c r="P20" s="7"/>
      <c r="Q20" s="7"/>
      <c r="R20" s="8"/>
      <c r="S20" s="7"/>
      <c r="T20" s="9"/>
      <c r="U20" s="7"/>
      <c r="V20" s="8"/>
      <c r="W20" s="7"/>
      <c r="X20" s="7"/>
      <c r="Y20" s="8"/>
      <c r="Z20" s="7"/>
      <c r="AA20" s="57"/>
      <c r="AB20" s="61" t="s">
        <v>37</v>
      </c>
      <c r="AC20" s="61" t="s">
        <v>38</v>
      </c>
    </row>
    <row r="21" spans="1:29" ht="13.5" thickBot="1">
      <c r="B21" s="10" t="s">
        <v>141</v>
      </c>
      <c r="D21" s="52" t="s">
        <v>152</v>
      </c>
      <c r="E21" s="52" t="s">
        <v>456</v>
      </c>
      <c r="F21" s="7"/>
      <c r="G21" s="8"/>
      <c r="H21" s="7"/>
      <c r="I21" s="40" t="s">
        <v>922</v>
      </c>
      <c r="J21" s="7"/>
      <c r="K21" s="8"/>
      <c r="L21" s="7"/>
      <c r="M21" s="8"/>
      <c r="N21" s="7"/>
      <c r="O21" s="8"/>
      <c r="P21" s="7"/>
      <c r="Q21" s="7"/>
      <c r="R21" s="8"/>
      <c r="S21" s="7"/>
      <c r="T21" s="9"/>
      <c r="U21" s="7"/>
      <c r="V21" s="8"/>
      <c r="W21" s="7"/>
      <c r="X21" s="7"/>
      <c r="Y21" s="8"/>
      <c r="Z21" s="7"/>
      <c r="AA21" s="57"/>
      <c r="AB21" s="61" t="s">
        <v>37</v>
      </c>
      <c r="AC21" s="61" t="s">
        <v>152</v>
      </c>
    </row>
    <row r="22" spans="1:29" ht="13.5" thickBot="1">
      <c r="B22" s="10" t="s">
        <v>36</v>
      </c>
      <c r="D22" s="52" t="s">
        <v>157</v>
      </c>
      <c r="E22" s="52" t="s">
        <v>432</v>
      </c>
      <c r="F22" s="7"/>
      <c r="G22" s="8"/>
      <c r="H22" s="7"/>
      <c r="I22" s="40" t="s">
        <v>924</v>
      </c>
      <c r="J22" s="7"/>
      <c r="K22" s="8"/>
      <c r="L22" s="7"/>
      <c r="M22" s="8"/>
      <c r="N22" s="7"/>
      <c r="O22" s="8"/>
      <c r="P22" s="7"/>
      <c r="Q22" s="7"/>
      <c r="R22" s="8"/>
      <c r="S22" s="7"/>
      <c r="T22" s="9"/>
      <c r="U22" s="7"/>
      <c r="V22" s="8"/>
      <c r="W22" s="7"/>
      <c r="X22" s="7"/>
      <c r="Y22" s="8"/>
      <c r="Z22" s="7"/>
      <c r="AA22" s="57"/>
      <c r="AB22" s="61" t="s">
        <v>37</v>
      </c>
      <c r="AC22" s="61" t="s">
        <v>157</v>
      </c>
    </row>
    <row r="23" spans="1:29" ht="13.5" thickBot="1">
      <c r="B23" s="10" t="s">
        <v>921</v>
      </c>
      <c r="D23" s="52" t="s">
        <v>205</v>
      </c>
      <c r="E23" s="52" t="s">
        <v>501</v>
      </c>
      <c r="F23" s="7"/>
      <c r="G23" s="8"/>
      <c r="H23" s="7"/>
      <c r="I23" s="419" t="s">
        <v>331</v>
      </c>
      <c r="J23" s="7"/>
      <c r="K23" s="8"/>
      <c r="L23" s="7"/>
      <c r="M23" s="8"/>
      <c r="N23" s="7"/>
      <c r="O23" s="8"/>
      <c r="P23" s="7"/>
      <c r="Q23" s="7"/>
      <c r="R23" s="8"/>
      <c r="S23" s="7"/>
      <c r="T23" s="9"/>
      <c r="U23" s="7"/>
      <c r="V23" s="8"/>
      <c r="W23" s="7"/>
      <c r="X23" s="7"/>
      <c r="Y23" s="8"/>
      <c r="Z23" s="7"/>
      <c r="AA23" s="57"/>
      <c r="AB23" s="61" t="s">
        <v>37</v>
      </c>
      <c r="AC23" s="61" t="s">
        <v>205</v>
      </c>
    </row>
    <row r="24" spans="1:29" ht="13.5" thickBot="1">
      <c r="B24" s="10" t="s">
        <v>923</v>
      </c>
      <c r="D24" s="52" t="s">
        <v>397</v>
      </c>
      <c r="E24" s="52" t="s">
        <v>484</v>
      </c>
      <c r="F24" s="7"/>
      <c r="G24" s="8"/>
      <c r="H24" s="7"/>
      <c r="I24" s="419" t="s">
        <v>521</v>
      </c>
      <c r="J24" s="7"/>
      <c r="K24" s="8"/>
      <c r="L24" s="7"/>
      <c r="M24" s="8"/>
      <c r="N24" s="7"/>
      <c r="O24" s="8"/>
      <c r="P24" s="7"/>
      <c r="Q24" s="7"/>
      <c r="R24" s="8"/>
      <c r="S24" s="7"/>
      <c r="T24" s="9"/>
      <c r="U24" s="7"/>
      <c r="V24" s="8"/>
      <c r="W24" s="7"/>
      <c r="X24" s="7"/>
      <c r="Y24" s="8"/>
      <c r="Z24" s="7"/>
      <c r="AA24" s="57"/>
      <c r="AB24" s="61" t="s">
        <v>37</v>
      </c>
      <c r="AC24" s="61" t="s">
        <v>159</v>
      </c>
    </row>
    <row r="25" spans="1:29" ht="13.5" thickBot="1">
      <c r="B25" s="10" t="s">
        <v>925</v>
      </c>
      <c r="D25" s="52" t="s">
        <v>525</v>
      </c>
      <c r="E25" s="52" t="s">
        <v>481</v>
      </c>
      <c r="F25" s="7"/>
      <c r="G25" s="8"/>
      <c r="H25" s="7"/>
      <c r="I25" s="40" t="s">
        <v>928</v>
      </c>
      <c r="J25" s="7"/>
      <c r="K25" s="8"/>
      <c r="L25" s="7"/>
      <c r="M25" s="8"/>
      <c r="N25" s="7"/>
      <c r="O25" s="8"/>
      <c r="P25" s="7"/>
      <c r="Q25" s="7"/>
      <c r="R25" s="8"/>
      <c r="S25" s="7"/>
      <c r="T25" s="9"/>
      <c r="U25" s="7"/>
      <c r="V25" s="8"/>
      <c r="W25" s="7"/>
      <c r="X25" s="7"/>
      <c r="Y25" s="8"/>
      <c r="Z25" s="7"/>
      <c r="AA25" s="57"/>
      <c r="AB25" s="61" t="s">
        <v>37</v>
      </c>
      <c r="AC25" s="61" t="s">
        <v>917</v>
      </c>
    </row>
    <row r="26" spans="1:29" ht="13.5" thickBot="1">
      <c r="B26" s="10" t="s">
        <v>926</v>
      </c>
      <c r="D26" s="52" t="s">
        <v>359</v>
      </c>
      <c r="E26" s="52" t="s">
        <v>478</v>
      </c>
      <c r="F26" s="7"/>
      <c r="G26" s="8"/>
      <c r="H26" s="7"/>
      <c r="I26" s="30" t="s">
        <v>392</v>
      </c>
      <c r="J26" s="7"/>
      <c r="K26" s="8"/>
      <c r="L26" s="7"/>
      <c r="M26" s="8"/>
      <c r="N26" s="7"/>
      <c r="O26" s="8"/>
      <c r="P26" s="7"/>
      <c r="Q26" s="7"/>
      <c r="R26" s="8"/>
      <c r="S26" s="7"/>
      <c r="T26" s="9"/>
      <c r="U26" s="7"/>
      <c r="V26" s="8"/>
      <c r="W26" s="7"/>
      <c r="X26" s="7"/>
      <c r="Y26" s="8"/>
      <c r="Z26" s="7"/>
      <c r="AA26" s="57"/>
      <c r="AB26" s="61" t="s">
        <v>37</v>
      </c>
      <c r="AC26" s="61" t="s">
        <v>173</v>
      </c>
    </row>
    <row r="27" spans="1:29" ht="13.5" thickBot="1">
      <c r="B27" s="10" t="s">
        <v>303</v>
      </c>
      <c r="D27" s="52" t="s">
        <v>159</v>
      </c>
      <c r="E27" s="52" t="s">
        <v>428</v>
      </c>
      <c r="F27" s="7"/>
      <c r="G27" s="8"/>
      <c r="H27" s="7"/>
      <c r="I27" s="30" t="s">
        <v>334</v>
      </c>
      <c r="J27" s="7"/>
      <c r="K27" s="8"/>
      <c r="L27" s="7"/>
      <c r="M27" s="8"/>
      <c r="N27" s="7"/>
      <c r="O27" s="8"/>
      <c r="P27" s="7"/>
      <c r="Q27" s="7"/>
      <c r="R27" s="8"/>
      <c r="S27" s="7"/>
      <c r="T27" s="9"/>
      <c r="U27" s="7"/>
      <c r="V27" s="8"/>
      <c r="W27" s="7"/>
      <c r="X27" s="7"/>
      <c r="Y27" s="8"/>
      <c r="Z27" s="7"/>
      <c r="AA27" s="57"/>
      <c r="AB27" s="61" t="s">
        <v>37</v>
      </c>
      <c r="AC27" s="61" t="s">
        <v>214</v>
      </c>
    </row>
    <row r="28" spans="1:29" ht="13.5" thickBot="1">
      <c r="B28" s="10" t="s">
        <v>315</v>
      </c>
      <c r="D28" s="52" t="s">
        <v>516</v>
      </c>
      <c r="E28" s="52" t="s">
        <v>458</v>
      </c>
      <c r="F28" s="7"/>
      <c r="G28" s="8"/>
      <c r="H28" s="7"/>
      <c r="I28" s="30" t="s">
        <v>306</v>
      </c>
      <c r="J28" s="7"/>
      <c r="K28" s="8"/>
      <c r="L28" s="7"/>
      <c r="M28" s="8"/>
      <c r="N28" s="7"/>
      <c r="O28" s="8"/>
      <c r="P28" s="7"/>
      <c r="Q28" s="7"/>
      <c r="R28" s="8"/>
      <c r="S28" s="7"/>
      <c r="T28" s="9"/>
      <c r="U28" s="7"/>
      <c r="V28" s="8"/>
      <c r="W28" s="7"/>
      <c r="X28" s="7"/>
      <c r="Y28" s="8"/>
      <c r="Z28" s="7"/>
      <c r="AA28" s="57"/>
      <c r="AB28" s="61" t="s">
        <v>37</v>
      </c>
      <c r="AC28" s="61" t="s">
        <v>184</v>
      </c>
    </row>
    <row r="29" spans="1:29" ht="13.5" thickBot="1">
      <c r="B29" s="10" t="s">
        <v>929</v>
      </c>
      <c r="C29" s="64"/>
      <c r="D29" s="52" t="s">
        <v>536</v>
      </c>
      <c r="E29" s="52" t="s">
        <v>464</v>
      </c>
      <c r="F29" s="7"/>
      <c r="G29" s="8"/>
      <c r="H29" s="7"/>
      <c r="I29" s="30" t="s">
        <v>299</v>
      </c>
      <c r="J29" s="7"/>
      <c r="K29" s="8"/>
      <c r="L29" s="7"/>
      <c r="M29" s="8"/>
      <c r="N29" s="7"/>
      <c r="O29" s="8"/>
      <c r="P29" s="7"/>
      <c r="Q29" s="7"/>
      <c r="R29" s="8"/>
      <c r="S29" s="7"/>
      <c r="T29" s="9"/>
      <c r="U29" s="7"/>
      <c r="V29" s="8"/>
      <c r="W29" s="7"/>
      <c r="X29" s="7"/>
      <c r="Y29" s="8"/>
      <c r="Z29" s="7"/>
      <c r="AA29" s="57"/>
      <c r="AB29" s="61" t="s">
        <v>37</v>
      </c>
      <c r="AC29" s="61" t="s">
        <v>863</v>
      </c>
    </row>
    <row r="30" spans="1:29" ht="13.5" thickBot="1">
      <c r="B30" s="10" t="s">
        <v>930</v>
      </c>
      <c r="D30" s="52" t="s">
        <v>853</v>
      </c>
      <c r="E30" s="52" t="s">
        <v>496</v>
      </c>
      <c r="F30" s="7"/>
      <c r="G30" s="8"/>
      <c r="H30" s="7"/>
      <c r="I30" s="40" t="s">
        <v>932</v>
      </c>
      <c r="J30" s="7"/>
      <c r="K30" s="8"/>
      <c r="L30" s="7"/>
      <c r="M30" s="8"/>
      <c r="N30" s="7"/>
      <c r="O30" s="8"/>
      <c r="P30" s="7"/>
      <c r="Q30" s="7"/>
      <c r="R30" s="8"/>
      <c r="S30" s="7"/>
      <c r="T30" s="9"/>
      <c r="U30" s="7"/>
      <c r="V30" s="8"/>
      <c r="W30" s="7"/>
      <c r="X30" s="7"/>
      <c r="Y30" s="8"/>
      <c r="Z30" s="7"/>
      <c r="AA30" s="57"/>
      <c r="AB30" s="61" t="s">
        <v>37</v>
      </c>
      <c r="AC30" s="61" t="s">
        <v>920</v>
      </c>
    </row>
    <row r="31" spans="1:29" ht="13.5" thickBot="1">
      <c r="B31" s="10" t="s">
        <v>192</v>
      </c>
      <c r="D31" s="52" t="s">
        <v>362</v>
      </c>
      <c r="E31" s="52" t="s">
        <v>497</v>
      </c>
      <c r="F31" s="7"/>
      <c r="G31" s="8"/>
      <c r="H31" s="7"/>
      <c r="I31" s="419" t="s">
        <v>244</v>
      </c>
      <c r="J31" s="7"/>
      <c r="K31" s="8"/>
      <c r="L31" s="7"/>
      <c r="M31" s="8"/>
      <c r="N31" s="7"/>
      <c r="O31" s="8"/>
      <c r="P31" s="7"/>
      <c r="Q31" s="7"/>
      <c r="R31" s="8"/>
      <c r="S31" s="7"/>
      <c r="T31" s="9"/>
      <c r="U31" s="7"/>
      <c r="V31" s="8"/>
      <c r="W31" s="7"/>
      <c r="X31" s="7"/>
      <c r="Y31" s="8"/>
      <c r="Z31" s="7"/>
      <c r="AA31" s="57"/>
      <c r="AB31" s="61" t="s">
        <v>37</v>
      </c>
      <c r="AC31" s="61" t="s">
        <v>142</v>
      </c>
    </row>
    <row r="32" spans="1:29" ht="13.5" thickBot="1">
      <c r="B32" s="10" t="s">
        <v>931</v>
      </c>
      <c r="D32" s="52" t="s">
        <v>388</v>
      </c>
      <c r="E32" s="52" t="s">
        <v>681</v>
      </c>
      <c r="F32" s="7"/>
      <c r="G32" s="8"/>
      <c r="H32" s="7"/>
      <c r="I32" s="30" t="s">
        <v>539</v>
      </c>
      <c r="J32" s="7"/>
      <c r="K32" s="8"/>
      <c r="L32" s="7"/>
      <c r="M32" s="8"/>
      <c r="N32" s="7"/>
      <c r="O32" s="8"/>
      <c r="P32" s="7"/>
      <c r="Q32" s="7"/>
      <c r="R32" s="8"/>
      <c r="S32" s="7"/>
      <c r="T32" s="9"/>
      <c r="U32" s="7"/>
      <c r="V32" s="8"/>
      <c r="W32" s="7"/>
      <c r="X32" s="7"/>
      <c r="Y32" s="8"/>
      <c r="Z32" s="7"/>
      <c r="AA32" s="57"/>
      <c r="AB32" s="61" t="s">
        <v>2092</v>
      </c>
      <c r="AC32" s="61" t="s">
        <v>324</v>
      </c>
    </row>
    <row r="33" spans="2:29" ht="13.5" thickBot="1">
      <c r="B33" s="10" t="s">
        <v>934</v>
      </c>
      <c r="D33" s="52" t="s">
        <v>173</v>
      </c>
      <c r="E33" s="52" t="s">
        <v>427</v>
      </c>
      <c r="F33" s="7"/>
      <c r="G33" s="8"/>
      <c r="H33" s="7"/>
      <c r="I33" s="18" t="s">
        <v>297</v>
      </c>
      <c r="J33" s="7"/>
      <c r="K33" s="8"/>
      <c r="L33" s="7"/>
      <c r="M33" s="8"/>
      <c r="N33" s="7"/>
      <c r="O33" s="8"/>
      <c r="P33" s="7"/>
      <c r="Q33" s="7"/>
      <c r="R33" s="8"/>
      <c r="S33" s="7"/>
      <c r="T33" s="9"/>
      <c r="U33" s="7"/>
      <c r="V33" s="8"/>
      <c r="W33" s="7"/>
      <c r="X33" s="7"/>
      <c r="Y33" s="8"/>
      <c r="Z33" s="7"/>
      <c r="AA33" s="57"/>
      <c r="AB33" s="61" t="s">
        <v>2092</v>
      </c>
      <c r="AC33" s="61" t="s">
        <v>312</v>
      </c>
    </row>
    <row r="34" spans="2:29" ht="13.5" thickBot="1">
      <c r="B34" s="10" t="s">
        <v>935</v>
      </c>
      <c r="D34" s="52" t="s">
        <v>344</v>
      </c>
      <c r="E34" s="52" t="s">
        <v>502</v>
      </c>
      <c r="F34" s="7"/>
      <c r="G34" s="8"/>
      <c r="H34" s="7"/>
      <c r="I34" s="18" t="s">
        <v>1293</v>
      </c>
      <c r="J34" s="7"/>
      <c r="K34" s="8"/>
      <c r="L34" s="7"/>
      <c r="M34" s="8"/>
      <c r="N34" s="7"/>
      <c r="O34" s="8"/>
      <c r="P34" s="7"/>
      <c r="Q34" s="7"/>
      <c r="R34" s="8"/>
      <c r="S34" s="7"/>
      <c r="T34" s="9"/>
      <c r="U34" s="7"/>
      <c r="V34" s="8"/>
      <c r="W34" s="7"/>
      <c r="X34" s="7"/>
      <c r="Y34" s="8"/>
      <c r="Z34" s="7"/>
      <c r="AA34" s="57"/>
      <c r="AB34" s="61" t="s">
        <v>2092</v>
      </c>
      <c r="AC34" s="61" t="s">
        <v>333</v>
      </c>
    </row>
    <row r="35" spans="2:29" ht="13.5" thickBot="1">
      <c r="B35" s="10" t="s">
        <v>1495</v>
      </c>
      <c r="D35" s="52" t="s">
        <v>333</v>
      </c>
      <c r="E35" s="52" t="s">
        <v>483</v>
      </c>
      <c r="F35" s="7"/>
      <c r="G35" s="8"/>
      <c r="H35" s="7"/>
      <c r="I35" s="30" t="s">
        <v>1474</v>
      </c>
      <c r="J35" s="7"/>
      <c r="K35" s="8"/>
      <c r="L35" s="7"/>
      <c r="M35" s="8"/>
      <c r="N35" s="7"/>
      <c r="O35" s="8"/>
      <c r="P35" s="7"/>
      <c r="Q35" s="7"/>
      <c r="R35" s="8"/>
      <c r="S35" s="7"/>
      <c r="T35" s="9"/>
      <c r="U35" s="7"/>
      <c r="V35" s="8"/>
      <c r="W35" s="7"/>
      <c r="X35" s="7"/>
      <c r="Y35" s="8"/>
      <c r="Z35" s="7"/>
      <c r="AA35" s="57"/>
      <c r="AB35" s="61" t="s">
        <v>304</v>
      </c>
      <c r="AC35" s="61" t="s">
        <v>327</v>
      </c>
    </row>
    <row r="36" spans="2:29" ht="13.5" thickBot="1">
      <c r="B36" s="10" t="s">
        <v>936</v>
      </c>
      <c r="D36" s="52" t="s">
        <v>214</v>
      </c>
      <c r="E36" s="52" t="s">
        <v>499</v>
      </c>
      <c r="F36" s="7"/>
      <c r="G36" s="8"/>
      <c r="H36" s="7"/>
      <c r="I36" s="30" t="s">
        <v>144</v>
      </c>
      <c r="J36" s="7"/>
      <c r="K36" s="8"/>
      <c r="L36" s="7"/>
      <c r="M36" s="8"/>
      <c r="N36" s="7"/>
      <c r="O36" s="8"/>
      <c r="P36" s="7"/>
      <c r="Q36" s="7"/>
      <c r="R36" s="8"/>
      <c r="S36" s="7"/>
      <c r="T36" s="9"/>
      <c r="U36" s="7"/>
      <c r="V36" s="8"/>
      <c r="W36" s="7"/>
      <c r="X36" s="7"/>
      <c r="Y36" s="8"/>
      <c r="Z36" s="7"/>
      <c r="AA36" s="57"/>
      <c r="AB36" s="61" t="s">
        <v>304</v>
      </c>
      <c r="AC36" s="61" t="s">
        <v>927</v>
      </c>
    </row>
    <row r="37" spans="2:29" ht="13.5" thickBot="1">
      <c r="B37" s="10" t="s">
        <v>357</v>
      </c>
      <c r="D37" s="52" t="s">
        <v>305</v>
      </c>
      <c r="E37" s="52" t="s">
        <v>448</v>
      </c>
      <c r="F37" s="7"/>
      <c r="G37" s="8"/>
      <c r="H37" s="7"/>
      <c r="I37" s="30" t="s">
        <v>1474</v>
      </c>
      <c r="J37" s="7"/>
      <c r="K37" s="8"/>
      <c r="L37" s="7"/>
      <c r="M37" s="8"/>
      <c r="N37" s="7"/>
      <c r="O37" s="8"/>
      <c r="P37" s="7"/>
      <c r="Q37" s="7"/>
      <c r="R37" s="8"/>
      <c r="S37" s="7"/>
      <c r="T37" s="9"/>
      <c r="U37" s="7"/>
      <c r="V37" s="8"/>
      <c r="W37" s="7"/>
      <c r="X37" s="7"/>
      <c r="Y37" s="8"/>
      <c r="Z37" s="7"/>
      <c r="AA37" s="57"/>
      <c r="AB37" s="61" t="s">
        <v>304</v>
      </c>
      <c r="AC37" s="61" t="s">
        <v>933</v>
      </c>
    </row>
    <row r="38" spans="2:29" ht="13.5" thickBot="1">
      <c r="B38" s="10" t="s">
        <v>937</v>
      </c>
      <c r="D38" s="52" t="s">
        <v>184</v>
      </c>
      <c r="E38" s="52" t="s">
        <v>476</v>
      </c>
      <c r="F38" s="7"/>
      <c r="G38" s="8"/>
      <c r="H38" s="7"/>
      <c r="I38" s="40" t="s">
        <v>605</v>
      </c>
      <c r="J38" s="7"/>
      <c r="K38" s="8"/>
      <c r="L38" s="7"/>
      <c r="M38" s="8"/>
      <c r="N38" s="7"/>
      <c r="O38" s="8"/>
      <c r="P38" s="7"/>
      <c r="Q38" s="7"/>
      <c r="R38" s="8"/>
      <c r="S38" s="7"/>
      <c r="T38" s="9"/>
      <c r="U38" s="7"/>
      <c r="V38" s="8"/>
      <c r="W38" s="7"/>
      <c r="X38" s="7"/>
      <c r="Y38" s="8"/>
      <c r="Z38" s="7"/>
      <c r="AA38" s="57"/>
      <c r="AB38" s="61" t="s">
        <v>304</v>
      </c>
      <c r="AC38" s="61" t="s">
        <v>938</v>
      </c>
    </row>
    <row r="39" spans="2:29" ht="13.5" thickBot="1">
      <c r="B39" s="10" t="s">
        <v>309</v>
      </c>
      <c r="D39" s="52" t="s">
        <v>142</v>
      </c>
      <c r="E39" s="52" t="s">
        <v>941</v>
      </c>
      <c r="F39" s="7"/>
      <c r="G39" s="8"/>
      <c r="H39" s="7"/>
      <c r="I39" s="419" t="s">
        <v>241</v>
      </c>
      <c r="J39" s="7"/>
      <c r="K39" s="8"/>
      <c r="L39" s="7"/>
      <c r="M39" s="8"/>
      <c r="N39" s="7"/>
      <c r="O39" s="8"/>
      <c r="P39" s="7"/>
      <c r="Q39" s="7"/>
      <c r="R39" s="8"/>
      <c r="S39" s="7"/>
      <c r="T39" s="9"/>
      <c r="U39" s="7"/>
      <c r="V39" s="8"/>
      <c r="W39" s="7"/>
      <c r="X39" s="7"/>
      <c r="Y39" s="8"/>
      <c r="Z39" s="7"/>
      <c r="AA39" s="57"/>
      <c r="AB39" s="61" t="s">
        <v>304</v>
      </c>
      <c r="AC39" s="61" t="s">
        <v>940</v>
      </c>
    </row>
    <row r="40" spans="2:29" ht="13.5" thickBot="1">
      <c r="B40" s="418" t="s">
        <v>939</v>
      </c>
      <c r="D40" s="52"/>
      <c r="E40" s="52" t="s">
        <v>489</v>
      </c>
      <c r="F40" s="7"/>
      <c r="G40" s="8"/>
      <c r="H40" s="7"/>
      <c r="I40" s="30" t="s">
        <v>246</v>
      </c>
      <c r="J40" s="7"/>
      <c r="K40" s="8"/>
      <c r="L40" s="7"/>
      <c r="M40" s="8"/>
      <c r="N40" s="7"/>
      <c r="O40" s="8"/>
      <c r="P40" s="7"/>
      <c r="Q40" s="7"/>
      <c r="R40" s="8"/>
      <c r="S40" s="7"/>
      <c r="T40" s="9"/>
      <c r="U40" s="7"/>
      <c r="V40" s="8"/>
      <c r="W40" s="7"/>
      <c r="X40" s="7"/>
      <c r="Y40" s="8"/>
      <c r="Z40" s="7"/>
      <c r="AA40" s="57"/>
      <c r="AB40" s="61" t="s">
        <v>515</v>
      </c>
      <c r="AC40" s="61" t="s">
        <v>942</v>
      </c>
    </row>
    <row r="41" spans="2:29" ht="13.5" thickBot="1">
      <c r="B41" s="10" t="s">
        <v>355</v>
      </c>
      <c r="D41" s="52"/>
      <c r="E41" s="52" t="s">
        <v>494</v>
      </c>
      <c r="F41" s="7"/>
      <c r="G41" s="8"/>
      <c r="H41" s="7"/>
      <c r="I41" s="30" t="s">
        <v>194</v>
      </c>
      <c r="J41" s="7"/>
      <c r="K41" s="8"/>
      <c r="L41" s="7"/>
      <c r="M41" s="8"/>
      <c r="N41" s="7"/>
      <c r="O41" s="8"/>
      <c r="P41" s="7"/>
      <c r="Q41" s="7"/>
      <c r="R41" s="8"/>
      <c r="S41" s="7"/>
      <c r="T41" s="9"/>
      <c r="U41" s="7"/>
      <c r="V41" s="8"/>
      <c r="W41" s="7"/>
      <c r="X41" s="7"/>
      <c r="Y41" s="8"/>
      <c r="Z41" s="7"/>
      <c r="AA41" s="57"/>
      <c r="AB41" s="61" t="s">
        <v>515</v>
      </c>
      <c r="AC41" s="61" t="s">
        <v>944</v>
      </c>
    </row>
    <row r="42" spans="2:29" ht="13.5" thickBot="1">
      <c r="B42" s="10" t="s">
        <v>943</v>
      </c>
      <c r="D42" s="52"/>
      <c r="E42" s="52" t="s">
        <v>460</v>
      </c>
      <c r="F42" s="7"/>
      <c r="G42" s="8"/>
      <c r="H42" s="7"/>
      <c r="I42" s="30" t="s">
        <v>199</v>
      </c>
      <c r="J42" s="7"/>
      <c r="K42" s="8"/>
      <c r="L42" s="7"/>
      <c r="M42" s="8"/>
      <c r="N42" s="7"/>
      <c r="O42" s="8"/>
      <c r="P42" s="7"/>
      <c r="Q42" s="7"/>
      <c r="R42" s="8"/>
      <c r="S42" s="7"/>
      <c r="T42" s="9"/>
      <c r="U42" s="7"/>
      <c r="V42" s="8"/>
      <c r="W42" s="7"/>
      <c r="X42" s="7"/>
      <c r="Y42" s="8"/>
      <c r="Z42" s="7"/>
      <c r="AA42" s="57"/>
      <c r="AB42" s="61" t="s">
        <v>515</v>
      </c>
      <c r="AC42" s="61" t="s">
        <v>946</v>
      </c>
    </row>
    <row r="43" spans="2:29" ht="13.5" thickBot="1">
      <c r="B43" s="10" t="s">
        <v>945</v>
      </c>
      <c r="D43" s="52"/>
      <c r="E43" s="52" t="s">
        <v>434</v>
      </c>
      <c r="F43" s="7"/>
      <c r="G43" s="8"/>
      <c r="H43" s="7"/>
      <c r="I43" s="30" t="s">
        <v>208</v>
      </c>
      <c r="J43" s="7"/>
      <c r="K43" s="8"/>
      <c r="L43" s="7"/>
      <c r="M43" s="8"/>
      <c r="N43" s="7"/>
      <c r="O43" s="8"/>
      <c r="P43" s="7"/>
      <c r="Q43" s="7"/>
      <c r="R43" s="8"/>
      <c r="S43" s="7"/>
      <c r="T43" s="9"/>
      <c r="U43" s="7"/>
      <c r="V43" s="8"/>
      <c r="W43" s="7"/>
      <c r="X43" s="7"/>
      <c r="Y43" s="8"/>
      <c r="Z43" s="7"/>
      <c r="AA43" s="57"/>
      <c r="AB43" s="61" t="s">
        <v>515</v>
      </c>
      <c r="AC43" s="61" t="s">
        <v>948</v>
      </c>
    </row>
    <row r="44" spans="2:29" ht="13.5" thickBot="1">
      <c r="B44" s="363" t="s">
        <v>1757</v>
      </c>
      <c r="D44" s="52"/>
      <c r="E44" s="52" t="s">
        <v>498</v>
      </c>
      <c r="F44" s="7"/>
      <c r="G44" s="8"/>
      <c r="H44" s="7"/>
      <c r="I44" s="30" t="s">
        <v>529</v>
      </c>
      <c r="J44" s="7"/>
      <c r="K44" s="8"/>
      <c r="L44" s="7"/>
      <c r="M44" s="8"/>
      <c r="N44" s="7"/>
      <c r="O44" s="8"/>
      <c r="P44" s="7"/>
      <c r="Q44" s="7"/>
      <c r="R44" s="8"/>
      <c r="S44" s="7"/>
      <c r="T44" s="9"/>
      <c r="U44" s="7"/>
      <c r="V44" s="8"/>
      <c r="W44" s="7"/>
      <c r="X44" s="7"/>
      <c r="Y44" s="8"/>
      <c r="Z44" s="7"/>
      <c r="AA44" s="57"/>
      <c r="AB44" s="61" t="s">
        <v>515</v>
      </c>
      <c r="AC44" s="61" t="s">
        <v>949</v>
      </c>
    </row>
    <row r="45" spans="2:29" ht="13.5" thickBot="1">
      <c r="B45" s="363" t="s">
        <v>2090</v>
      </c>
      <c r="D45" s="52"/>
      <c r="E45" s="52" t="s">
        <v>435</v>
      </c>
      <c r="F45" s="7"/>
      <c r="G45" s="8"/>
      <c r="H45" s="7"/>
      <c r="I45" s="30" t="s">
        <v>197</v>
      </c>
      <c r="J45" s="7"/>
      <c r="K45" s="8"/>
      <c r="L45" s="7"/>
      <c r="M45" s="8"/>
      <c r="N45" s="7"/>
      <c r="O45" s="8"/>
      <c r="P45" s="7"/>
      <c r="Q45" s="7"/>
      <c r="R45" s="8"/>
      <c r="S45" s="7"/>
      <c r="T45" s="9"/>
      <c r="U45" s="7"/>
      <c r="V45" s="8"/>
      <c r="W45" s="7"/>
      <c r="X45" s="7"/>
      <c r="Y45" s="8"/>
      <c r="Z45" s="7"/>
      <c r="AA45" s="57"/>
      <c r="AB45" s="61" t="s">
        <v>515</v>
      </c>
      <c r="AC45" s="61" t="s">
        <v>534</v>
      </c>
    </row>
    <row r="46" spans="2:29" ht="13.5" thickBot="1">
      <c r="B46" s="363" t="s">
        <v>2081</v>
      </c>
      <c r="D46" s="52"/>
      <c r="E46" s="52" t="s">
        <v>680</v>
      </c>
      <c r="F46" s="7"/>
      <c r="G46" s="8"/>
      <c r="H46" s="7"/>
      <c r="I46" s="30" t="s">
        <v>212</v>
      </c>
      <c r="J46" s="7"/>
      <c r="K46" s="8"/>
      <c r="L46" s="7"/>
      <c r="M46" s="8"/>
      <c r="N46" s="7"/>
      <c r="O46" s="8"/>
      <c r="P46" s="7"/>
      <c r="Q46" s="7"/>
      <c r="R46" s="8"/>
      <c r="S46" s="7"/>
      <c r="T46" s="9"/>
      <c r="U46" s="7"/>
      <c r="V46" s="8"/>
      <c r="W46" s="7"/>
      <c r="X46" s="7"/>
      <c r="Y46" s="8"/>
      <c r="Z46" s="7"/>
      <c r="AA46" s="57"/>
      <c r="AB46" s="61" t="s">
        <v>515</v>
      </c>
      <c r="AC46" s="61" t="s">
        <v>556</v>
      </c>
    </row>
    <row r="47" spans="2:29" ht="13.5" thickBot="1">
      <c r="B47" s="10" t="s">
        <v>947</v>
      </c>
      <c r="D47" s="52"/>
      <c r="E47" s="52" t="s">
        <v>492</v>
      </c>
      <c r="F47" s="7"/>
      <c r="G47" s="8"/>
      <c r="H47" s="7"/>
      <c r="I47" s="30" t="s">
        <v>202</v>
      </c>
      <c r="J47" s="7"/>
      <c r="K47" s="8"/>
      <c r="L47" s="7"/>
      <c r="M47" s="8"/>
      <c r="N47" s="7"/>
      <c r="O47" s="8"/>
      <c r="P47" s="7"/>
      <c r="Q47" s="7"/>
      <c r="R47" s="8"/>
      <c r="S47" s="7"/>
      <c r="T47" s="9"/>
      <c r="U47" s="7"/>
      <c r="V47" s="8"/>
      <c r="W47" s="7"/>
      <c r="X47" s="7"/>
      <c r="Y47" s="8"/>
      <c r="Z47" s="7"/>
      <c r="AA47" s="57"/>
      <c r="AB47" s="61" t="s">
        <v>515</v>
      </c>
      <c r="AC47" s="61" t="s">
        <v>952</v>
      </c>
    </row>
    <row r="48" spans="2:29" ht="13.5" thickBot="1">
      <c r="B48" s="10" t="s">
        <v>358</v>
      </c>
      <c r="D48" s="52"/>
      <c r="E48" s="52" t="s">
        <v>665</v>
      </c>
      <c r="F48" s="7"/>
      <c r="G48" s="8"/>
      <c r="H48" s="7"/>
      <c r="I48" s="30" t="s">
        <v>533</v>
      </c>
      <c r="J48" s="7"/>
      <c r="K48" s="8"/>
      <c r="L48" s="7"/>
      <c r="M48" s="8"/>
      <c r="N48" s="7"/>
      <c r="O48" s="8"/>
      <c r="P48" s="7"/>
      <c r="Q48" s="7"/>
      <c r="R48" s="8"/>
      <c r="S48" s="7"/>
      <c r="T48" s="9"/>
      <c r="U48" s="7"/>
      <c r="V48" s="8"/>
      <c r="W48" s="7"/>
      <c r="X48" s="7"/>
      <c r="Y48" s="8"/>
      <c r="Z48" s="7"/>
      <c r="AA48" s="57"/>
      <c r="AB48" s="61" t="s">
        <v>515</v>
      </c>
      <c r="AC48" s="61" t="s">
        <v>954</v>
      </c>
    </row>
    <row r="49" spans="2:29" ht="13.5" thickBot="1">
      <c r="B49" s="10" t="s">
        <v>297</v>
      </c>
      <c r="D49" s="52"/>
      <c r="E49" s="52" t="s">
        <v>462</v>
      </c>
      <c r="F49" s="7"/>
      <c r="G49" s="8"/>
      <c r="H49" s="7"/>
      <c r="I49" s="30" t="s">
        <v>552</v>
      </c>
      <c r="J49" s="7"/>
      <c r="K49" s="8"/>
      <c r="L49" s="7"/>
      <c r="M49" s="8"/>
      <c r="N49" s="7"/>
      <c r="O49" s="8"/>
      <c r="P49" s="7"/>
      <c r="Q49" s="7"/>
      <c r="R49" s="8"/>
      <c r="S49" s="7"/>
      <c r="T49" s="9"/>
      <c r="U49" s="7"/>
      <c r="V49" s="8"/>
      <c r="W49" s="7"/>
      <c r="X49" s="7"/>
      <c r="Y49" s="8"/>
      <c r="Z49" s="7"/>
      <c r="AA49" s="57"/>
      <c r="AB49" s="61" t="s">
        <v>515</v>
      </c>
      <c r="AC49" s="61" t="s">
        <v>955</v>
      </c>
    </row>
    <row r="50" spans="2:29" ht="13.5" thickBot="1">
      <c r="B50" s="10" t="s">
        <v>950</v>
      </c>
      <c r="D50" s="52"/>
      <c r="E50" s="52" t="s">
        <v>451</v>
      </c>
      <c r="F50" s="7"/>
      <c r="G50" s="8"/>
      <c r="H50" s="7"/>
      <c r="I50" s="30" t="s">
        <v>532</v>
      </c>
      <c r="J50" s="7"/>
      <c r="K50" s="8"/>
      <c r="L50" s="7"/>
      <c r="M50" s="8"/>
      <c r="N50" s="7"/>
      <c r="O50" s="8"/>
      <c r="P50" s="7"/>
      <c r="Q50" s="7"/>
      <c r="R50" s="8"/>
      <c r="S50" s="7"/>
      <c r="T50" s="9"/>
      <c r="U50" s="7"/>
      <c r="V50" s="8"/>
      <c r="W50" s="7"/>
      <c r="X50" s="7"/>
      <c r="Y50" s="8"/>
      <c r="Z50" s="7"/>
      <c r="AA50" s="57"/>
      <c r="AB50" s="61" t="s">
        <v>515</v>
      </c>
      <c r="AC50" s="61" t="s">
        <v>956</v>
      </c>
    </row>
    <row r="51" spans="2:29" ht="13.5" thickBot="1">
      <c r="B51" s="10" t="s">
        <v>951</v>
      </c>
      <c r="D51" s="52"/>
      <c r="E51" s="52" t="s">
        <v>429</v>
      </c>
      <c r="F51" s="7"/>
      <c r="G51" s="8"/>
      <c r="H51" s="7"/>
      <c r="I51" s="30" t="s">
        <v>218</v>
      </c>
      <c r="J51" s="7"/>
      <c r="K51" s="8"/>
      <c r="L51" s="7"/>
      <c r="M51" s="8"/>
      <c r="N51" s="7"/>
      <c r="O51" s="8"/>
      <c r="P51" s="7"/>
      <c r="Q51" s="7"/>
      <c r="R51" s="8"/>
      <c r="S51" s="7"/>
      <c r="T51" s="9"/>
      <c r="U51" s="7"/>
      <c r="V51" s="8"/>
      <c r="W51" s="7"/>
      <c r="X51" s="7"/>
      <c r="Y51" s="8"/>
      <c r="Z51" s="7"/>
      <c r="AA51" s="57"/>
      <c r="AB51" s="61" t="s">
        <v>515</v>
      </c>
      <c r="AC51" s="61" t="s">
        <v>958</v>
      </c>
    </row>
    <row r="52" spans="2:29" ht="13.5" thickBot="1">
      <c r="B52" s="10" t="s">
        <v>953</v>
      </c>
      <c r="C52" s="64"/>
      <c r="D52" s="52"/>
      <c r="E52" s="52" t="s">
        <v>463</v>
      </c>
      <c r="F52" s="7"/>
      <c r="G52" s="8"/>
      <c r="H52" s="7"/>
      <c r="I52" s="419" t="s">
        <v>325</v>
      </c>
      <c r="J52" s="7"/>
      <c r="K52" s="8"/>
      <c r="L52" s="7"/>
      <c r="M52" s="8"/>
      <c r="N52" s="7"/>
      <c r="O52" s="8"/>
      <c r="P52" s="7"/>
      <c r="Q52" s="7"/>
      <c r="R52" s="8"/>
      <c r="S52" s="7"/>
      <c r="T52" s="9"/>
      <c r="U52" s="7"/>
      <c r="V52" s="8"/>
      <c r="W52" s="7"/>
      <c r="X52" s="7"/>
      <c r="Y52" s="8"/>
      <c r="Z52" s="7"/>
      <c r="AA52" s="57"/>
      <c r="AB52" s="61" t="s">
        <v>515</v>
      </c>
      <c r="AC52" s="61" t="s">
        <v>519</v>
      </c>
    </row>
    <row r="53" spans="2:29" ht="14" thickTop="1" thickBot="1">
      <c r="B53" s="10" t="s">
        <v>242</v>
      </c>
      <c r="D53" s="52"/>
      <c r="E53" s="52" t="s">
        <v>500</v>
      </c>
      <c r="F53" s="7"/>
      <c r="G53" s="8"/>
      <c r="H53" s="7"/>
      <c r="I53" s="6"/>
      <c r="J53" s="7"/>
      <c r="K53" s="8"/>
      <c r="L53" s="7"/>
      <c r="M53" s="8"/>
      <c r="N53" s="7"/>
      <c r="O53" s="8"/>
      <c r="P53" s="7"/>
      <c r="Q53" s="7"/>
      <c r="R53" s="8"/>
      <c r="S53" s="7"/>
      <c r="T53" s="9"/>
      <c r="U53" s="7"/>
      <c r="V53" s="8"/>
      <c r="W53" s="7"/>
      <c r="X53" s="7"/>
      <c r="Y53" s="8"/>
      <c r="Z53" s="7"/>
      <c r="AA53" s="57"/>
      <c r="AB53" s="61" t="s">
        <v>515</v>
      </c>
      <c r="AC53" s="61" t="s">
        <v>960</v>
      </c>
    </row>
    <row r="54" spans="2:29" ht="14" thickTop="1" thickBot="1">
      <c r="B54" s="10" t="s">
        <v>276</v>
      </c>
      <c r="D54" s="52"/>
      <c r="E54" s="52" t="s">
        <v>422</v>
      </c>
      <c r="F54" s="7"/>
      <c r="G54" s="8"/>
      <c r="H54" s="7"/>
      <c r="I54" s="6"/>
      <c r="J54" s="7"/>
      <c r="K54" s="8"/>
      <c r="L54" s="7"/>
      <c r="M54" s="8"/>
      <c r="N54" s="7"/>
      <c r="O54" s="8"/>
      <c r="P54" s="7"/>
      <c r="Q54" s="7"/>
      <c r="R54" s="8"/>
      <c r="S54" s="7"/>
      <c r="T54" s="9"/>
      <c r="U54" s="7"/>
      <c r="V54" s="8"/>
      <c r="W54" s="7"/>
      <c r="X54" s="7"/>
      <c r="Y54" s="8"/>
      <c r="Z54" s="7"/>
      <c r="AA54" s="57"/>
      <c r="AB54" s="61" t="s">
        <v>515</v>
      </c>
      <c r="AC54" s="61" t="s">
        <v>961</v>
      </c>
    </row>
    <row r="55" spans="2:29" ht="14" thickTop="1" thickBot="1">
      <c r="B55" s="10" t="s">
        <v>957</v>
      </c>
      <c r="D55" s="52"/>
      <c r="E55" s="52" t="s">
        <v>423</v>
      </c>
      <c r="F55" s="7"/>
      <c r="G55" s="8"/>
      <c r="H55" s="7"/>
      <c r="I55" s="6"/>
      <c r="J55" s="7"/>
      <c r="K55" s="8"/>
      <c r="L55" s="7"/>
      <c r="M55" s="8"/>
      <c r="N55" s="7"/>
      <c r="O55" s="8"/>
      <c r="P55" s="7"/>
      <c r="Q55" s="7"/>
      <c r="R55" s="8"/>
      <c r="S55" s="7"/>
      <c r="T55" s="9"/>
      <c r="U55" s="7"/>
      <c r="V55" s="8"/>
      <c r="W55" s="7"/>
      <c r="X55" s="7"/>
      <c r="Y55" s="8"/>
      <c r="Z55" s="7"/>
      <c r="AA55" s="57"/>
      <c r="AB55" s="61" t="s">
        <v>515</v>
      </c>
      <c r="AC55" s="61" t="s">
        <v>962</v>
      </c>
    </row>
    <row r="56" spans="2:29" ht="14" thickTop="1" thickBot="1">
      <c r="B56" s="10" t="s">
        <v>959</v>
      </c>
      <c r="D56" s="52"/>
      <c r="E56" s="52" t="s">
        <v>472</v>
      </c>
      <c r="F56" s="7"/>
      <c r="G56" s="8"/>
      <c r="H56" s="7"/>
      <c r="I56" s="6"/>
      <c r="J56" s="7"/>
      <c r="K56" s="8"/>
      <c r="L56" s="7"/>
      <c r="M56" s="8"/>
      <c r="N56" s="7"/>
      <c r="O56" s="8"/>
      <c r="P56" s="7"/>
      <c r="Q56" s="7"/>
      <c r="R56" s="8"/>
      <c r="S56" s="7"/>
      <c r="T56" s="9"/>
      <c r="U56" s="7"/>
      <c r="V56" s="8"/>
      <c r="W56" s="7"/>
      <c r="X56" s="7"/>
      <c r="Y56" s="8"/>
      <c r="Z56" s="7"/>
      <c r="AA56" s="57"/>
      <c r="AB56" s="61" t="s">
        <v>515</v>
      </c>
      <c r="AC56" s="61" t="s">
        <v>963</v>
      </c>
    </row>
    <row r="57" spans="2:29" ht="14" thickTop="1" thickBot="1">
      <c r="B57" s="418" t="s">
        <v>2649</v>
      </c>
      <c r="D57" s="52"/>
      <c r="E57" s="52" t="s">
        <v>474</v>
      </c>
      <c r="F57" s="7"/>
      <c r="G57" s="8"/>
      <c r="H57" s="7"/>
      <c r="I57" s="6"/>
      <c r="J57" s="7"/>
      <c r="K57" s="8"/>
      <c r="L57" s="7"/>
      <c r="M57" s="8"/>
      <c r="N57" s="7"/>
      <c r="O57" s="8"/>
      <c r="P57" s="7"/>
      <c r="Q57" s="7"/>
      <c r="R57" s="8"/>
      <c r="S57" s="7"/>
      <c r="T57" s="9"/>
      <c r="U57" s="7"/>
      <c r="V57" s="8"/>
      <c r="W57" s="7"/>
      <c r="X57" s="7"/>
      <c r="Y57" s="8"/>
      <c r="Z57" s="7"/>
      <c r="AA57" s="57"/>
      <c r="AB57" s="61" t="s">
        <v>515</v>
      </c>
      <c r="AC57" s="61" t="s">
        <v>964</v>
      </c>
    </row>
    <row r="58" spans="2:29" ht="14" thickTop="1" thickBot="1">
      <c r="B58" s="10" t="s">
        <v>241</v>
      </c>
      <c r="D58" s="52"/>
      <c r="E58" s="52" t="s">
        <v>439</v>
      </c>
      <c r="F58" s="7"/>
      <c r="G58" s="8"/>
      <c r="H58" s="7"/>
      <c r="I58" s="6"/>
      <c r="J58" s="7"/>
      <c r="K58" s="8"/>
      <c r="L58" s="7"/>
      <c r="M58" s="8"/>
      <c r="N58" s="7"/>
      <c r="O58" s="8"/>
      <c r="P58" s="7"/>
      <c r="Q58" s="7"/>
      <c r="R58" s="8"/>
      <c r="S58" s="7"/>
      <c r="T58" s="9"/>
      <c r="U58" s="7"/>
      <c r="V58" s="8"/>
      <c r="W58" s="7"/>
      <c r="X58" s="7"/>
      <c r="Y58" s="8"/>
      <c r="Z58" s="7"/>
      <c r="AA58" s="57"/>
      <c r="AB58" s="61" t="s">
        <v>515</v>
      </c>
      <c r="AC58" s="61" t="s">
        <v>965</v>
      </c>
    </row>
    <row r="59" spans="2:29" ht="14" thickTop="1" thickBot="1">
      <c r="B59" s="418" t="s">
        <v>2148</v>
      </c>
      <c r="D59" s="52"/>
      <c r="E59" s="52" t="s">
        <v>461</v>
      </c>
      <c r="F59" s="7"/>
      <c r="G59" s="8"/>
      <c r="H59" s="7"/>
      <c r="I59" s="6"/>
      <c r="J59" s="7"/>
      <c r="K59" s="8"/>
      <c r="L59" s="7"/>
      <c r="M59" s="8"/>
      <c r="N59" s="7"/>
      <c r="O59" s="8"/>
      <c r="P59" s="7"/>
      <c r="Q59" s="7"/>
      <c r="R59" s="8"/>
      <c r="S59" s="7"/>
      <c r="T59" s="9"/>
      <c r="U59" s="7"/>
      <c r="V59" s="8"/>
      <c r="W59" s="7"/>
      <c r="X59" s="7"/>
      <c r="Y59" s="8"/>
      <c r="Z59" s="7"/>
      <c r="AA59" s="57"/>
      <c r="AB59" s="61" t="s">
        <v>515</v>
      </c>
      <c r="AC59" s="61" t="s">
        <v>966</v>
      </c>
    </row>
    <row r="60" spans="2:29" ht="14" thickTop="1" thickBot="1">
      <c r="B60" s="418" t="s">
        <v>291</v>
      </c>
      <c r="D60" s="52"/>
      <c r="E60" s="52" t="s">
        <v>433</v>
      </c>
      <c r="F60" s="7"/>
      <c r="G60" s="8"/>
      <c r="H60" s="7"/>
      <c r="I60" s="6"/>
      <c r="J60" s="7"/>
      <c r="K60" s="8"/>
      <c r="L60" s="7"/>
      <c r="M60" s="8"/>
      <c r="N60" s="7"/>
      <c r="O60" s="8"/>
      <c r="P60" s="7"/>
      <c r="Q60" s="7"/>
      <c r="R60" s="8"/>
      <c r="S60" s="7"/>
      <c r="T60" s="9"/>
      <c r="U60" s="7"/>
      <c r="V60" s="8"/>
      <c r="W60" s="7"/>
      <c r="X60" s="7"/>
      <c r="Y60" s="8"/>
      <c r="Z60" s="7"/>
      <c r="AA60" s="57"/>
      <c r="AB60" s="61" t="s">
        <v>515</v>
      </c>
      <c r="AC60" s="61" t="s">
        <v>967</v>
      </c>
    </row>
    <row r="61" spans="2:29" ht="14" thickTop="1" thickBot="1">
      <c r="B61" s="395" t="s">
        <v>2129</v>
      </c>
      <c r="D61" s="52"/>
      <c r="E61" s="52" t="s">
        <v>682</v>
      </c>
      <c r="F61" s="7"/>
      <c r="G61" s="8"/>
      <c r="H61" s="7"/>
      <c r="I61" s="6"/>
      <c r="J61" s="7"/>
      <c r="K61" s="8"/>
      <c r="L61" s="7"/>
      <c r="M61" s="8"/>
      <c r="N61" s="7"/>
      <c r="O61" s="8"/>
      <c r="P61" s="7"/>
      <c r="Q61" s="7"/>
      <c r="R61" s="8"/>
      <c r="S61" s="7"/>
      <c r="T61" s="9"/>
      <c r="U61" s="7"/>
      <c r="V61" s="8"/>
      <c r="W61" s="7"/>
      <c r="X61" s="7"/>
      <c r="Y61" s="8"/>
      <c r="Z61" s="7"/>
      <c r="AA61" s="57"/>
      <c r="AB61" s="61" t="s">
        <v>515</v>
      </c>
      <c r="AC61" s="61" t="s">
        <v>968</v>
      </c>
    </row>
    <row r="62" spans="2:29" ht="14" thickTop="1" thickBot="1">
      <c r="B62" s="64" t="s">
        <v>1486</v>
      </c>
      <c r="D62" s="52"/>
      <c r="E62" s="52" t="s">
        <v>455</v>
      </c>
      <c r="F62" s="7"/>
      <c r="G62" s="8"/>
      <c r="H62" s="7"/>
      <c r="I62" s="6"/>
      <c r="J62" s="7"/>
      <c r="K62" s="8"/>
      <c r="L62" s="7"/>
      <c r="M62" s="8"/>
      <c r="N62" s="7"/>
      <c r="O62" s="8"/>
      <c r="P62" s="7"/>
      <c r="Q62" s="7"/>
      <c r="R62" s="8"/>
      <c r="S62" s="7"/>
      <c r="T62" s="9"/>
      <c r="U62" s="7"/>
      <c r="V62" s="8"/>
      <c r="W62" s="7"/>
      <c r="X62" s="7"/>
      <c r="Y62" s="8"/>
      <c r="Z62" s="7"/>
      <c r="AA62" s="57"/>
      <c r="AB62" s="61" t="s">
        <v>515</v>
      </c>
      <c r="AC62" s="61" t="s">
        <v>522</v>
      </c>
    </row>
    <row r="63" spans="2:29" ht="14" thickTop="1" thickBot="1">
      <c r="B63" s="10"/>
      <c r="D63" s="52"/>
      <c r="E63" s="52" t="s">
        <v>454</v>
      </c>
      <c r="F63" s="7"/>
      <c r="G63" s="8"/>
      <c r="H63" s="7"/>
      <c r="I63" s="6"/>
      <c r="J63" s="7"/>
      <c r="K63" s="8"/>
      <c r="L63" s="7"/>
      <c r="M63" s="8"/>
      <c r="N63" s="7"/>
      <c r="O63" s="8"/>
      <c r="P63" s="7"/>
      <c r="Q63" s="7"/>
      <c r="R63" s="8"/>
      <c r="S63" s="7"/>
      <c r="T63" s="9"/>
      <c r="U63" s="7"/>
      <c r="V63" s="8"/>
      <c r="W63" s="7"/>
      <c r="X63" s="7"/>
      <c r="Y63" s="8"/>
      <c r="Z63" s="7"/>
      <c r="AA63" s="57"/>
      <c r="AB63" s="61" t="s">
        <v>515</v>
      </c>
      <c r="AC63" s="61" t="s">
        <v>969</v>
      </c>
    </row>
    <row r="64" spans="2:29" ht="14" thickTop="1" thickBot="1">
      <c r="B64" s="10"/>
      <c r="D64" s="52"/>
      <c r="E64" s="52" t="s">
        <v>424</v>
      </c>
      <c r="F64" s="7"/>
      <c r="G64" s="8"/>
      <c r="H64" s="7"/>
      <c r="I64" s="6"/>
      <c r="J64" s="7"/>
      <c r="K64" s="8"/>
      <c r="L64" s="7"/>
      <c r="M64" s="8"/>
      <c r="N64" s="7"/>
      <c r="O64" s="8"/>
      <c r="P64" s="7"/>
      <c r="Q64" s="7"/>
      <c r="R64" s="8"/>
      <c r="S64" s="7"/>
      <c r="T64" s="9"/>
      <c r="U64" s="7"/>
      <c r="V64" s="8"/>
      <c r="W64" s="7"/>
      <c r="X64" s="7"/>
      <c r="Y64" s="8"/>
      <c r="Z64" s="7"/>
      <c r="AA64" s="57"/>
      <c r="AB64" s="61" t="s">
        <v>515</v>
      </c>
      <c r="AC64" s="61" t="s">
        <v>970</v>
      </c>
    </row>
    <row r="65" spans="2:29" ht="14" thickTop="1" thickBot="1">
      <c r="B65" s="10"/>
      <c r="D65" s="52"/>
      <c r="E65" s="52" t="s">
        <v>426</v>
      </c>
      <c r="F65" s="7"/>
      <c r="G65" s="8"/>
      <c r="H65" s="7"/>
      <c r="I65" s="6"/>
      <c r="J65" s="7"/>
      <c r="K65" s="8"/>
      <c r="L65" s="7"/>
      <c r="M65" s="8"/>
      <c r="N65" s="7"/>
      <c r="O65" s="8"/>
      <c r="P65" s="7"/>
      <c r="Q65" s="7"/>
      <c r="R65" s="8"/>
      <c r="S65" s="7"/>
      <c r="T65" s="9"/>
      <c r="U65" s="7"/>
      <c r="V65" s="8"/>
      <c r="W65" s="7"/>
      <c r="X65" s="7"/>
      <c r="Y65" s="8"/>
      <c r="Z65" s="7"/>
      <c r="AA65" s="57"/>
      <c r="AB65" s="61" t="s">
        <v>515</v>
      </c>
      <c r="AC65" s="61" t="s">
        <v>971</v>
      </c>
    </row>
    <row r="66" spans="2:29" ht="14" thickTop="1" thickBot="1">
      <c r="B66" s="10"/>
      <c r="D66" s="52"/>
      <c r="E66" s="52" t="s">
        <v>465</v>
      </c>
      <c r="F66" s="7"/>
      <c r="G66" s="8"/>
      <c r="H66" s="7"/>
      <c r="I66" s="6"/>
      <c r="J66" s="7"/>
      <c r="K66" s="8"/>
      <c r="L66" s="7"/>
      <c r="M66" s="8"/>
      <c r="N66" s="7"/>
      <c r="O66" s="8"/>
      <c r="P66" s="7"/>
      <c r="Q66" s="7"/>
      <c r="R66" s="8"/>
      <c r="S66" s="7"/>
      <c r="T66" s="9"/>
      <c r="U66" s="7"/>
      <c r="V66" s="8"/>
      <c r="W66" s="7"/>
      <c r="X66" s="7"/>
      <c r="Y66" s="8"/>
      <c r="Z66" s="7"/>
      <c r="AA66" s="57"/>
      <c r="AB66" s="61" t="s">
        <v>515</v>
      </c>
      <c r="AC66" s="61" t="s">
        <v>972</v>
      </c>
    </row>
    <row r="67" spans="2:29" ht="14" thickTop="1" thickBot="1">
      <c r="B67" s="10"/>
      <c r="D67" s="52"/>
      <c r="E67" s="52" t="s">
        <v>340</v>
      </c>
      <c r="F67" s="7"/>
      <c r="G67" s="8"/>
      <c r="H67" s="7"/>
      <c r="I67" s="6"/>
      <c r="J67" s="7"/>
      <c r="K67" s="8"/>
      <c r="L67" s="7"/>
      <c r="M67" s="8"/>
      <c r="N67" s="7"/>
      <c r="O67" s="8"/>
      <c r="P67" s="7"/>
      <c r="Q67" s="7"/>
      <c r="R67" s="8"/>
      <c r="S67" s="7"/>
      <c r="T67" s="9"/>
      <c r="U67" s="7"/>
      <c r="V67" s="8"/>
      <c r="W67" s="7"/>
      <c r="X67" s="7"/>
      <c r="Y67" s="8"/>
      <c r="Z67" s="7"/>
      <c r="AA67" s="57"/>
      <c r="AB67" s="61" t="s">
        <v>515</v>
      </c>
      <c r="AC67" s="61" t="s">
        <v>525</v>
      </c>
    </row>
    <row r="68" spans="2:29" ht="14" thickTop="1" thickBot="1">
      <c r="B68" s="10"/>
      <c r="D68" s="52"/>
      <c r="E68" s="52" t="s">
        <v>450</v>
      </c>
      <c r="F68" s="7"/>
      <c r="G68" s="8"/>
      <c r="H68" s="7"/>
      <c r="I68" s="6"/>
      <c r="J68" s="7"/>
      <c r="K68" s="8"/>
      <c r="L68" s="7"/>
      <c r="M68" s="8"/>
      <c r="N68" s="7"/>
      <c r="O68" s="8"/>
      <c r="P68" s="7"/>
      <c r="Q68" s="7"/>
      <c r="R68" s="8"/>
      <c r="S68" s="7"/>
      <c r="T68" s="9"/>
      <c r="U68" s="7"/>
      <c r="V68" s="8"/>
      <c r="W68" s="7"/>
      <c r="X68" s="7"/>
      <c r="Y68" s="8"/>
      <c r="Z68" s="7"/>
      <c r="AA68" s="57"/>
      <c r="AB68" s="61" t="s">
        <v>515</v>
      </c>
      <c r="AC68" s="61" t="s">
        <v>973</v>
      </c>
    </row>
    <row r="69" spans="2:29" ht="14" thickTop="1" thickBot="1">
      <c r="B69" s="10"/>
      <c r="D69" s="65"/>
      <c r="E69" s="52" t="s">
        <v>490</v>
      </c>
      <c r="F69" s="7"/>
      <c r="G69" s="8"/>
      <c r="H69" s="7"/>
      <c r="I69" s="6"/>
      <c r="J69" s="7"/>
      <c r="K69" s="8"/>
      <c r="L69" s="7"/>
      <c r="M69" s="8"/>
      <c r="N69" s="7"/>
      <c r="O69" s="8"/>
      <c r="P69" s="7"/>
      <c r="Q69" s="7"/>
      <c r="R69" s="8"/>
      <c r="S69" s="7"/>
      <c r="T69" s="9"/>
      <c r="U69" s="7"/>
      <c r="V69" s="8"/>
      <c r="W69" s="7"/>
      <c r="X69" s="7"/>
      <c r="Y69" s="8"/>
      <c r="Z69" s="7"/>
      <c r="AA69" s="57"/>
      <c r="AB69" s="61" t="s">
        <v>515</v>
      </c>
      <c r="AC69" s="61" t="s">
        <v>516</v>
      </c>
    </row>
    <row r="70" spans="2:29" ht="14" thickTop="1" thickBot="1">
      <c r="B70" s="10"/>
      <c r="D70" s="65"/>
      <c r="E70" s="52" t="s">
        <v>664</v>
      </c>
      <c r="F70" s="7"/>
      <c r="G70" s="8"/>
      <c r="H70" s="7"/>
      <c r="I70" s="6"/>
      <c r="J70" s="7"/>
      <c r="K70" s="8"/>
      <c r="L70" s="7"/>
      <c r="M70" s="8"/>
      <c r="N70" s="7"/>
      <c r="O70" s="8"/>
      <c r="P70" s="7"/>
      <c r="Q70" s="7"/>
      <c r="R70" s="8"/>
      <c r="S70" s="7"/>
      <c r="T70" s="9"/>
      <c r="U70" s="7"/>
      <c r="V70" s="8"/>
      <c r="W70" s="7"/>
      <c r="X70" s="7"/>
      <c r="Y70" s="8"/>
      <c r="Z70" s="7"/>
      <c r="AA70" s="57"/>
      <c r="AB70" s="61" t="s">
        <v>515</v>
      </c>
      <c r="AC70" s="61" t="s">
        <v>974</v>
      </c>
    </row>
    <row r="71" spans="2:29" ht="14" thickTop="1" thickBot="1">
      <c r="B71" s="10"/>
      <c r="D71" s="65"/>
      <c r="E71" s="52" t="s">
        <v>506</v>
      </c>
      <c r="F71" s="7"/>
      <c r="G71" s="8"/>
      <c r="H71" s="7"/>
      <c r="I71" s="6"/>
      <c r="J71" s="7"/>
      <c r="K71" s="8"/>
      <c r="L71" s="7"/>
      <c r="M71" s="8"/>
      <c r="N71" s="7"/>
      <c r="O71" s="8"/>
      <c r="P71" s="7"/>
      <c r="Q71" s="7"/>
      <c r="R71" s="8"/>
      <c r="S71" s="7"/>
      <c r="T71" s="9"/>
      <c r="U71" s="7"/>
      <c r="V71" s="8"/>
      <c r="W71" s="7"/>
      <c r="X71" s="7"/>
      <c r="Y71" s="8"/>
      <c r="Z71" s="7"/>
      <c r="AA71" s="57"/>
      <c r="AB71" s="61" t="s">
        <v>515</v>
      </c>
      <c r="AC71" s="61" t="s">
        <v>536</v>
      </c>
    </row>
    <row r="72" spans="2:29" ht="14" thickTop="1" thickBot="1">
      <c r="B72" s="10"/>
      <c r="D72" s="65"/>
      <c r="E72" s="52" t="s">
        <v>453</v>
      </c>
      <c r="F72" s="7"/>
      <c r="G72" s="8"/>
      <c r="H72" s="7"/>
      <c r="I72" s="6"/>
      <c r="J72" s="7"/>
      <c r="K72" s="8"/>
      <c r="L72" s="7"/>
      <c r="M72" s="8"/>
      <c r="N72" s="7"/>
      <c r="O72" s="8"/>
      <c r="P72" s="7"/>
      <c r="Q72" s="7"/>
      <c r="R72" s="8"/>
      <c r="S72" s="7"/>
      <c r="T72" s="9"/>
      <c r="U72" s="7"/>
      <c r="V72" s="8"/>
      <c r="W72" s="7"/>
      <c r="X72" s="7"/>
      <c r="Y72" s="8"/>
      <c r="Z72" s="7"/>
      <c r="AA72" s="57"/>
      <c r="AB72" s="61" t="s">
        <v>515</v>
      </c>
      <c r="AC72" s="61" t="s">
        <v>975</v>
      </c>
    </row>
    <row r="73" spans="2:29" ht="14" thickTop="1" thickBot="1">
      <c r="B73" s="10"/>
      <c r="D73" s="65"/>
      <c r="E73" s="52" t="s">
        <v>349</v>
      </c>
      <c r="F73" s="7"/>
      <c r="G73" s="8"/>
      <c r="H73" s="7"/>
      <c r="I73" s="6"/>
      <c r="J73" s="7"/>
      <c r="K73" s="8"/>
      <c r="L73" s="7"/>
      <c r="M73" s="8"/>
      <c r="N73" s="7"/>
      <c r="O73" s="8"/>
      <c r="P73" s="7"/>
      <c r="Q73" s="7"/>
      <c r="R73" s="8"/>
      <c r="S73" s="7"/>
      <c r="T73" s="9"/>
      <c r="U73" s="7"/>
      <c r="V73" s="8"/>
      <c r="W73" s="7"/>
      <c r="X73" s="7"/>
      <c r="Y73" s="8"/>
      <c r="Z73" s="7"/>
      <c r="AA73" s="57"/>
      <c r="AB73" s="61" t="s">
        <v>515</v>
      </c>
      <c r="AC73" s="61" t="s">
        <v>976</v>
      </c>
    </row>
    <row r="74" spans="2:29" ht="14" thickTop="1" thickBot="1">
      <c r="B74" s="10"/>
      <c r="D74" s="65"/>
      <c r="E74" s="52" t="s">
        <v>351</v>
      </c>
      <c r="F74" s="7"/>
      <c r="G74" s="8"/>
      <c r="H74" s="7"/>
      <c r="I74" s="6"/>
      <c r="J74" s="7"/>
      <c r="K74" s="8"/>
      <c r="L74" s="7"/>
      <c r="M74" s="8"/>
      <c r="N74" s="7"/>
      <c r="O74" s="8"/>
      <c r="P74" s="7"/>
      <c r="Q74" s="7"/>
      <c r="R74" s="8"/>
      <c r="S74" s="7"/>
      <c r="T74" s="9"/>
      <c r="U74" s="7"/>
      <c r="V74" s="8"/>
      <c r="W74" s="7"/>
      <c r="X74" s="7"/>
      <c r="Y74" s="8"/>
      <c r="Z74" s="7"/>
      <c r="AA74" s="57"/>
      <c r="AB74" s="61" t="s">
        <v>515</v>
      </c>
      <c r="AC74" s="61" t="s">
        <v>977</v>
      </c>
    </row>
    <row r="75" spans="2:29" ht="14" thickTop="1" thickBot="1">
      <c r="B75" s="10"/>
      <c r="D75" s="65"/>
      <c r="E75" s="52" t="s">
        <v>356</v>
      </c>
      <c r="F75" s="7"/>
      <c r="G75" s="8"/>
      <c r="H75" s="7"/>
      <c r="I75" s="6"/>
      <c r="J75" s="7"/>
      <c r="K75" s="8"/>
      <c r="L75" s="7"/>
      <c r="M75" s="8"/>
      <c r="N75" s="7"/>
      <c r="O75" s="8"/>
      <c r="P75" s="7"/>
      <c r="Q75" s="7"/>
      <c r="R75" s="8"/>
      <c r="S75" s="7"/>
      <c r="T75" s="9"/>
      <c r="U75" s="7"/>
      <c r="V75" s="8"/>
      <c r="W75" s="7"/>
      <c r="X75" s="7"/>
      <c r="Y75" s="8"/>
      <c r="Z75" s="7"/>
      <c r="AA75" s="57"/>
      <c r="AB75" s="61" t="s">
        <v>515</v>
      </c>
      <c r="AC75" s="61" t="s">
        <v>978</v>
      </c>
    </row>
    <row r="76" spans="2:29" ht="14" thickTop="1" thickBot="1">
      <c r="B76" s="10"/>
      <c r="D76" s="65"/>
      <c r="E76" s="52" t="s">
        <v>348</v>
      </c>
      <c r="F76" s="7"/>
      <c r="G76" s="8"/>
      <c r="H76" s="7"/>
      <c r="I76" s="6"/>
      <c r="J76" s="7"/>
      <c r="K76" s="8"/>
      <c r="L76" s="7"/>
      <c r="M76" s="8"/>
      <c r="N76" s="7"/>
      <c r="O76" s="8"/>
      <c r="P76" s="7"/>
      <c r="Q76" s="7"/>
      <c r="R76" s="8"/>
      <c r="S76" s="7"/>
      <c r="T76" s="9"/>
      <c r="U76" s="7"/>
      <c r="V76" s="8"/>
      <c r="W76" s="7"/>
      <c r="X76" s="7"/>
      <c r="Y76" s="8"/>
      <c r="Z76" s="7"/>
      <c r="AA76" s="57"/>
      <c r="AB76" s="61" t="s">
        <v>515</v>
      </c>
      <c r="AC76" s="61" t="s">
        <v>979</v>
      </c>
    </row>
    <row r="77" spans="2:29" ht="14" thickTop="1" thickBot="1">
      <c r="B77" s="10"/>
      <c r="D77" s="65"/>
      <c r="E77" s="52" t="s">
        <v>610</v>
      </c>
      <c r="F77" s="7"/>
      <c r="G77" s="8"/>
      <c r="H77" s="7"/>
      <c r="I77" s="6"/>
      <c r="J77" s="7"/>
      <c r="K77" s="8"/>
      <c r="L77" s="7"/>
      <c r="M77" s="8"/>
      <c r="N77" s="7"/>
      <c r="O77" s="8"/>
      <c r="P77" s="7"/>
      <c r="Q77" s="7"/>
      <c r="R77" s="8"/>
      <c r="S77" s="7"/>
      <c r="T77" s="9"/>
      <c r="U77" s="7"/>
      <c r="V77" s="8"/>
      <c r="W77" s="7"/>
      <c r="X77" s="7"/>
      <c r="Y77" s="8"/>
      <c r="Z77" s="7"/>
      <c r="AA77" s="57"/>
      <c r="AB77" s="61" t="s">
        <v>515</v>
      </c>
      <c r="AC77" s="61" t="s">
        <v>980</v>
      </c>
    </row>
    <row r="78" spans="2:29" ht="14" thickTop="1" thickBot="1">
      <c r="B78" s="10"/>
      <c r="D78" s="65"/>
      <c r="E78" s="52" t="s">
        <v>609</v>
      </c>
      <c r="F78" s="7"/>
      <c r="G78" s="8"/>
      <c r="H78" s="7"/>
      <c r="I78" s="6"/>
      <c r="J78" s="7"/>
      <c r="K78" s="8"/>
      <c r="L78" s="7"/>
      <c r="M78" s="8"/>
      <c r="N78" s="7"/>
      <c r="O78" s="8"/>
      <c r="P78" s="7"/>
      <c r="Q78" s="7"/>
      <c r="R78" s="8"/>
      <c r="S78" s="7"/>
      <c r="T78" s="9"/>
      <c r="U78" s="7"/>
      <c r="V78" s="8"/>
      <c r="W78" s="7"/>
      <c r="X78" s="7"/>
      <c r="Y78" s="8"/>
      <c r="Z78" s="7"/>
      <c r="AA78" s="57"/>
      <c r="AB78" s="61" t="s">
        <v>515</v>
      </c>
      <c r="AC78" s="61" t="s">
        <v>981</v>
      </c>
    </row>
    <row r="79" spans="2:29" ht="14" thickTop="1" thickBot="1">
      <c r="B79" s="10"/>
      <c r="D79" s="65"/>
      <c r="E79" s="52" t="s">
        <v>353</v>
      </c>
      <c r="F79" s="7"/>
      <c r="G79" s="8"/>
      <c r="H79" s="7"/>
      <c r="I79" s="6"/>
      <c r="J79" s="7"/>
      <c r="K79" s="8"/>
      <c r="L79" s="7"/>
      <c r="M79" s="8"/>
      <c r="N79" s="7"/>
      <c r="O79" s="8"/>
      <c r="P79" s="7"/>
      <c r="Q79" s="7"/>
      <c r="R79" s="8"/>
      <c r="S79" s="7"/>
      <c r="T79" s="9"/>
      <c r="U79" s="7"/>
      <c r="V79" s="8"/>
      <c r="W79" s="7"/>
      <c r="X79" s="7"/>
      <c r="Y79" s="8"/>
      <c r="Z79" s="7"/>
      <c r="AA79" s="57"/>
      <c r="AB79" s="61" t="s">
        <v>515</v>
      </c>
      <c r="AC79" s="61" t="s">
        <v>982</v>
      </c>
    </row>
    <row r="80" spans="2:29" ht="14" thickTop="1" thickBot="1">
      <c r="B80" s="10"/>
      <c r="D80" s="65"/>
      <c r="E80" s="52" t="s">
        <v>350</v>
      </c>
      <c r="F80" s="7"/>
      <c r="G80" s="8"/>
      <c r="H80" s="7"/>
      <c r="I80" s="6"/>
      <c r="J80" s="7"/>
      <c r="K80" s="8"/>
      <c r="L80" s="7"/>
      <c r="M80" s="8"/>
      <c r="N80" s="7"/>
      <c r="O80" s="8"/>
      <c r="P80" s="7"/>
      <c r="Q80" s="7"/>
      <c r="R80" s="8"/>
      <c r="S80" s="7"/>
      <c r="T80" s="9"/>
      <c r="U80" s="7"/>
      <c r="V80" s="8"/>
      <c r="W80" s="7"/>
      <c r="X80" s="7"/>
      <c r="Y80" s="8"/>
      <c r="Z80" s="7"/>
      <c r="AA80" s="57"/>
      <c r="AB80" s="61" t="s">
        <v>515</v>
      </c>
      <c r="AC80" s="61" t="s">
        <v>983</v>
      </c>
    </row>
    <row r="81" spans="2:29" ht="14" thickTop="1" thickBot="1">
      <c r="B81" s="10"/>
      <c r="D81" s="65"/>
      <c r="E81" s="52" t="s">
        <v>352</v>
      </c>
      <c r="F81" s="7"/>
      <c r="G81" s="8"/>
      <c r="H81" s="7"/>
      <c r="I81" s="6"/>
      <c r="J81" s="7"/>
      <c r="K81" s="8"/>
      <c r="L81" s="7"/>
      <c r="M81" s="8"/>
      <c r="N81" s="7"/>
      <c r="O81" s="8"/>
      <c r="P81" s="7"/>
      <c r="Q81" s="7"/>
      <c r="R81" s="8"/>
      <c r="S81" s="7"/>
      <c r="T81" s="9"/>
      <c r="U81" s="7"/>
      <c r="V81" s="8"/>
      <c r="W81" s="7"/>
      <c r="X81" s="7"/>
      <c r="Y81" s="8"/>
      <c r="Z81" s="7"/>
      <c r="AA81" s="57"/>
      <c r="AB81" s="61" t="s">
        <v>515</v>
      </c>
      <c r="AC81" s="61" t="s">
        <v>984</v>
      </c>
    </row>
    <row r="82" spans="2:29" ht="14" thickTop="1" thickBot="1">
      <c r="B82" s="10"/>
      <c r="D82" s="65"/>
      <c r="E82" s="52" t="s">
        <v>354</v>
      </c>
      <c r="F82" s="7"/>
      <c r="G82" s="8"/>
      <c r="H82" s="7"/>
      <c r="I82" s="6"/>
      <c r="J82" s="7"/>
      <c r="K82" s="8"/>
      <c r="L82" s="7"/>
      <c r="M82" s="8"/>
      <c r="N82" s="7"/>
      <c r="O82" s="8"/>
      <c r="P82" s="7"/>
      <c r="Q82" s="7"/>
      <c r="R82" s="8"/>
      <c r="S82" s="7"/>
      <c r="T82" s="9"/>
      <c r="U82" s="7"/>
      <c r="V82" s="8"/>
      <c r="W82" s="7"/>
      <c r="X82" s="7"/>
      <c r="Y82" s="8"/>
      <c r="Z82" s="7"/>
      <c r="AA82" s="57"/>
      <c r="AB82" s="61" t="s">
        <v>515</v>
      </c>
      <c r="AC82" s="61" t="s">
        <v>985</v>
      </c>
    </row>
    <row r="83" spans="2:29" ht="14" thickTop="1" thickBot="1">
      <c r="B83" s="10"/>
      <c r="D83" s="65"/>
      <c r="E83" s="52" t="s">
        <v>347</v>
      </c>
      <c r="F83" s="7"/>
      <c r="G83" s="8"/>
      <c r="H83" s="7"/>
      <c r="I83" s="6"/>
      <c r="J83" s="7"/>
      <c r="K83" s="8"/>
      <c r="L83" s="7"/>
      <c r="M83" s="8"/>
      <c r="N83" s="7"/>
      <c r="O83" s="8"/>
      <c r="P83" s="7"/>
      <c r="Q83" s="7"/>
      <c r="R83" s="8"/>
      <c r="S83" s="7"/>
      <c r="T83" s="9"/>
      <c r="U83" s="7"/>
      <c r="V83" s="8"/>
      <c r="W83" s="7"/>
      <c r="X83" s="7"/>
      <c r="Y83" s="8"/>
      <c r="Z83" s="7"/>
      <c r="AA83" s="57"/>
      <c r="AB83" s="63" t="s">
        <v>515</v>
      </c>
      <c r="AC83" s="63" t="s">
        <v>986</v>
      </c>
    </row>
    <row r="84" spans="2:29" ht="14" thickTop="1" thickBot="1">
      <c r="B84" s="10"/>
      <c r="D84" s="65"/>
      <c r="E84" s="52" t="s">
        <v>684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5"/>
      <c r="E85" s="52" t="s">
        <v>683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5"/>
      <c r="E86" s="52" t="s">
        <v>446</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5"/>
      <c r="E87" s="52" t="s">
        <v>438</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5"/>
      <c r="E88" s="52" t="s">
        <v>440</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5"/>
      <c r="E89" s="52" t="s">
        <v>479</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5"/>
      <c r="E90" s="52" t="s">
        <v>668</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5"/>
      <c r="E91" s="52" t="s">
        <v>493</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5"/>
      <c r="E92" s="52" t="s">
        <v>663</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5"/>
      <c r="E93" s="52" t="s">
        <v>480</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5"/>
      <c r="E94" s="52" t="s">
        <v>679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5"/>
      <c r="E95" s="52" t="s">
        <v>860</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5"/>
      <c r="E96" s="52" t="s">
        <v>468</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5"/>
      <c r="E97" s="52" t="s">
        <v>470</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5"/>
      <c r="E98" s="52" t="s">
        <v>685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5"/>
      <c r="E99" s="52" t="s">
        <v>482</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5"/>
      <c r="E100" s="52" t="s">
        <v>686</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5"/>
      <c r="E101" s="52" t="s">
        <v>670</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5"/>
      <c r="E102" s="52" t="s">
        <v>606</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5"/>
      <c r="E103" s="52" t="s">
        <v>452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5"/>
      <c r="E104" s="52" t="s">
        <v>449</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5"/>
      <c r="E105" s="52" t="s">
        <v>673</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5"/>
      <c r="E106" s="52" t="s">
        <v>313</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5"/>
      <c r="E107" s="52" t="s">
        <v>987</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5"/>
      <c r="E108" s="52" t="s">
        <v>672</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5"/>
      <c r="E109" s="52" t="s">
        <v>316</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5"/>
      <c r="E110" s="52" t="s">
        <v>819</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5"/>
      <c r="E111" s="52" t="s">
        <v>687</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5"/>
      <c r="E112" s="52" t="s">
        <v>507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5"/>
      <c r="E113" s="52" t="s">
        <v>445</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5"/>
      <c r="E114" s="52" t="s">
        <v>320</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5"/>
      <c r="E115" s="52" t="s">
        <v>322</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5"/>
      <c r="E116" s="52" t="s">
        <v>441</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5"/>
      <c r="E117" s="52" t="s">
        <v>512</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5"/>
      <c r="E118" s="52" t="s">
        <v>669</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5"/>
      <c r="E119" s="52" t="s">
        <v>488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5"/>
      <c r="E120" s="52" t="s">
        <v>486</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5"/>
      <c r="E121" s="52" t="s">
        <v>485</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5"/>
      <c r="E122" s="52" t="s">
        <v>477</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5"/>
      <c r="E123" s="52" t="s">
        <v>671</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5"/>
      <c r="E124" s="52" t="s">
        <v>509</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5"/>
      <c r="E125" s="52" t="s">
        <v>513</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5"/>
      <c r="E126" s="52" t="s">
        <v>405</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5"/>
      <c r="E127" s="52" t="s">
        <v>419</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5"/>
      <c r="E128" s="52" t="s">
        <v>511</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5"/>
      <c r="E129" s="52" t="s">
        <v>444</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5"/>
      <c r="E130" s="52" t="s">
        <v>510</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5"/>
      <c r="E131" s="52" t="s">
        <v>326</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5"/>
      <c r="E132" s="52" t="s">
        <v>471</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5"/>
      <c r="E133" s="52" t="s">
        <v>675</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5"/>
      <c r="E134" s="52" t="s">
        <v>843</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5"/>
      <c r="E135" s="52" t="s">
        <v>845</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5"/>
      <c r="E136" s="52" t="s">
        <v>844</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5"/>
      <c r="E137" s="52" t="s">
        <v>988</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5"/>
      <c r="E138" s="52" t="s">
        <v>329</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5"/>
      <c r="E139" s="52" t="s">
        <v>330</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5"/>
      <c r="E140" s="52" t="s">
        <v>420</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5"/>
      <c r="E141" s="52" t="s">
        <v>469</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5"/>
      <c r="E142" s="52" t="s">
        <v>332</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5"/>
      <c r="E143" s="52" t="s">
        <v>473</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5"/>
      <c r="E144" s="52" t="s">
        <v>304</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5"/>
      <c r="E145" s="52" t="s">
        <v>335</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5"/>
      <c r="E146" s="52" t="s">
        <v>336</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5"/>
      <c r="E147" s="52" t="s">
        <v>508</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5"/>
      <c r="E148" s="52" t="s">
        <v>442</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5"/>
      <c r="E149" s="52" t="s">
        <v>337</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5"/>
      <c r="E150" s="52" t="s">
        <v>467</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5"/>
      <c r="E151" s="52" t="s">
        <v>677</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5"/>
      <c r="E152" s="52" t="s">
        <v>688</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5"/>
      <c r="E153" s="52" t="s">
        <v>689</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5"/>
      <c r="E154" s="52" t="s">
        <v>690</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5"/>
      <c r="E155" s="52" t="s">
        <v>338</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5"/>
      <c r="E156" s="52" t="s">
        <v>339</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5"/>
      <c r="E157" s="52" t="s">
        <v>341</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5"/>
      <c r="E158" s="52" t="s">
        <v>870</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5"/>
      <c r="E159" s="52" t="s">
        <v>514</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5"/>
      <c r="E160" s="52" t="s">
        <v>674</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5"/>
      <c r="E161" s="52" t="s">
        <v>678</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B162" s="10"/>
      <c r="D162" s="65"/>
      <c r="E162" s="52" t="s">
        <v>342</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B163" s="10"/>
      <c r="D163" s="65"/>
      <c r="E163" s="52" t="s">
        <v>343</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5"/>
      <c r="E164" s="52" t="s">
        <v>443</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5"/>
      <c r="E165" s="52" t="s">
        <v>666</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5"/>
      <c r="E166" s="52" t="s">
        <v>657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5"/>
      <c r="E167" s="52" t="s">
        <v>615</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5"/>
      <c r="E168" s="52" t="s">
        <v>616</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5"/>
      <c r="E169" s="52" t="s">
        <v>618</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5"/>
      <c r="E170" s="52" t="s">
        <v>625</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5"/>
      <c r="E171" s="52" t="s">
        <v>623</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5"/>
      <c r="E172" s="52" t="s">
        <v>361</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5"/>
      <c r="E173" s="52" t="s">
        <v>635</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5"/>
      <c r="E174" s="52" t="s">
        <v>614</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5"/>
      <c r="E175" s="52" t="s">
        <v>617</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5"/>
      <c r="E176" s="52" t="s">
        <v>619</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5"/>
      <c r="E177" s="52" t="s">
        <v>360</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5"/>
      <c r="E178" s="52" t="s">
        <v>621</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5"/>
      <c r="E179" s="52" t="s">
        <v>627</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5"/>
      <c r="E180" s="52" t="s">
        <v>624</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5"/>
      <c r="E181" s="52" t="s">
        <v>626</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5"/>
      <c r="E182" s="52" t="s">
        <v>637</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5"/>
      <c r="E183" s="52" t="s">
        <v>370</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5"/>
      <c r="E184" s="52" t="s">
        <v>366</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5"/>
      <c r="E185" s="52" t="s">
        <v>367</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5"/>
      <c r="E186" s="52" t="s">
        <v>622</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5"/>
      <c r="E187" s="52" t="s">
        <v>368</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5"/>
      <c r="E188" s="52" t="s">
        <v>365</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5"/>
      <c r="E189" s="52" t="s">
        <v>364</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5"/>
      <c r="E190" s="52" t="s">
        <v>363</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5"/>
      <c r="E191" s="52" t="s">
        <v>653</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5"/>
      <c r="E192" s="52" t="s">
        <v>660</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5"/>
      <c r="E193" s="52" t="s">
        <v>651</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5"/>
      <c r="E194" s="52" t="s">
        <v>661</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5"/>
      <c r="E195" s="52" t="s">
        <v>418</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5"/>
      <c r="E196" s="52" t="s">
        <v>649</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5"/>
      <c r="E197" s="52" t="s">
        <v>399</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5"/>
      <c r="E198" s="52" t="s">
        <v>648</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5"/>
      <c r="E199" s="52" t="s">
        <v>662</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5"/>
      <c r="E200" s="52" t="s">
        <v>417</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5"/>
      <c r="E201" s="52" t="s">
        <v>647</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5"/>
      <c r="E202" s="52" t="s">
        <v>389</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5"/>
      <c r="E203" s="52" t="s">
        <v>390</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5"/>
      <c r="E204" s="52" t="s">
        <v>401</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5"/>
      <c r="E205" s="52" t="s">
        <v>391</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5"/>
      <c r="E206" s="52" t="s">
        <v>400</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5"/>
      <c r="E207" s="52" t="s">
        <v>411</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5"/>
      <c r="E208" s="52" t="s">
        <v>395</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5"/>
      <c r="E209" s="52" t="s">
        <v>345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5"/>
      <c r="E210" s="52" t="s">
        <v>408</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5"/>
      <c r="E211" s="52" t="s">
        <v>412</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5"/>
      <c r="E212" s="52" t="s">
        <v>393</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5"/>
      <c r="E213" s="52" t="s">
        <v>655</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5"/>
      <c r="E214" s="52" t="s">
        <v>820</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5"/>
      <c r="E215" s="52" t="s">
        <v>407</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5"/>
      <c r="E216" s="52" t="s">
        <v>394</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5"/>
      <c r="E217" s="52" t="s">
        <v>414</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5"/>
      <c r="E218" s="52" t="s">
        <v>413</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5"/>
      <c r="E219" s="52" t="s">
        <v>658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5"/>
      <c r="E220" s="52" t="s">
        <v>396</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5"/>
      <c r="E221" s="52" t="s">
        <v>654</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5"/>
      <c r="E222" s="52" t="s">
        <v>415</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5"/>
      <c r="E223" s="52" t="s">
        <v>402</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5"/>
      <c r="E224" s="52" t="s">
        <v>410</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5"/>
      <c r="E225" s="52" t="s">
        <v>650</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5"/>
      <c r="E226" s="52" t="s">
        <v>398</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5"/>
      <c r="E227" s="52" t="s">
        <v>656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5"/>
      <c r="E228" s="52" t="s">
        <v>403</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5"/>
      <c r="E229" s="52" t="s">
        <v>406</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5"/>
      <c r="E230" s="52" t="s">
        <v>421</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5"/>
      <c r="E231" s="52" t="s">
        <v>416</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5"/>
      <c r="E232" s="52" t="s">
        <v>659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5"/>
      <c r="E233" s="52" t="s">
        <v>652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5"/>
      <c r="E234" s="52" t="s">
        <v>404</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5"/>
      <c r="E235" s="52" t="s">
        <v>409</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5"/>
      <c r="E236" s="52" t="s">
        <v>385</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5"/>
      <c r="E237" s="52" t="s">
        <v>386</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5"/>
      <c r="E238" s="52" t="s">
        <v>371</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5"/>
      <c r="E239" s="52" t="s">
        <v>629</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5"/>
      <c r="E240" s="52" t="s">
        <v>640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5"/>
      <c r="E241" s="52" t="s">
        <v>821</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5"/>
      <c r="E242" s="52" t="s">
        <v>375</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5"/>
      <c r="E243" s="52" t="s">
        <v>308</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5"/>
      <c r="E244" s="52" t="s">
        <v>382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5"/>
      <c r="E245" s="52" t="s">
        <v>639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5"/>
      <c r="E246" s="52" t="s">
        <v>641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5"/>
      <c r="E247" s="52" t="s">
        <v>387</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5"/>
      <c r="E248" s="52" t="s">
        <v>643</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5"/>
      <c r="E249" s="52" t="s">
        <v>384</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5"/>
      <c r="E250" s="52" t="s">
        <v>383</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5"/>
      <c r="E251" s="52" t="s">
        <v>381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5"/>
      <c r="E252" s="52" t="s">
        <v>380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5"/>
      <c r="E253" s="52" t="s">
        <v>377</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5"/>
      <c r="E254" s="52" t="s">
        <v>644</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5"/>
      <c r="E255" s="52" t="s">
        <v>642</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5"/>
      <c r="E256" s="52" t="s">
        <v>634</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5"/>
      <c r="E257" s="52" t="s">
        <v>628</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5"/>
      <c r="E258" s="52" t="s">
        <v>630</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5"/>
      <c r="E259" s="52" t="s">
        <v>631</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5"/>
      <c r="E260" s="52" t="s">
        <v>645</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5"/>
      <c r="E261" s="52" t="s">
        <v>632</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5"/>
      <c r="E262" s="52" t="s">
        <v>633</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5"/>
      <c r="E263" s="52" t="s">
        <v>373</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5"/>
      <c r="E264" s="52" t="s">
        <v>379</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5"/>
      <c r="E265" s="52" t="s">
        <v>376</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5"/>
      <c r="E266" s="52" t="s">
        <v>372</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5"/>
      <c r="E267" s="52" t="s">
        <v>374</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5"/>
      <c r="E268" s="52" t="s">
        <v>636</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5"/>
      <c r="E269" s="52" t="s">
        <v>638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5"/>
      <c r="E270" s="52" t="s">
        <v>989</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5"/>
      <c r="E271" s="52" t="s">
        <v>378</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5"/>
      <c r="E272" s="52" t="s">
        <v>814</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5"/>
      <c r="E273" s="52" t="s">
        <v>990</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5"/>
      <c r="E274" s="52" t="s">
        <v>196</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5"/>
      <c r="E275" s="52" t="s">
        <v>822</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5"/>
      <c r="E276" s="52" t="s">
        <v>200</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5"/>
      <c r="E277" s="52" t="s">
        <v>201</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5"/>
      <c r="E278" s="52" t="s">
        <v>203</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5"/>
      <c r="E279" s="52" t="s">
        <v>991</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5"/>
      <c r="E280" s="52" t="s">
        <v>992</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5"/>
      <c r="E281" s="52" t="s">
        <v>739</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5"/>
      <c r="E282" s="52" t="s">
        <v>204</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5"/>
      <c r="E283" s="52" t="s">
        <v>825</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5"/>
      <c r="E284" s="52" t="s">
        <v>245</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5"/>
      <c r="E285" s="52" t="s">
        <v>147</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5"/>
      <c r="E286" s="52" t="s">
        <v>247</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5"/>
      <c r="E287" s="52" t="s">
        <v>225</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5"/>
      <c r="E288" s="52" t="s">
        <v>785</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5"/>
      <c r="E289" s="52" t="s">
        <v>786</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5"/>
      <c r="E290" s="52" t="s">
        <v>230</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5"/>
      <c r="E291" s="52" t="s">
        <v>248</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5"/>
      <c r="E292" s="52" t="s">
        <v>249</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5"/>
      <c r="E293" s="52" t="s">
        <v>250</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5"/>
      <c r="E294" s="52" t="s">
        <v>792</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5"/>
      <c r="E295" s="52" t="s">
        <v>251</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5"/>
      <c r="E296" s="52" t="s">
        <v>252</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5"/>
      <c r="E297" s="52" t="s">
        <v>149</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5"/>
      <c r="E298" s="52" t="s">
        <v>253</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5"/>
      <c r="E299" s="52" t="s">
        <v>254</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5"/>
      <c r="E300" s="52" t="s">
        <v>793</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5"/>
      <c r="E301" s="52" t="s">
        <v>255</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5"/>
      <c r="E302" s="52" t="s">
        <v>256</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5"/>
      <c r="E303" s="52" t="s">
        <v>257</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5"/>
      <c r="E304" s="52" t="s">
        <v>258</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5"/>
      <c r="E305" s="52" t="s">
        <v>231</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5"/>
      <c r="E306" s="52" t="s">
        <v>259</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5"/>
      <c r="E307" s="52" t="s">
        <v>260</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5"/>
      <c r="E308" s="52" t="s">
        <v>261</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5"/>
      <c r="E309" s="52" t="s">
        <v>262</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5"/>
      <c r="E310" s="52" t="s">
        <v>535</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5"/>
      <c r="E311" s="52" t="s">
        <v>558</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5"/>
      <c r="E312" s="52" t="s">
        <v>800</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5"/>
      <c r="E313" s="52" t="s">
        <v>540</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5"/>
      <c r="E314" s="52" t="s">
        <v>830</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5"/>
      <c r="E315" s="52" t="s">
        <v>541</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5"/>
      <c r="E316" s="52" t="s">
        <v>520</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5"/>
      <c r="E317" s="52" t="s">
        <v>549</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5"/>
      <c r="E318" s="52" t="s">
        <v>698</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5"/>
      <c r="E319" s="52" t="s">
        <v>701</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5"/>
      <c r="E320" s="52" t="s">
        <v>531</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5"/>
      <c r="E321" s="52" t="s">
        <v>847</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5"/>
      <c r="E322" s="52" t="s">
        <v>993</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5"/>
      <c r="E323" s="52" t="s">
        <v>538</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5"/>
      <c r="E324" s="52" t="s">
        <v>994</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5"/>
      <c r="E325" s="52" t="s">
        <v>718</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5"/>
      <c r="E326" s="52" t="s">
        <v>824</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5"/>
      <c r="E327" s="52" t="s">
        <v>707</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5"/>
      <c r="E328" s="52" t="s">
        <v>995</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5"/>
      <c r="E329" s="52" t="s">
        <v>996</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5"/>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5"/>
      <c r="E331" s="52" t="s">
        <v>997</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5"/>
      <c r="E332" s="52" t="s">
        <v>998</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5"/>
      <c r="E333" s="52" t="s">
        <v>841</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5"/>
      <c r="E334" s="52" t="s">
        <v>706</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5"/>
      <c r="E335" s="52" t="s">
        <v>999</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5"/>
      <c r="E336" s="52" t="s">
        <v>725</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5"/>
      <c r="E337" s="52" t="s">
        <v>708</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5"/>
      <c r="E338" s="52" t="s">
        <v>548</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5"/>
      <c r="E339" s="52" t="s">
        <v>523</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5"/>
      <c r="E340" s="52" t="s">
        <v>153</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5"/>
      <c r="E341" s="52" t="s">
        <v>240</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5"/>
      <c r="E342" s="52" t="s">
        <v>154</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5"/>
      <c r="E343" s="52" t="s">
        <v>155</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5"/>
      <c r="E344" s="52" t="s">
        <v>156</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5"/>
      <c r="E345" s="52" t="s">
        <v>770</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5"/>
      <c r="E346" s="52" t="s">
        <v>762</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5"/>
      <c r="E347" s="52" t="s">
        <v>758</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5"/>
      <c r="E348" s="52" t="s">
        <v>1000</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5"/>
      <c r="E349" s="52" t="s">
        <v>239</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5"/>
      <c r="E350" s="52" t="s">
        <v>206</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5"/>
      <c r="E351" s="52" t="s">
        <v>749</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5"/>
      <c r="E352" s="52" t="s">
        <v>232</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5"/>
      <c r="E353" s="52" t="s">
        <v>217</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5"/>
      <c r="E354" s="52" t="s">
        <v>290</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5"/>
      <c r="E355" s="52" t="s">
        <v>207</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5"/>
      <c r="E356" s="52" t="s">
        <v>209</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5"/>
      <c r="E357" s="52" t="s">
        <v>740</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5"/>
      <c r="E358" s="52" t="s">
        <v>281</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5"/>
      <c r="E359" s="52" t="s">
        <v>282</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5"/>
      <c r="E360" s="52" t="s">
        <v>1001</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5"/>
      <c r="E361" s="52" t="s">
        <v>834</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5"/>
      <c r="E362" s="52" t="s">
        <v>836</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5"/>
      <c r="E363" s="52" t="s">
        <v>838</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5"/>
      <c r="E364" s="52" t="s">
        <v>1002</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5"/>
      <c r="E365" s="52" t="s">
        <v>839</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5"/>
      <c r="E366" s="52" t="s">
        <v>1003</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5"/>
      <c r="E367" s="52" t="s">
        <v>746</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5"/>
      <c r="E368" s="52" t="s">
        <v>210</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5"/>
      <c r="E369" s="52" t="s">
        <v>287</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5"/>
      <c r="E370" s="52" t="s">
        <v>744</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5"/>
      <c r="E371" s="52" t="s">
        <v>211</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5"/>
      <c r="E372" s="52" t="s">
        <v>213</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5"/>
      <c r="E373" s="52" t="s">
        <v>733</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5"/>
      <c r="E374" s="52" t="s">
        <v>742</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5"/>
      <c r="E375" s="52" t="s">
        <v>295</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5"/>
      <c r="E376" s="52" t="s">
        <v>735</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5"/>
      <c r="E377" s="52" t="s">
        <v>1004</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5"/>
      <c r="E378" s="52" t="s">
        <v>854</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5"/>
      <c r="E379" s="52" t="s">
        <v>855</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5"/>
      <c r="E380" s="52" t="s">
        <v>856</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5"/>
      <c r="E381" s="52" t="s">
        <v>857</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5"/>
      <c r="E382" s="52" t="s">
        <v>858</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5"/>
      <c r="E383" s="52" t="s">
        <v>859</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5"/>
      <c r="E384" s="52" t="s">
        <v>751</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5"/>
      <c r="E385" s="52" t="s">
        <v>748</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5"/>
      <c r="E386" s="52" t="s">
        <v>559</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5"/>
      <c r="E387" s="52" t="s">
        <v>723</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5"/>
      <c r="E388" s="52" t="s">
        <v>721</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5"/>
      <c r="E389" s="52" t="s">
        <v>719</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5"/>
      <c r="E390" s="52" t="s">
        <v>720</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5"/>
      <c r="E391" s="52" t="s">
        <v>1005</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5"/>
      <c r="E392" s="52" t="s">
        <v>782</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5"/>
      <c r="E393" s="52" t="s">
        <v>780</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5"/>
      <c r="E394" s="52" t="s">
        <v>781</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5"/>
      <c r="E395" s="52" t="s">
        <v>161</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5"/>
      <c r="E396" s="52" t="s">
        <v>233</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5"/>
      <c r="E397" s="52" t="s">
        <v>162</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5"/>
      <c r="E398" s="52" t="s">
        <v>163</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5"/>
      <c r="E399" s="52" t="s">
        <v>164</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5"/>
      <c r="E400" s="52" t="s">
        <v>165</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5"/>
      <c r="E401" s="52" t="s">
        <v>166</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5"/>
      <c r="E402" s="52" t="s">
        <v>263</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5"/>
      <c r="E403" s="52" t="s">
        <v>264</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5"/>
      <c r="E404" s="52" t="s">
        <v>234</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5"/>
      <c r="E405" s="52" t="s">
        <v>167</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5"/>
      <c r="E406" s="52" t="s">
        <v>235</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5"/>
      <c r="E407" s="52" t="s">
        <v>168</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5"/>
      <c r="E408" s="52" t="s">
        <v>265</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5"/>
      <c r="E409" s="52" t="s">
        <v>169</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5"/>
      <c r="E410" s="52" t="s">
        <v>868</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5"/>
      <c r="E411" s="52" t="s">
        <v>170</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5"/>
      <c r="E412" s="52" t="s">
        <v>267</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5"/>
      <c r="E413" s="52" t="s">
        <v>171</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5"/>
      <c r="E414" s="52" t="s">
        <v>172</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5"/>
      <c r="E415" s="52" t="s">
        <v>775</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5"/>
      <c r="E416" s="52" t="s">
        <v>709</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5"/>
      <c r="E417" s="52" t="s">
        <v>710</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5"/>
      <c r="E418" s="52" t="s">
        <v>527</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5"/>
      <c r="E419" s="52" t="s">
        <v>562</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5"/>
      <c r="E420" s="52" t="s">
        <v>517</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5"/>
      <c r="E421" s="52" t="s">
        <v>694</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5"/>
      <c r="E422" s="52" t="s">
        <v>1006</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5"/>
      <c r="E423" s="52" t="s">
        <v>827</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5"/>
      <c r="E424" s="52" t="s">
        <v>174</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5"/>
      <c r="E425" s="52" t="s">
        <v>851</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5"/>
      <c r="E426" s="52" t="s">
        <v>583</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5"/>
      <c r="E427" s="52" t="s">
        <v>215</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5"/>
      <c r="E428" s="52" t="s">
        <v>216</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5"/>
      <c r="E429" s="52" t="s">
        <v>862</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5"/>
      <c r="E430" s="52" t="s">
        <v>799</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5"/>
      <c r="E431" s="52" t="s">
        <v>850</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5"/>
      <c r="E432" s="52" t="s">
        <v>236</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5"/>
      <c r="E433" s="52" t="s">
        <v>219</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5"/>
      <c r="E434" s="52" t="s">
        <v>220</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5"/>
      <c r="E435" s="52" t="s">
        <v>268</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5"/>
      <c r="E436" s="52" t="s">
        <v>175</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5"/>
      <c r="E437" s="52" t="s">
        <v>176</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5"/>
      <c r="E438" s="52" t="s">
        <v>177</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5"/>
      <c r="E439" s="52" t="s">
        <v>269</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5"/>
      <c r="E440" s="52" t="s">
        <v>237</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5"/>
      <c r="E441" s="52" t="s">
        <v>178</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5"/>
      <c r="E442" s="52" t="s">
        <v>179</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5"/>
      <c r="E443" s="52" t="s">
        <v>270</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5"/>
      <c r="E444" s="52" t="s">
        <v>761</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5"/>
      <c r="E445" s="52" t="s">
        <v>238</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5"/>
      <c r="E446" s="52" t="s">
        <v>271</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5"/>
      <c r="E447" s="52" t="s">
        <v>181</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5"/>
      <c r="E448" s="52" t="s">
        <v>272</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5"/>
      <c r="E449" s="52" t="s">
        <v>273</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5"/>
      <c r="E450" s="52" t="s">
        <v>182</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5"/>
      <c r="E451" s="52" t="s">
        <v>274</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5"/>
      <c r="E452" s="52" t="s">
        <v>275</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5"/>
      <c r="E453" s="52" t="s">
        <v>773</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5"/>
      <c r="E454" s="52" t="s">
        <v>221</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5"/>
      <c r="E455" s="52" t="s">
        <v>1007</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5"/>
      <c r="E456" s="52" t="s">
        <v>223</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5"/>
      <c r="E457" s="52" t="s">
        <v>766</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5"/>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5"/>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5"/>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5"/>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5"/>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5"/>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5"/>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5"/>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5"/>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5"/>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5"/>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5"/>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5"/>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5"/>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5"/>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5"/>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5"/>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5"/>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5"/>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5"/>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5"/>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5"/>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5"/>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5"/>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5"/>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5"/>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5"/>
      <c r="U484" s="7"/>
      <c r="V484" s="8"/>
    </row>
    <row r="485" spans="4:27">
      <c r="D485" s="65"/>
    </row>
    <row r="486" spans="4:27">
      <c r="D486" s="65"/>
    </row>
    <row r="487" spans="4:27">
      <c r="D487" s="65"/>
    </row>
    <row r="488" spans="4:27">
      <c r="D488" s="65"/>
    </row>
    <row r="489" spans="4:27">
      <c r="D489" s="65"/>
    </row>
    <row r="490" spans="4:27">
      <c r="D490" s="65"/>
    </row>
    <row r="491" spans="4:27">
      <c r="D491" s="65"/>
    </row>
    <row r="492" spans="4:27">
      <c r="D492" s="65"/>
    </row>
    <row r="493" spans="4:27">
      <c r="D493" s="65"/>
    </row>
    <row r="494" spans="4:27">
      <c r="D494" s="65"/>
    </row>
    <row r="495" spans="4:27">
      <c r="D495" s="65"/>
    </row>
    <row r="496" spans="4:27">
      <c r="D496" s="65"/>
    </row>
    <row r="497" spans="4:4">
      <c r="D497" s="65"/>
    </row>
    <row r="498" spans="4:4">
      <c r="D498" s="65"/>
    </row>
    <row r="499" spans="4:4">
      <c r="D499" s="65"/>
    </row>
    <row r="500" spans="4:4">
      <c r="D500" s="65"/>
    </row>
    <row r="501" spans="4:4">
      <c r="D501" s="65"/>
    </row>
    <row r="502" spans="4:4">
      <c r="D502" s="65"/>
    </row>
    <row r="503" spans="4:4">
      <c r="D503" s="65"/>
    </row>
    <row r="504" spans="4:4">
      <c r="D504" s="65"/>
    </row>
    <row r="505" spans="4:4">
      <c r="D505" s="65"/>
    </row>
    <row r="506" spans="4:4">
      <c r="D506" s="65"/>
    </row>
    <row r="507" spans="4:4">
      <c r="D507" s="65"/>
    </row>
    <row r="508" spans="4:4">
      <c r="D508" s="65"/>
    </row>
    <row r="509" spans="4:4">
      <c r="D509" s="65"/>
    </row>
    <row r="510" spans="4:4">
      <c r="D510" s="65"/>
    </row>
    <row r="511" spans="4:4">
      <c r="D511" s="65"/>
    </row>
    <row r="512" spans="4:4">
      <c r="D512" s="65"/>
    </row>
    <row r="513" spans="4:4">
      <c r="D513" s="65"/>
    </row>
    <row r="514" spans="4:4">
      <c r="D514" s="65"/>
    </row>
    <row r="515" spans="4:4">
      <c r="D515" s="65"/>
    </row>
    <row r="516" spans="4:4">
      <c r="D516" s="65"/>
    </row>
    <row r="517" spans="4:4">
      <c r="D517" s="65"/>
    </row>
    <row r="518" spans="4:4">
      <c r="D518" s="65"/>
    </row>
    <row r="519" spans="4:4">
      <c r="D519" s="65"/>
    </row>
    <row r="520" spans="4:4">
      <c r="D520" s="65"/>
    </row>
    <row r="521" spans="4:4">
      <c r="D521" s="65"/>
    </row>
    <row r="522" spans="4:4">
      <c r="D522" s="65"/>
    </row>
    <row r="523" spans="4:4">
      <c r="D523" s="65"/>
    </row>
    <row r="524" spans="4:4">
      <c r="D524" s="65"/>
    </row>
    <row r="525" spans="4:4">
      <c r="D525" s="65"/>
    </row>
    <row r="526" spans="4:4">
      <c r="D526" s="65"/>
    </row>
    <row r="527" spans="4:4">
      <c r="D527" s="65"/>
    </row>
    <row r="528" spans="4:4">
      <c r="D528" s="65"/>
    </row>
    <row r="529" spans="4:4">
      <c r="D529" s="65"/>
    </row>
    <row r="530" spans="4:4">
      <c r="D530" s="65"/>
    </row>
    <row r="531" spans="4:4">
      <c r="D531" s="65"/>
    </row>
    <row r="532" spans="4:4">
      <c r="D532" s="65"/>
    </row>
    <row r="533" spans="4:4">
      <c r="D533" s="65"/>
    </row>
    <row r="534" spans="4:4">
      <c r="D534" s="65"/>
    </row>
    <row r="535" spans="4:4">
      <c r="D535" s="65"/>
    </row>
    <row r="536" spans="4:4">
      <c r="D536" s="65"/>
    </row>
    <row r="537" spans="4:4">
      <c r="D537" s="65"/>
    </row>
    <row r="538" spans="4:4">
      <c r="D538" s="65"/>
    </row>
    <row r="539" spans="4:4">
      <c r="D539" s="65"/>
    </row>
    <row r="540" spans="4:4">
      <c r="D540" s="65"/>
    </row>
    <row r="541" spans="4:4">
      <c r="D541" s="65"/>
    </row>
    <row r="542" spans="4:4">
      <c r="D542" s="65"/>
    </row>
    <row r="543" spans="4:4">
      <c r="D543" s="65"/>
    </row>
    <row r="544" spans="4:4">
      <c r="D544" s="65"/>
    </row>
    <row r="545" spans="4:4">
      <c r="D545" s="65"/>
    </row>
    <row r="546" spans="4:4">
      <c r="D546" s="65"/>
    </row>
    <row r="547" spans="4:4">
      <c r="D547" s="65"/>
    </row>
    <row r="548" spans="4:4">
      <c r="D548" s="65"/>
    </row>
    <row r="549" spans="4:4">
      <c r="D549" s="65"/>
    </row>
    <row r="550" spans="4:4">
      <c r="D550" s="65"/>
    </row>
    <row r="551" spans="4:4">
      <c r="D551" s="65"/>
    </row>
    <row r="552" spans="4:4">
      <c r="D552" s="65"/>
    </row>
    <row r="553" spans="4:4">
      <c r="D553" s="65"/>
    </row>
    <row r="554" spans="4:4">
      <c r="D554" s="65"/>
    </row>
    <row r="555" spans="4:4">
      <c r="D555" s="65"/>
    </row>
    <row r="556" spans="4:4">
      <c r="D556" s="65"/>
    </row>
    <row r="557" spans="4:4">
      <c r="D557" s="65"/>
    </row>
    <row r="558" spans="4:4">
      <c r="D558" s="65"/>
    </row>
    <row r="559" spans="4:4">
      <c r="D559" s="65"/>
    </row>
    <row r="560" spans="4:4">
      <c r="D560" s="65"/>
    </row>
    <row r="561" spans="4:4">
      <c r="D561" s="65"/>
    </row>
    <row r="562" spans="4:4">
      <c r="D562" s="65"/>
    </row>
    <row r="563" spans="4:4">
      <c r="D563" s="65"/>
    </row>
    <row r="564" spans="4:4">
      <c r="D564" s="65"/>
    </row>
    <row r="565" spans="4:4">
      <c r="D565" s="65"/>
    </row>
    <row r="566" spans="4:4">
      <c r="D566" s="65"/>
    </row>
    <row r="567" spans="4:4">
      <c r="D567" s="65"/>
    </row>
    <row r="568" spans="4:4">
      <c r="D568" s="65"/>
    </row>
    <row r="569" spans="4:4">
      <c r="D569" s="65"/>
    </row>
    <row r="570" spans="4:4">
      <c r="D570" s="65"/>
    </row>
    <row r="571" spans="4:4">
      <c r="D571" s="65"/>
    </row>
    <row r="572" spans="4:4">
      <c r="D572" s="65"/>
    </row>
    <row r="573" spans="4:4">
      <c r="D573" s="65"/>
    </row>
    <row r="574" spans="4:4">
      <c r="D574" s="65"/>
    </row>
    <row r="575" spans="4:4">
      <c r="D575" s="65"/>
    </row>
    <row r="576" spans="4:4">
      <c r="D576" s="65"/>
    </row>
    <row r="577" spans="4:4">
      <c r="D577" s="65"/>
    </row>
    <row r="578" spans="4:4">
      <c r="D578" s="65"/>
    </row>
    <row r="579" spans="4:4">
      <c r="D579" s="65"/>
    </row>
    <row r="580" spans="4:4">
      <c r="D580" s="65"/>
    </row>
    <row r="581" spans="4:4">
      <c r="D581" s="65"/>
    </row>
    <row r="582" spans="4:4">
      <c r="D582" s="65"/>
    </row>
    <row r="583" spans="4:4">
      <c r="D583" s="65"/>
    </row>
    <row r="584" spans="4:4">
      <c r="D584" s="65"/>
    </row>
    <row r="585" spans="4:4">
      <c r="D585" s="65"/>
    </row>
    <row r="586" spans="4:4">
      <c r="D586" s="65"/>
    </row>
    <row r="587" spans="4:4">
      <c r="D587" s="65"/>
    </row>
    <row r="588" spans="4:4">
      <c r="D588" s="65"/>
    </row>
    <row r="589" spans="4:4">
      <c r="D589" s="65"/>
    </row>
    <row r="590" spans="4:4">
      <c r="D590" s="65"/>
    </row>
    <row r="591" spans="4:4">
      <c r="D591" s="65"/>
    </row>
    <row r="592" spans="4:4">
      <c r="D592" s="65"/>
    </row>
    <row r="593" spans="4:4">
      <c r="D593" s="65"/>
    </row>
    <row r="594" spans="4:4">
      <c r="D594" s="65"/>
    </row>
    <row r="595" spans="4:4">
      <c r="D595" s="65"/>
    </row>
    <row r="596" spans="4:4">
      <c r="D596" s="65"/>
    </row>
    <row r="597" spans="4:4">
      <c r="D597" s="65"/>
    </row>
    <row r="598" spans="4:4">
      <c r="D598" s="65"/>
    </row>
    <row r="599" spans="4:4">
      <c r="D599" s="65"/>
    </row>
    <row r="600" spans="4:4">
      <c r="D600" s="65"/>
    </row>
    <row r="601" spans="4:4">
      <c r="D601" s="65"/>
    </row>
    <row r="602" spans="4:4">
      <c r="D602" s="65"/>
    </row>
    <row r="603" spans="4:4">
      <c r="D603" s="65"/>
    </row>
    <row r="604" spans="4:4">
      <c r="D604" s="65"/>
    </row>
    <row r="605" spans="4:4">
      <c r="D605" s="65"/>
    </row>
    <row r="606" spans="4:4">
      <c r="D606" s="65"/>
    </row>
    <row r="607" spans="4:4">
      <c r="D607" s="65"/>
    </row>
    <row r="608" spans="4:4">
      <c r="D608" s="65"/>
    </row>
    <row r="609" spans="4:4">
      <c r="D609" s="65"/>
    </row>
    <row r="610" spans="4:4">
      <c r="D610" s="65"/>
    </row>
    <row r="611" spans="4:4">
      <c r="D611" s="65"/>
    </row>
    <row r="612" spans="4:4">
      <c r="D612" s="65"/>
    </row>
    <row r="613" spans="4:4">
      <c r="D613" s="65"/>
    </row>
    <row r="614" spans="4:4">
      <c r="D614" s="65"/>
    </row>
    <row r="615" spans="4:4">
      <c r="D615" s="65"/>
    </row>
    <row r="616" spans="4:4">
      <c r="D616" s="65"/>
    </row>
    <row r="617" spans="4:4">
      <c r="D617" s="65"/>
    </row>
    <row r="618" spans="4:4">
      <c r="D618" s="65"/>
    </row>
    <row r="619" spans="4:4">
      <c r="D619" s="65"/>
    </row>
    <row r="620" spans="4:4">
      <c r="D620" s="65"/>
    </row>
    <row r="621" spans="4:4">
      <c r="D621" s="65"/>
    </row>
    <row r="622" spans="4:4">
      <c r="D622" s="65"/>
    </row>
    <row r="623" spans="4:4">
      <c r="D623" s="65"/>
    </row>
    <row r="624" spans="4:4">
      <c r="D624" s="65"/>
    </row>
    <row r="625" spans="4:4">
      <c r="D625" s="65"/>
    </row>
    <row r="626" spans="4:4">
      <c r="D626" s="65"/>
    </row>
    <row r="627" spans="4:4">
      <c r="D627" s="65"/>
    </row>
    <row r="628" spans="4:4">
      <c r="D628" s="65"/>
    </row>
    <row r="629" spans="4:4">
      <c r="D629" s="65"/>
    </row>
    <row r="630" spans="4:4">
      <c r="D630" s="65"/>
    </row>
    <row r="631" spans="4:4">
      <c r="D631" s="65"/>
    </row>
    <row r="632" spans="4:4">
      <c r="D632" s="65"/>
    </row>
    <row r="633" spans="4:4">
      <c r="D633" s="65"/>
    </row>
    <row r="634" spans="4:4">
      <c r="D634" s="65"/>
    </row>
    <row r="635" spans="4:4">
      <c r="D635" s="65"/>
    </row>
    <row r="636" spans="4:4">
      <c r="D636" s="65"/>
    </row>
    <row r="637" spans="4:4">
      <c r="D637" s="65"/>
    </row>
    <row r="638" spans="4:4">
      <c r="D638" s="65"/>
    </row>
    <row r="639" spans="4:4">
      <c r="D639" s="65"/>
    </row>
    <row r="640" spans="4:4">
      <c r="D640" s="65"/>
    </row>
    <row r="641" spans="4:4">
      <c r="D641" s="65"/>
    </row>
    <row r="642" spans="4:4">
      <c r="D642" s="65"/>
    </row>
    <row r="643" spans="4:4">
      <c r="D643" s="65"/>
    </row>
    <row r="644" spans="4:4">
      <c r="D644" s="65"/>
    </row>
    <row r="645" spans="4:4">
      <c r="D645" s="65"/>
    </row>
    <row r="646" spans="4:4">
      <c r="D646" s="65"/>
    </row>
    <row r="647" spans="4:4">
      <c r="D647" s="65"/>
    </row>
    <row r="648" spans="4:4">
      <c r="D648" s="65"/>
    </row>
    <row r="649" spans="4:4">
      <c r="D649" s="65"/>
    </row>
    <row r="650" spans="4:4">
      <c r="D650" s="65"/>
    </row>
    <row r="651" spans="4:4">
      <c r="D651" s="65"/>
    </row>
    <row r="652" spans="4:4">
      <c r="D652" s="65"/>
    </row>
    <row r="653" spans="4:4">
      <c r="D653" s="65"/>
    </row>
    <row r="654" spans="4:4">
      <c r="D654" s="65"/>
    </row>
    <row r="655" spans="4:4">
      <c r="D655" s="65"/>
    </row>
    <row r="656" spans="4:4">
      <c r="D656" s="65"/>
    </row>
    <row r="657" spans="4:4">
      <c r="D657" s="65"/>
    </row>
    <row r="658" spans="4:4">
      <c r="D658" s="65"/>
    </row>
    <row r="659" spans="4:4">
      <c r="D659" s="65"/>
    </row>
    <row r="660" spans="4:4">
      <c r="D660" s="65"/>
    </row>
    <row r="661" spans="4:4">
      <c r="D661" s="65"/>
    </row>
    <row r="662" spans="4:4">
      <c r="D662" s="65"/>
    </row>
    <row r="663" spans="4:4">
      <c r="D663" s="65"/>
    </row>
    <row r="664" spans="4:4">
      <c r="D664" s="65"/>
    </row>
    <row r="665" spans="4:4">
      <c r="D665" s="65"/>
    </row>
    <row r="666" spans="4:4">
      <c r="D666" s="65"/>
    </row>
    <row r="667" spans="4:4">
      <c r="D667" s="65"/>
    </row>
    <row r="668" spans="4:4">
      <c r="D668" s="65"/>
    </row>
    <row r="669" spans="4:4">
      <c r="D669" s="65"/>
    </row>
    <row r="670" spans="4:4">
      <c r="D670" s="65"/>
    </row>
    <row r="671" spans="4:4">
      <c r="D671" s="65"/>
    </row>
    <row r="672" spans="4:4">
      <c r="D672" s="65"/>
    </row>
    <row r="673" spans="4:4">
      <c r="D673" s="65"/>
    </row>
    <row r="674" spans="4:4">
      <c r="D674" s="65"/>
    </row>
    <row r="675" spans="4:4">
      <c r="D675" s="65"/>
    </row>
    <row r="676" spans="4:4">
      <c r="D676" s="65"/>
    </row>
    <row r="677" spans="4:4">
      <c r="D677" s="65"/>
    </row>
    <row r="678" spans="4:4">
      <c r="D678" s="65"/>
    </row>
    <row r="679" spans="4:4">
      <c r="D679" s="65"/>
    </row>
    <row r="680" spans="4:4">
      <c r="D680" s="65"/>
    </row>
    <row r="681" spans="4:4">
      <c r="D681" s="65"/>
    </row>
    <row r="682" spans="4:4">
      <c r="D682" s="65"/>
    </row>
    <row r="683" spans="4:4">
      <c r="D683" s="65"/>
    </row>
    <row r="684" spans="4:4">
      <c r="D684" s="65"/>
    </row>
    <row r="685" spans="4:4">
      <c r="D685" s="65"/>
    </row>
    <row r="686" spans="4:4">
      <c r="D686" s="65"/>
    </row>
    <row r="687" spans="4:4">
      <c r="D687" s="65"/>
    </row>
    <row r="688" spans="4:4">
      <c r="D688" s="65"/>
    </row>
    <row r="689" spans="4:4">
      <c r="D689" s="65"/>
    </row>
    <row r="690" spans="4:4">
      <c r="D690" s="65"/>
    </row>
    <row r="691" spans="4:4">
      <c r="D691" s="65"/>
    </row>
    <row r="692" spans="4:4">
      <c r="D692" s="65"/>
    </row>
    <row r="693" spans="4:4">
      <c r="D693" s="65"/>
    </row>
    <row r="694" spans="4:4">
      <c r="D694" s="65"/>
    </row>
    <row r="695" spans="4:4">
      <c r="D695" s="65"/>
    </row>
    <row r="696" spans="4:4">
      <c r="D696" s="65"/>
    </row>
    <row r="697" spans="4:4">
      <c r="D697" s="65"/>
    </row>
    <row r="698" spans="4:4">
      <c r="D698" s="65"/>
    </row>
    <row r="699" spans="4:4">
      <c r="D699" s="65"/>
    </row>
    <row r="700" spans="4:4">
      <c r="D700" s="65"/>
    </row>
    <row r="701" spans="4:4">
      <c r="D701" s="65"/>
    </row>
    <row r="702" spans="4:4">
      <c r="D702" s="65"/>
    </row>
    <row r="703" spans="4:4">
      <c r="D703" s="65"/>
    </row>
    <row r="704" spans="4:4">
      <c r="D704" s="65"/>
    </row>
    <row r="705" spans="4:4">
      <c r="D705" s="65"/>
    </row>
    <row r="706" spans="4:4">
      <c r="D706" s="65"/>
    </row>
    <row r="707" spans="4:4">
      <c r="D707" s="65"/>
    </row>
    <row r="708" spans="4:4">
      <c r="D708" s="65"/>
    </row>
    <row r="709" spans="4:4">
      <c r="D709" s="65"/>
    </row>
    <row r="710" spans="4:4">
      <c r="D710" s="65"/>
    </row>
    <row r="711" spans="4:4">
      <c r="D711" s="65"/>
    </row>
    <row r="712" spans="4:4">
      <c r="D712" s="65"/>
    </row>
    <row r="713" spans="4:4">
      <c r="D713" s="65"/>
    </row>
    <row r="714" spans="4:4">
      <c r="D714" s="65"/>
    </row>
    <row r="715" spans="4:4">
      <c r="D715" s="65"/>
    </row>
    <row r="716" spans="4:4">
      <c r="D716" s="65"/>
    </row>
    <row r="717" spans="4:4">
      <c r="D717" s="65"/>
    </row>
    <row r="718" spans="4:4">
      <c r="D718" s="65"/>
    </row>
    <row r="719" spans="4:4">
      <c r="D719" s="65"/>
    </row>
    <row r="720" spans="4:4">
      <c r="D720" s="65"/>
    </row>
    <row r="721" spans="4:4">
      <c r="D721" s="65"/>
    </row>
    <row r="722" spans="4:4">
      <c r="D722" s="65"/>
    </row>
    <row r="723" spans="4:4">
      <c r="D723" s="65"/>
    </row>
    <row r="724" spans="4:4">
      <c r="D724" s="65"/>
    </row>
    <row r="725" spans="4:4">
      <c r="D725" s="65"/>
    </row>
    <row r="726" spans="4:4">
      <c r="D726" s="65"/>
    </row>
    <row r="727" spans="4:4">
      <c r="D727" s="65"/>
    </row>
    <row r="728" spans="4:4">
      <c r="D728" s="65"/>
    </row>
    <row r="729" spans="4:4">
      <c r="D729" s="65"/>
    </row>
    <row r="730" spans="4:4">
      <c r="D730" s="65"/>
    </row>
    <row r="731" spans="4:4">
      <c r="D731" s="65"/>
    </row>
    <row r="732" spans="4:4">
      <c r="D732" s="65"/>
    </row>
    <row r="733" spans="4:4">
      <c r="D733" s="65"/>
    </row>
    <row r="734" spans="4:4">
      <c r="D734" s="65"/>
    </row>
    <row r="735" spans="4:4">
      <c r="D735" s="65"/>
    </row>
    <row r="736" spans="4:4">
      <c r="D736" s="65"/>
    </row>
    <row r="737" spans="4:4">
      <c r="D737" s="65"/>
    </row>
    <row r="738" spans="4:4">
      <c r="D738" s="65"/>
    </row>
    <row r="739" spans="4:4">
      <c r="D739" s="65"/>
    </row>
    <row r="740" spans="4:4">
      <c r="D740" s="65"/>
    </row>
    <row r="741" spans="4:4">
      <c r="D741" s="65"/>
    </row>
    <row r="742" spans="4:4">
      <c r="D742" s="65"/>
    </row>
    <row r="743" spans="4:4">
      <c r="D743" s="65"/>
    </row>
    <row r="744" spans="4:4">
      <c r="D744" s="65"/>
    </row>
    <row r="745" spans="4:4">
      <c r="D745" s="65"/>
    </row>
    <row r="746" spans="4:4">
      <c r="D746" s="65"/>
    </row>
    <row r="747" spans="4:4">
      <c r="D747" s="65"/>
    </row>
    <row r="748" spans="4:4">
      <c r="D748" s="65"/>
    </row>
    <row r="749" spans="4:4">
      <c r="D749" s="65"/>
    </row>
    <row r="750" spans="4:4">
      <c r="D750" s="65"/>
    </row>
    <row r="751" spans="4:4">
      <c r="D751" s="65"/>
    </row>
    <row r="752" spans="4:4">
      <c r="D752" s="65"/>
    </row>
    <row r="753" spans="4:4">
      <c r="D753" s="65"/>
    </row>
    <row r="754" spans="4:4">
      <c r="D754" s="65"/>
    </row>
    <row r="755" spans="4:4">
      <c r="D755" s="65"/>
    </row>
    <row r="756" spans="4:4">
      <c r="D756" s="65"/>
    </row>
    <row r="757" spans="4:4">
      <c r="D757" s="65"/>
    </row>
    <row r="758" spans="4:4">
      <c r="D758" s="65"/>
    </row>
    <row r="759" spans="4:4">
      <c r="D759" s="65"/>
    </row>
    <row r="760" spans="4:4">
      <c r="D760" s="65"/>
    </row>
    <row r="761" spans="4:4">
      <c r="D761" s="65"/>
    </row>
    <row r="762" spans="4:4">
      <c r="D762" s="65"/>
    </row>
    <row r="763" spans="4:4">
      <c r="D763" s="65"/>
    </row>
    <row r="764" spans="4:4">
      <c r="D764" s="65"/>
    </row>
    <row r="765" spans="4:4">
      <c r="D765" s="65"/>
    </row>
    <row r="766" spans="4:4">
      <c r="D766" s="65"/>
    </row>
    <row r="767" spans="4:4">
      <c r="D767" s="65"/>
    </row>
    <row r="768" spans="4:4">
      <c r="D768" s="65"/>
    </row>
    <row r="769" spans="4:4">
      <c r="D769" s="65"/>
    </row>
    <row r="770" spans="4:4">
      <c r="D770" s="65"/>
    </row>
    <row r="771" spans="4:4">
      <c r="D771" s="65"/>
    </row>
    <row r="772" spans="4:4">
      <c r="D772" s="65"/>
    </row>
    <row r="773" spans="4:4">
      <c r="D773" s="65"/>
    </row>
    <row r="774" spans="4:4">
      <c r="D774" s="65"/>
    </row>
    <row r="775" spans="4:4">
      <c r="D775" s="65"/>
    </row>
    <row r="776" spans="4:4">
      <c r="D776" s="65"/>
    </row>
    <row r="777" spans="4:4">
      <c r="D777" s="65"/>
    </row>
    <row r="778" spans="4:4">
      <c r="D778" s="65"/>
    </row>
    <row r="779" spans="4:4">
      <c r="D779" s="65"/>
    </row>
    <row r="780" spans="4:4">
      <c r="D780" s="65"/>
    </row>
    <row r="781" spans="4:4">
      <c r="D781" s="65"/>
    </row>
    <row r="782" spans="4:4">
      <c r="D782" s="65"/>
    </row>
    <row r="783" spans="4:4">
      <c r="D783" s="65"/>
    </row>
    <row r="784" spans="4:4">
      <c r="D784" s="65"/>
    </row>
    <row r="785" spans="4:4">
      <c r="D785" s="65"/>
    </row>
    <row r="786" spans="4:4">
      <c r="D786" s="65"/>
    </row>
    <row r="787" spans="4:4">
      <c r="D787" s="65"/>
    </row>
    <row r="788" spans="4:4">
      <c r="D788" s="65"/>
    </row>
    <row r="789" spans="4:4">
      <c r="D789" s="65"/>
    </row>
    <row r="790" spans="4:4">
      <c r="D790" s="65"/>
    </row>
    <row r="791" spans="4:4">
      <c r="D791" s="65"/>
    </row>
    <row r="792" spans="4:4">
      <c r="D792" s="65"/>
    </row>
    <row r="793" spans="4:4">
      <c r="D793" s="65"/>
    </row>
    <row r="794" spans="4:4">
      <c r="D794" s="65"/>
    </row>
    <row r="795" spans="4:4">
      <c r="D795" s="65"/>
    </row>
    <row r="796" spans="4:4">
      <c r="D796" s="65"/>
    </row>
    <row r="797" spans="4:4">
      <c r="D797" s="65"/>
    </row>
    <row r="798" spans="4:4">
      <c r="D798" s="65"/>
    </row>
    <row r="799" spans="4:4">
      <c r="D799" s="65"/>
    </row>
    <row r="800" spans="4:4">
      <c r="D800" s="65"/>
    </row>
    <row r="801" spans="4:4">
      <c r="D801" s="65"/>
    </row>
    <row r="802" spans="4:4">
      <c r="D802" s="65"/>
    </row>
    <row r="803" spans="4:4">
      <c r="D803" s="65"/>
    </row>
    <row r="804" spans="4:4">
      <c r="D804" s="65"/>
    </row>
    <row r="805" spans="4:4">
      <c r="D805" s="65"/>
    </row>
    <row r="806" spans="4:4">
      <c r="D806" s="65"/>
    </row>
    <row r="807" spans="4:4">
      <c r="D807" s="65"/>
    </row>
    <row r="808" spans="4:4">
      <c r="D808" s="65"/>
    </row>
    <row r="809" spans="4:4">
      <c r="D809" s="65"/>
    </row>
    <row r="810" spans="4:4">
      <c r="D810" s="65"/>
    </row>
    <row r="811" spans="4:4">
      <c r="D811" s="65"/>
    </row>
    <row r="812" spans="4:4">
      <c r="D812" s="65"/>
    </row>
    <row r="813" spans="4:4">
      <c r="D813" s="65"/>
    </row>
    <row r="814" spans="4:4">
      <c r="D814" s="65"/>
    </row>
    <row r="815" spans="4:4">
      <c r="D815" s="65"/>
    </row>
    <row r="816" spans="4:4">
      <c r="D816" s="65"/>
    </row>
    <row r="817" spans="4:4">
      <c r="D817" s="65"/>
    </row>
    <row r="818" spans="4:4">
      <c r="D818" s="65"/>
    </row>
    <row r="819" spans="4:4">
      <c r="D819" s="65"/>
    </row>
    <row r="820" spans="4:4">
      <c r="D820" s="65"/>
    </row>
    <row r="821" spans="4:4">
      <c r="D821" s="65"/>
    </row>
    <row r="822" spans="4:4">
      <c r="D822" s="65"/>
    </row>
    <row r="823" spans="4:4">
      <c r="D823" s="65"/>
    </row>
    <row r="824" spans="4:4">
      <c r="D824" s="65"/>
    </row>
    <row r="825" spans="4:4">
      <c r="D825" s="65"/>
    </row>
    <row r="826" spans="4:4">
      <c r="D826" s="65"/>
    </row>
    <row r="827" spans="4:4">
      <c r="D827" s="65"/>
    </row>
    <row r="828" spans="4:4">
      <c r="D828" s="65"/>
    </row>
    <row r="829" spans="4:4">
      <c r="D829" s="65"/>
    </row>
    <row r="830" spans="4:4">
      <c r="D830" s="65"/>
    </row>
    <row r="831" spans="4:4">
      <c r="D831" s="65"/>
    </row>
    <row r="832" spans="4:4">
      <c r="D832" s="65"/>
    </row>
    <row r="833" spans="4:4">
      <c r="D833" s="65"/>
    </row>
    <row r="834" spans="4:4">
      <c r="D834" s="65"/>
    </row>
    <row r="835" spans="4:4">
      <c r="D835" s="65"/>
    </row>
    <row r="836" spans="4:4">
      <c r="D836" s="65"/>
    </row>
    <row r="837" spans="4:4">
      <c r="D837" s="65"/>
    </row>
    <row r="838" spans="4:4">
      <c r="D838" s="65"/>
    </row>
    <row r="839" spans="4:4">
      <c r="D839" s="65"/>
    </row>
    <row r="840" spans="4:4">
      <c r="D840" s="65"/>
    </row>
    <row r="841" spans="4:4">
      <c r="D841" s="65"/>
    </row>
    <row r="842" spans="4:4">
      <c r="D842" s="65"/>
    </row>
    <row r="843" spans="4:4">
      <c r="D843" s="65"/>
    </row>
    <row r="844" spans="4:4">
      <c r="D844" s="65"/>
    </row>
    <row r="845" spans="4:4">
      <c r="D845" s="65"/>
    </row>
    <row r="846" spans="4:4">
      <c r="D846" s="65"/>
    </row>
    <row r="847" spans="4:4">
      <c r="D847" s="65"/>
    </row>
    <row r="848" spans="4:4">
      <c r="D848" s="65"/>
    </row>
    <row r="849" spans="4:4">
      <c r="D849" s="65"/>
    </row>
    <row r="850" spans="4:4">
      <c r="D850" s="65"/>
    </row>
    <row r="851" spans="4:4">
      <c r="D851" s="65"/>
    </row>
    <row r="852" spans="4:4">
      <c r="D852" s="65"/>
    </row>
    <row r="853" spans="4:4">
      <c r="D853" s="65"/>
    </row>
    <row r="854" spans="4:4">
      <c r="D854" s="65"/>
    </row>
    <row r="855" spans="4:4">
      <c r="D855" s="65"/>
    </row>
    <row r="856" spans="4:4">
      <c r="D856" s="65"/>
    </row>
    <row r="857" spans="4:4">
      <c r="D857" s="65"/>
    </row>
    <row r="858" spans="4:4">
      <c r="D858" s="65"/>
    </row>
    <row r="859" spans="4:4">
      <c r="D859" s="65"/>
    </row>
    <row r="860" spans="4:4">
      <c r="D860" s="65"/>
    </row>
    <row r="861" spans="4:4">
      <c r="D861" s="65"/>
    </row>
    <row r="862" spans="4:4">
      <c r="D862" s="65"/>
    </row>
    <row r="863" spans="4:4">
      <c r="D863" s="65"/>
    </row>
    <row r="864" spans="4:4">
      <c r="D864" s="65"/>
    </row>
    <row r="865" spans="4:4">
      <c r="D865" s="65"/>
    </row>
    <row r="866" spans="4:4">
      <c r="D866" s="65"/>
    </row>
    <row r="867" spans="4:4">
      <c r="D867" s="65"/>
    </row>
    <row r="868" spans="4:4">
      <c r="D868" s="65"/>
    </row>
    <row r="869" spans="4:4">
      <c r="D869" s="65"/>
    </row>
    <row r="870" spans="4:4">
      <c r="D870" s="65"/>
    </row>
    <row r="871" spans="4:4">
      <c r="D871" s="65"/>
    </row>
    <row r="872" spans="4:4">
      <c r="D872" s="65"/>
    </row>
    <row r="873" spans="4:4">
      <c r="D873" s="65"/>
    </row>
    <row r="874" spans="4:4">
      <c r="D874" s="65"/>
    </row>
    <row r="875" spans="4:4">
      <c r="D875" s="65"/>
    </row>
    <row r="876" spans="4:4">
      <c r="D876" s="65"/>
    </row>
    <row r="877" spans="4:4">
      <c r="D877" s="65"/>
    </row>
    <row r="878" spans="4:4">
      <c r="D878" s="65"/>
    </row>
    <row r="879" spans="4:4">
      <c r="D879" s="65"/>
    </row>
    <row r="880" spans="4:4">
      <c r="D880" s="65"/>
    </row>
    <row r="881" spans="4:4">
      <c r="D881" s="65"/>
    </row>
    <row r="882" spans="4:4">
      <c r="D882" s="65"/>
    </row>
    <row r="883" spans="4:4">
      <c r="D883" s="65"/>
    </row>
    <row r="884" spans="4:4">
      <c r="D884" s="65"/>
    </row>
    <row r="885" spans="4:4">
      <c r="D885" s="65"/>
    </row>
    <row r="886" spans="4:4">
      <c r="D886" s="65"/>
    </row>
    <row r="887" spans="4:4">
      <c r="D887" s="65"/>
    </row>
    <row r="888" spans="4:4">
      <c r="D888" s="65"/>
    </row>
    <row r="889" spans="4:4">
      <c r="D889" s="65"/>
    </row>
    <row r="890" spans="4:4">
      <c r="D890" s="65"/>
    </row>
    <row r="891" spans="4:4">
      <c r="D891" s="65"/>
    </row>
    <row r="892" spans="4:4">
      <c r="D892" s="65"/>
    </row>
    <row r="893" spans="4:4">
      <c r="D893" s="65"/>
    </row>
    <row r="894" spans="4:4">
      <c r="D894" s="65"/>
    </row>
    <row r="895" spans="4:4">
      <c r="D895" s="65"/>
    </row>
    <row r="896" spans="4:4">
      <c r="D896" s="65"/>
    </row>
    <row r="897" spans="4:4">
      <c r="D897" s="65"/>
    </row>
    <row r="898" spans="4:4">
      <c r="D898" s="65"/>
    </row>
    <row r="899" spans="4:4">
      <c r="D899" s="65"/>
    </row>
    <row r="900" spans="4:4">
      <c r="D900" s="65"/>
    </row>
    <row r="901" spans="4:4">
      <c r="D901" s="65"/>
    </row>
    <row r="902" spans="4:4">
      <c r="D902" s="65"/>
    </row>
    <row r="903" spans="4:4">
      <c r="D903" s="65"/>
    </row>
    <row r="904" spans="4:4">
      <c r="D904" s="65"/>
    </row>
    <row r="905" spans="4:4">
      <c r="D905" s="65"/>
    </row>
    <row r="906" spans="4:4">
      <c r="D906" s="65"/>
    </row>
    <row r="907" spans="4:4">
      <c r="D907" s="65"/>
    </row>
    <row r="908" spans="4:4">
      <c r="D908" s="65"/>
    </row>
    <row r="909" spans="4:4">
      <c r="D909" s="65"/>
    </row>
    <row r="910" spans="4:4">
      <c r="D910" s="65"/>
    </row>
    <row r="911" spans="4:4">
      <c r="D911" s="65"/>
    </row>
    <row r="912" spans="4:4">
      <c r="D912" s="65"/>
    </row>
    <row r="913" spans="4:4">
      <c r="D913" s="65"/>
    </row>
    <row r="914" spans="4:4">
      <c r="D914" s="65"/>
    </row>
    <row r="915" spans="4:4">
      <c r="D915" s="65"/>
    </row>
    <row r="916" spans="4:4">
      <c r="D916" s="65"/>
    </row>
    <row r="917" spans="4:4">
      <c r="D917" s="65"/>
    </row>
    <row r="918" spans="4:4">
      <c r="D918" s="65"/>
    </row>
    <row r="919" spans="4:4">
      <c r="D919" s="65"/>
    </row>
    <row r="920" spans="4:4">
      <c r="D920" s="65"/>
    </row>
    <row r="921" spans="4:4">
      <c r="D921" s="65"/>
    </row>
    <row r="922" spans="4:4">
      <c r="D922" s="65"/>
    </row>
    <row r="923" spans="4:4">
      <c r="D923" s="65"/>
    </row>
    <row r="924" spans="4:4">
      <c r="D924" s="65"/>
    </row>
    <row r="925" spans="4:4">
      <c r="D925" s="65"/>
    </row>
    <row r="926" spans="4:4">
      <c r="D926" s="65"/>
    </row>
    <row r="927" spans="4:4">
      <c r="D927" s="65"/>
    </row>
    <row r="928" spans="4:4">
      <c r="D928" s="65"/>
    </row>
    <row r="929" spans="4:4">
      <c r="D929" s="65"/>
    </row>
    <row r="930" spans="4:4">
      <c r="D930" s="65"/>
    </row>
    <row r="931" spans="4:4">
      <c r="D931" s="65"/>
    </row>
    <row r="932" spans="4:4">
      <c r="D932" s="65"/>
    </row>
    <row r="933" spans="4:4">
      <c r="D933" s="65"/>
    </row>
    <row r="934" spans="4:4">
      <c r="D934" s="65"/>
    </row>
    <row r="935" spans="4:4">
      <c r="D935" s="65"/>
    </row>
    <row r="936" spans="4:4">
      <c r="D936" s="65"/>
    </row>
    <row r="937" spans="4:4">
      <c r="D937" s="65"/>
    </row>
    <row r="938" spans="4:4">
      <c r="D938" s="65"/>
    </row>
    <row r="939" spans="4:4">
      <c r="D939" s="65"/>
    </row>
    <row r="940" spans="4:4">
      <c r="D940" s="65"/>
    </row>
    <row r="941" spans="4:4">
      <c r="D941" s="65"/>
    </row>
    <row r="942" spans="4:4">
      <c r="D942" s="65"/>
    </row>
    <row r="943" spans="4:4">
      <c r="D943" s="65"/>
    </row>
    <row r="944" spans="4:4">
      <c r="D944" s="65"/>
    </row>
    <row r="945" spans="4:4">
      <c r="D945" s="65"/>
    </row>
    <row r="946" spans="4:4">
      <c r="D946" s="65"/>
    </row>
    <row r="947" spans="4:4">
      <c r="D947" s="65"/>
    </row>
    <row r="948" spans="4:4">
      <c r="D948" s="65"/>
    </row>
    <row r="949" spans="4:4">
      <c r="D949" s="65"/>
    </row>
    <row r="950" spans="4:4">
      <c r="D950" s="65"/>
    </row>
    <row r="951" spans="4:4">
      <c r="D951" s="65"/>
    </row>
    <row r="952" spans="4:4">
      <c r="D952" s="65"/>
    </row>
    <row r="953" spans="4:4">
      <c r="D953" s="65"/>
    </row>
    <row r="954" spans="4:4">
      <c r="D954" s="65"/>
    </row>
    <row r="955" spans="4:4">
      <c r="D955" s="65"/>
    </row>
    <row r="956" spans="4:4">
      <c r="D956" s="65"/>
    </row>
    <row r="957" spans="4:4">
      <c r="D957" s="65"/>
    </row>
    <row r="958" spans="4:4">
      <c r="D958" s="65"/>
    </row>
    <row r="959" spans="4:4">
      <c r="D959" s="65"/>
    </row>
    <row r="960" spans="4:4">
      <c r="D960" s="65"/>
    </row>
    <row r="961" spans="4:4">
      <c r="D961" s="65"/>
    </row>
    <row r="962" spans="4:4">
      <c r="D962" s="65"/>
    </row>
    <row r="963" spans="4:4">
      <c r="D963" s="65"/>
    </row>
    <row r="964" spans="4:4">
      <c r="D964" s="65"/>
    </row>
    <row r="965" spans="4:4">
      <c r="D965" s="65"/>
    </row>
    <row r="966" spans="4:4">
      <c r="D966" s="65"/>
    </row>
    <row r="967" spans="4:4">
      <c r="D967" s="65"/>
    </row>
    <row r="968" spans="4:4">
      <c r="D968" s="65"/>
    </row>
    <row r="969" spans="4:4">
      <c r="D969" s="65"/>
    </row>
    <row r="970" spans="4:4">
      <c r="D970" s="65"/>
    </row>
    <row r="971" spans="4:4">
      <c r="D971" s="65"/>
    </row>
    <row r="972" spans="4:4">
      <c r="D972" s="65"/>
    </row>
    <row r="973" spans="4:4">
      <c r="D973" s="65"/>
    </row>
    <row r="974" spans="4:4">
      <c r="D974" s="65"/>
    </row>
    <row r="975" spans="4:4">
      <c r="D975" s="65"/>
    </row>
    <row r="976" spans="4:4">
      <c r="D976" s="65"/>
    </row>
    <row r="977" spans="4:4">
      <c r="D977" s="65"/>
    </row>
    <row r="978" spans="4:4">
      <c r="D978" s="65"/>
    </row>
    <row r="979" spans="4:4">
      <c r="D979" s="65"/>
    </row>
    <row r="980" spans="4:4">
      <c r="D980" s="65"/>
    </row>
    <row r="981" spans="4:4">
      <c r="D981" s="65"/>
    </row>
    <row r="982" spans="4:4">
      <c r="D982" s="65"/>
    </row>
    <row r="983" spans="4:4">
      <c r="D983" s="65"/>
    </row>
    <row r="984" spans="4:4">
      <c r="D984" s="65"/>
    </row>
    <row r="985" spans="4:4">
      <c r="D985" s="65"/>
    </row>
    <row r="986" spans="4:4">
      <c r="D986" s="65"/>
    </row>
    <row r="987" spans="4:4">
      <c r="D987" s="65"/>
    </row>
    <row r="988" spans="4:4">
      <c r="D988" s="65"/>
    </row>
    <row r="989" spans="4:4">
      <c r="D989" s="65"/>
    </row>
    <row r="990" spans="4:4">
      <c r="D990" s="65"/>
    </row>
    <row r="991" spans="4:4">
      <c r="D991" s="65"/>
    </row>
    <row r="992" spans="4:4">
      <c r="D992" s="65"/>
    </row>
    <row r="993" spans="4:4">
      <c r="D993" s="65"/>
    </row>
    <row r="994" spans="4:4">
      <c r="D994" s="65"/>
    </row>
    <row r="995" spans="4:4">
      <c r="D995" s="65"/>
    </row>
    <row r="996" spans="4:4">
      <c r="D996" s="65"/>
    </row>
    <row r="997" spans="4:4">
      <c r="D997" s="65"/>
    </row>
    <row r="998" spans="4:4">
      <c r="D998" s="65"/>
    </row>
    <row r="999" spans="4:4">
      <c r="D999" s="65"/>
    </row>
    <row r="1000" spans="4:4">
      <c r="D1000" s="65"/>
    </row>
    <row r="1001" spans="4:4">
      <c r="D1001" s="65"/>
    </row>
    <row r="1002" spans="4:4">
      <c r="D1002" s="65"/>
    </row>
    <row r="1003" spans="4:4">
      <c r="D1003" s="65"/>
    </row>
    <row r="1004" spans="4:4">
      <c r="D1004" s="65"/>
    </row>
    <row r="1005" spans="4:4">
      <c r="D1005" s="65"/>
    </row>
    <row r="1006" spans="4:4">
      <c r="D1006" s="65"/>
    </row>
    <row r="1007" spans="4:4">
      <c r="D1007" s="65"/>
    </row>
    <row r="1008" spans="4:4">
      <c r="D1008" s="65"/>
    </row>
    <row r="1009" spans="4:4">
      <c r="D1009" s="65"/>
    </row>
    <row r="1010" spans="4:4">
      <c r="D1010" s="65"/>
    </row>
    <row r="1011" spans="4:4">
      <c r="D1011" s="65"/>
    </row>
    <row r="1012" spans="4:4">
      <c r="D1012" s="65"/>
    </row>
    <row r="1013" spans="4:4">
      <c r="D1013" s="65"/>
    </row>
    <row r="1014" spans="4:4">
      <c r="D1014" s="65"/>
    </row>
    <row r="1015" spans="4:4">
      <c r="D1015" s="65"/>
    </row>
    <row r="1016" spans="4:4">
      <c r="D1016" s="65"/>
    </row>
    <row r="1017" spans="4:4">
      <c r="D1017" s="65"/>
    </row>
    <row r="1018" spans="4:4">
      <c r="D1018" s="65"/>
    </row>
    <row r="1019" spans="4:4">
      <c r="D1019" s="65"/>
    </row>
    <row r="1020" spans="4:4">
      <c r="D1020" s="65"/>
    </row>
    <row r="1021" spans="4:4">
      <c r="D1021" s="65"/>
    </row>
    <row r="1022" spans="4:4">
      <c r="D1022" s="65"/>
    </row>
    <row r="1023" spans="4:4">
      <c r="D1023" s="65"/>
    </row>
    <row r="1024" spans="4:4">
      <c r="D1024" s="65"/>
    </row>
    <row r="1025" spans="4:4">
      <c r="D1025" s="65"/>
    </row>
    <row r="1026" spans="4:4">
      <c r="D1026" s="65"/>
    </row>
    <row r="1027" spans="4:4">
      <c r="D1027" s="65"/>
    </row>
    <row r="1028" spans="4:4">
      <c r="D1028" s="65"/>
    </row>
    <row r="1029" spans="4:4">
      <c r="D1029" s="65"/>
    </row>
    <row r="1030" spans="4:4">
      <c r="D1030" s="65"/>
    </row>
    <row r="1031" spans="4:4">
      <c r="D1031" s="65"/>
    </row>
    <row r="1032" spans="4:4">
      <c r="D1032" s="65"/>
    </row>
    <row r="1033" spans="4:4">
      <c r="D1033" s="65"/>
    </row>
    <row r="1034" spans="4:4">
      <c r="D1034" s="65"/>
    </row>
    <row r="1035" spans="4:4">
      <c r="D1035" s="65"/>
    </row>
    <row r="1036" spans="4:4">
      <c r="D1036" s="65"/>
    </row>
    <row r="1037" spans="4:4">
      <c r="D1037" s="65"/>
    </row>
    <row r="1038" spans="4:4">
      <c r="D1038" s="65"/>
    </row>
    <row r="1039" spans="4:4">
      <c r="D1039" s="65"/>
    </row>
    <row r="1040" spans="4:4">
      <c r="D1040" s="65"/>
    </row>
    <row r="1041" spans="4:4">
      <c r="D1041" s="65"/>
    </row>
    <row r="1042" spans="4:4">
      <c r="D1042" s="65"/>
    </row>
    <row r="1043" spans="4:4">
      <c r="D1043" s="65"/>
    </row>
    <row r="1044" spans="4:4">
      <c r="D1044" s="65"/>
    </row>
    <row r="1045" spans="4:4">
      <c r="D1045" s="65"/>
    </row>
    <row r="1046" spans="4:4">
      <c r="D1046" s="65"/>
    </row>
    <row r="1047" spans="4:4">
      <c r="D1047" s="65"/>
    </row>
    <row r="1048" spans="4:4">
      <c r="D1048" s="65"/>
    </row>
    <row r="1049" spans="4:4">
      <c r="D1049" s="65"/>
    </row>
    <row r="1050" spans="4:4">
      <c r="D1050" s="65"/>
    </row>
    <row r="1051" spans="4:4">
      <c r="D1051" s="65"/>
    </row>
    <row r="1052" spans="4:4">
      <c r="D1052" s="65"/>
    </row>
    <row r="1053" spans="4:4">
      <c r="D1053" s="65"/>
    </row>
    <row r="1054" spans="4:4">
      <c r="D1054" s="65"/>
    </row>
    <row r="1055" spans="4:4">
      <c r="D1055" s="65"/>
    </row>
    <row r="1056" spans="4:4">
      <c r="D1056" s="65"/>
    </row>
    <row r="1057" spans="4:4">
      <c r="D1057" s="65"/>
    </row>
    <row r="1058" spans="4:4">
      <c r="D1058" s="65"/>
    </row>
    <row r="1059" spans="4:4">
      <c r="D1059" s="65"/>
    </row>
    <row r="1060" spans="4:4">
      <c r="D1060" s="65"/>
    </row>
    <row r="1061" spans="4:4">
      <c r="D1061" s="65"/>
    </row>
    <row r="1062" spans="4:4">
      <c r="D1062" s="65"/>
    </row>
    <row r="1063" spans="4:4">
      <c r="D1063" s="65"/>
    </row>
    <row r="1064" spans="4:4">
      <c r="D1064" s="65"/>
    </row>
    <row r="1065" spans="4:4">
      <c r="D1065" s="65"/>
    </row>
    <row r="1066" spans="4:4">
      <c r="D1066" s="65"/>
    </row>
    <row r="1067" spans="4:4">
      <c r="D1067" s="65"/>
    </row>
    <row r="1068" spans="4:4">
      <c r="D1068" s="65"/>
    </row>
    <row r="1069" spans="4:4">
      <c r="D1069" s="65"/>
    </row>
    <row r="1070" spans="4:4">
      <c r="D1070" s="65"/>
    </row>
    <row r="1071" spans="4:4">
      <c r="D1071" s="65"/>
    </row>
    <row r="1072" spans="4:4">
      <c r="D1072" s="65"/>
    </row>
    <row r="1073" spans="4:4">
      <c r="D1073" s="65"/>
    </row>
    <row r="1074" spans="4:4">
      <c r="D1074" s="65"/>
    </row>
    <row r="1075" spans="4:4">
      <c r="D1075" s="65"/>
    </row>
    <row r="1076" spans="4:4">
      <c r="D1076" s="65"/>
    </row>
    <row r="1077" spans="4:4">
      <c r="D1077" s="65"/>
    </row>
    <row r="1078" spans="4:4">
      <c r="D1078" s="65"/>
    </row>
    <row r="1079" spans="4:4">
      <c r="D1079" s="65"/>
    </row>
    <row r="1080" spans="4:4">
      <c r="D1080" s="65"/>
    </row>
    <row r="1081" spans="4:4">
      <c r="D1081" s="65"/>
    </row>
    <row r="1082" spans="4:4">
      <c r="D1082" s="65"/>
    </row>
    <row r="1083" spans="4:4">
      <c r="D1083" s="65"/>
    </row>
    <row r="1084" spans="4:4">
      <c r="D1084" s="65"/>
    </row>
    <row r="1085" spans="4:4">
      <c r="D1085" s="65"/>
    </row>
    <row r="1086" spans="4:4">
      <c r="D1086" s="65"/>
    </row>
    <row r="1087" spans="4:4">
      <c r="D1087" s="65"/>
    </row>
    <row r="1088" spans="4:4">
      <c r="D1088" s="65"/>
    </row>
    <row r="1089" spans="4:4">
      <c r="D1089" s="65"/>
    </row>
    <row r="1090" spans="4:4">
      <c r="D1090" s="65"/>
    </row>
    <row r="1091" spans="4:4">
      <c r="D1091" s="65"/>
    </row>
    <row r="1092" spans="4:4">
      <c r="D1092" s="65"/>
    </row>
    <row r="1093" spans="4:4">
      <c r="D1093" s="65"/>
    </row>
    <row r="1094" spans="4:4">
      <c r="D1094" s="65"/>
    </row>
    <row r="1095" spans="4:4">
      <c r="D1095" s="65"/>
    </row>
    <row r="1096" spans="4:4">
      <c r="D1096" s="65"/>
    </row>
    <row r="1097" spans="4:4">
      <c r="D1097" s="65"/>
    </row>
    <row r="1098" spans="4:4">
      <c r="D1098" s="65"/>
    </row>
    <row r="1099" spans="4:4">
      <c r="D1099" s="65"/>
    </row>
    <row r="1100" spans="4:4">
      <c r="D1100" s="65"/>
    </row>
    <row r="1101" spans="4:4">
      <c r="D1101" s="65"/>
    </row>
    <row r="1102" spans="4:4">
      <c r="D1102" s="65"/>
    </row>
    <row r="1103" spans="4:4">
      <c r="D1103" s="65"/>
    </row>
    <row r="1104" spans="4:4">
      <c r="D1104" s="65"/>
    </row>
    <row r="1105" spans="4:4">
      <c r="D1105" s="65"/>
    </row>
    <row r="1106" spans="4:4">
      <c r="D1106" s="65"/>
    </row>
    <row r="1107" spans="4:4">
      <c r="D1107" s="65"/>
    </row>
    <row r="1108" spans="4:4">
      <c r="D1108" s="65"/>
    </row>
    <row r="1109" spans="4:4">
      <c r="D1109" s="65"/>
    </row>
    <row r="1110" spans="4:4">
      <c r="D1110" s="65"/>
    </row>
    <row r="1111" spans="4:4">
      <c r="D1111" s="65"/>
    </row>
    <row r="1112" spans="4:4">
      <c r="D1112" s="65"/>
    </row>
    <row r="1113" spans="4:4">
      <c r="D1113" s="65"/>
    </row>
    <row r="1114" spans="4:4">
      <c r="D1114" s="65"/>
    </row>
    <row r="1115" spans="4:4">
      <c r="D1115" s="65"/>
    </row>
    <row r="1116" spans="4:4">
      <c r="D1116" s="65"/>
    </row>
    <row r="1117" spans="4:4">
      <c r="D1117" s="65"/>
    </row>
    <row r="1118" spans="4:4">
      <c r="D1118" s="65"/>
    </row>
    <row r="1119" spans="4:4">
      <c r="D1119" s="65"/>
    </row>
    <row r="1120" spans="4:4">
      <c r="D1120" s="65"/>
    </row>
    <row r="1121" spans="4:4">
      <c r="D1121" s="65"/>
    </row>
    <row r="1122" spans="4:4">
      <c r="D1122" s="65"/>
    </row>
    <row r="1123" spans="4:4">
      <c r="D1123" s="65"/>
    </row>
    <row r="1124" spans="4:4">
      <c r="D1124" s="65"/>
    </row>
    <row r="1125" spans="4:4">
      <c r="D1125" s="65"/>
    </row>
    <row r="1126" spans="4:4">
      <c r="D1126" s="65"/>
    </row>
    <row r="1127" spans="4:4">
      <c r="D1127" s="65"/>
    </row>
    <row r="1128" spans="4:4">
      <c r="D1128" s="65"/>
    </row>
    <row r="1129" spans="4:4">
      <c r="D1129" s="65"/>
    </row>
    <row r="1130" spans="4:4">
      <c r="D1130" s="65"/>
    </row>
    <row r="1131" spans="4:4">
      <c r="D1131" s="65"/>
    </row>
    <row r="1132" spans="4:4">
      <c r="D1132" s="65"/>
    </row>
    <row r="1133" spans="4:4">
      <c r="D1133" s="65"/>
    </row>
    <row r="1134" spans="4:4">
      <c r="D1134" s="65"/>
    </row>
    <row r="1135" spans="4:4">
      <c r="D1135" s="65"/>
    </row>
    <row r="1136" spans="4:4">
      <c r="D1136" s="65"/>
    </row>
    <row r="1137" spans="4:4">
      <c r="D1137" s="65"/>
    </row>
    <row r="1138" spans="4:4">
      <c r="D1138" s="65"/>
    </row>
    <row r="1139" spans="4:4">
      <c r="D1139" s="65"/>
    </row>
    <row r="1140" spans="4:4">
      <c r="D1140" s="65"/>
    </row>
    <row r="1141" spans="4:4">
      <c r="D1141" s="65"/>
    </row>
    <row r="1142" spans="4:4">
      <c r="D1142" s="65"/>
    </row>
    <row r="1143" spans="4:4">
      <c r="D1143" s="65"/>
    </row>
    <row r="1144" spans="4:4">
      <c r="D1144" s="65"/>
    </row>
    <row r="1145" spans="4:4">
      <c r="D1145" s="65"/>
    </row>
    <row r="1146" spans="4:4">
      <c r="D1146" s="65"/>
    </row>
    <row r="1147" spans="4:4">
      <c r="D1147" s="65"/>
    </row>
    <row r="1148" spans="4:4">
      <c r="D1148" s="65"/>
    </row>
    <row r="1149" spans="4:4">
      <c r="D1149" s="65"/>
    </row>
    <row r="1150" spans="4:4">
      <c r="D1150" s="65"/>
    </row>
    <row r="1151" spans="4:4">
      <c r="D1151" s="65"/>
    </row>
    <row r="1152" spans="4:4">
      <c r="D1152" s="65"/>
    </row>
    <row r="1153" spans="4:4">
      <c r="D1153" s="65"/>
    </row>
    <row r="1154" spans="4:4">
      <c r="D1154" s="65"/>
    </row>
    <row r="1155" spans="4:4">
      <c r="D1155" s="65"/>
    </row>
    <row r="1156" spans="4:4">
      <c r="D1156" s="65"/>
    </row>
    <row r="1157" spans="4:4">
      <c r="D1157" s="65"/>
    </row>
    <row r="1158" spans="4:4">
      <c r="D1158" s="65"/>
    </row>
    <row r="1159" spans="4:4">
      <c r="D1159" s="65"/>
    </row>
    <row r="1160" spans="4:4">
      <c r="D1160" s="65"/>
    </row>
    <row r="1161" spans="4:4">
      <c r="D1161" s="65"/>
    </row>
    <row r="1162" spans="4:4">
      <c r="D1162" s="65"/>
    </row>
    <row r="1163" spans="4:4">
      <c r="D1163" s="65"/>
    </row>
    <row r="1164" spans="4:4">
      <c r="D1164" s="65"/>
    </row>
    <row r="1165" spans="4:4">
      <c r="D1165" s="65"/>
    </row>
    <row r="1166" spans="4:4">
      <c r="D1166" s="65"/>
    </row>
    <row r="1167" spans="4:4">
      <c r="D1167" s="65"/>
    </row>
    <row r="1168" spans="4:4">
      <c r="D1168" s="65"/>
    </row>
    <row r="1169" spans="4:4">
      <c r="D1169" s="65"/>
    </row>
    <row r="1170" spans="4:4">
      <c r="D1170" s="65"/>
    </row>
    <row r="1171" spans="4:4">
      <c r="D1171" s="65"/>
    </row>
    <row r="1172" spans="4:4">
      <c r="D1172" s="65"/>
    </row>
    <row r="1173" spans="4:4">
      <c r="D1173" s="65"/>
    </row>
    <row r="1174" spans="4:4">
      <c r="D1174" s="65"/>
    </row>
    <row r="1175" spans="4:4">
      <c r="D1175" s="65"/>
    </row>
    <row r="1176" spans="4:4">
      <c r="D1176" s="65"/>
    </row>
    <row r="1177" spans="4:4">
      <c r="D1177" s="65"/>
    </row>
    <row r="1178" spans="4:4">
      <c r="D1178" s="65"/>
    </row>
    <row r="1179" spans="4:4">
      <c r="D1179" s="65"/>
    </row>
    <row r="1180" spans="4:4">
      <c r="D1180" s="65"/>
    </row>
    <row r="1181" spans="4:4">
      <c r="D1181" s="65"/>
    </row>
    <row r="1182" spans="4:4">
      <c r="D1182" s="65"/>
    </row>
    <row r="1183" spans="4:4">
      <c r="D1183" s="65"/>
    </row>
    <row r="1184" spans="4:4">
      <c r="D1184" s="65"/>
    </row>
    <row r="1185" spans="4:4">
      <c r="D1185" s="65"/>
    </row>
    <row r="1186" spans="4:4">
      <c r="D1186" s="65"/>
    </row>
    <row r="1187" spans="4:4">
      <c r="D1187" s="65"/>
    </row>
    <row r="1188" spans="4:4">
      <c r="D1188" s="65"/>
    </row>
    <row r="1189" spans="4:4">
      <c r="D1189" s="65"/>
    </row>
    <row r="1190" spans="4:4">
      <c r="D1190" s="65"/>
    </row>
    <row r="1191" spans="4:4">
      <c r="D1191" s="65"/>
    </row>
    <row r="1192" spans="4:4">
      <c r="D1192" s="65"/>
    </row>
    <row r="1193" spans="4:4">
      <c r="D1193" s="65"/>
    </row>
    <row r="1194" spans="4:4">
      <c r="D1194" s="65"/>
    </row>
    <row r="1195" spans="4:4">
      <c r="D1195" s="65"/>
    </row>
    <row r="1196" spans="4:4">
      <c r="D1196" s="65"/>
    </row>
    <row r="1197" spans="4:4">
      <c r="D1197" s="65"/>
    </row>
    <row r="1198" spans="4:4">
      <c r="D1198" s="65"/>
    </row>
    <row r="1199" spans="4:4">
      <c r="D1199" s="65"/>
    </row>
    <row r="1200" spans="4:4">
      <c r="D1200" s="65"/>
    </row>
    <row r="1201" spans="4:4">
      <c r="D1201" s="65"/>
    </row>
    <row r="1202" spans="4:4">
      <c r="D1202" s="65"/>
    </row>
    <row r="1203" spans="4:4">
      <c r="D1203" s="65"/>
    </row>
    <row r="1204" spans="4:4">
      <c r="D1204" s="65"/>
    </row>
    <row r="1205" spans="4:4">
      <c r="D1205" s="65"/>
    </row>
    <row r="1206" spans="4:4">
      <c r="D1206" s="65"/>
    </row>
    <row r="1207" spans="4:4">
      <c r="D1207" s="65"/>
    </row>
    <row r="1208" spans="4:4">
      <c r="D1208" s="65"/>
    </row>
    <row r="1209" spans="4:4">
      <c r="D1209" s="65"/>
    </row>
    <row r="1210" spans="4:4">
      <c r="D1210" s="65"/>
    </row>
    <row r="1211" spans="4:4">
      <c r="D1211" s="65"/>
    </row>
    <row r="1212" spans="4:4">
      <c r="D1212" s="65"/>
    </row>
    <row r="1213" spans="4:4">
      <c r="D1213" s="65"/>
    </row>
    <row r="1214" spans="4:4">
      <c r="D1214" s="65"/>
    </row>
    <row r="1215" spans="4:4">
      <c r="D1215" s="65"/>
    </row>
    <row r="1216" spans="4:4">
      <c r="D1216" s="65"/>
    </row>
    <row r="1217" spans="4:4">
      <c r="D1217" s="65"/>
    </row>
    <row r="1218" spans="4:4">
      <c r="D1218" s="65"/>
    </row>
    <row r="1219" spans="4:4">
      <c r="D1219" s="65"/>
    </row>
    <row r="1220" spans="4:4">
      <c r="D1220" s="65"/>
    </row>
    <row r="1221" spans="4:4">
      <c r="D1221" s="65"/>
    </row>
    <row r="1222" spans="4:4">
      <c r="D1222" s="65"/>
    </row>
    <row r="1223" spans="4:4">
      <c r="D1223" s="65"/>
    </row>
    <row r="1224" spans="4:4">
      <c r="D1224" s="65"/>
    </row>
    <row r="1225" spans="4:4">
      <c r="D1225" s="65"/>
    </row>
    <row r="1226" spans="4:4">
      <c r="D1226" s="65"/>
    </row>
    <row r="1227" spans="4:4">
      <c r="D1227" s="65"/>
    </row>
    <row r="1228" spans="4:4">
      <c r="D1228" s="65"/>
    </row>
    <row r="1229" spans="4:4">
      <c r="D1229" s="65"/>
    </row>
    <row r="1230" spans="4:4">
      <c r="D1230" s="65"/>
    </row>
    <row r="1231" spans="4:4">
      <c r="D1231" s="65"/>
    </row>
    <row r="1232" spans="4:4">
      <c r="D1232" s="65"/>
    </row>
    <row r="1233" spans="4:4">
      <c r="D1233" s="65"/>
    </row>
    <row r="1234" spans="4:4">
      <c r="D1234" s="65"/>
    </row>
    <row r="1235" spans="4:4">
      <c r="D1235" s="65"/>
    </row>
    <row r="1236" spans="4:4">
      <c r="D1236" s="65"/>
    </row>
    <row r="1237" spans="4:4">
      <c r="D1237" s="65"/>
    </row>
    <row r="1238" spans="4:4">
      <c r="D1238" s="65"/>
    </row>
    <row r="1239" spans="4:4">
      <c r="D1239" s="65"/>
    </row>
    <row r="1240" spans="4:4">
      <c r="D1240" s="65"/>
    </row>
    <row r="1241" spans="4:4">
      <c r="D1241" s="65"/>
    </row>
    <row r="1242" spans="4:4">
      <c r="D1242" s="65"/>
    </row>
    <row r="1243" spans="4:4">
      <c r="D1243" s="65"/>
    </row>
    <row r="1244" spans="4:4">
      <c r="D1244" s="65"/>
    </row>
    <row r="1245" spans="4:4">
      <c r="D1245" s="65"/>
    </row>
    <row r="1246" spans="4:4">
      <c r="D1246" s="65"/>
    </row>
    <row r="1247" spans="4:4">
      <c r="D1247" s="65"/>
    </row>
    <row r="1248" spans="4:4">
      <c r="D1248" s="65"/>
    </row>
    <row r="1249" spans="4:4">
      <c r="D1249" s="65"/>
    </row>
    <row r="1250" spans="4:4">
      <c r="D1250" s="65"/>
    </row>
    <row r="1251" spans="4:4">
      <c r="D1251" s="65"/>
    </row>
    <row r="1252" spans="4:4">
      <c r="D1252" s="65"/>
    </row>
    <row r="1253" spans="4:4">
      <c r="D1253" s="65"/>
    </row>
    <row r="1254" spans="4:4">
      <c r="D1254" s="65"/>
    </row>
    <row r="1255" spans="4:4">
      <c r="D1255" s="65"/>
    </row>
    <row r="1256" spans="4:4">
      <c r="D1256" s="65"/>
    </row>
    <row r="1257" spans="4:4">
      <c r="D1257" s="65"/>
    </row>
    <row r="1258" spans="4:4">
      <c r="D1258" s="65"/>
    </row>
    <row r="1259" spans="4:4">
      <c r="D1259" s="65"/>
    </row>
    <row r="1260" spans="4:4">
      <c r="D1260" s="65"/>
    </row>
    <row r="1261" spans="4:4">
      <c r="D1261" s="65"/>
    </row>
    <row r="1262" spans="4:4">
      <c r="D1262" s="65"/>
    </row>
    <row r="1263" spans="4:4">
      <c r="D1263" s="65"/>
    </row>
    <row r="1264" spans="4:4">
      <c r="D1264" s="65"/>
    </row>
    <row r="1265" spans="4:4">
      <c r="D1265" s="65"/>
    </row>
    <row r="1266" spans="4:4">
      <c r="D1266" s="65"/>
    </row>
    <row r="1267" spans="4:4">
      <c r="D1267" s="65"/>
    </row>
    <row r="1268" spans="4:4">
      <c r="D1268" s="65"/>
    </row>
    <row r="1269" spans="4:4">
      <c r="D1269" s="65"/>
    </row>
    <row r="1270" spans="4:4">
      <c r="D1270" s="65"/>
    </row>
    <row r="1271" spans="4:4">
      <c r="D1271" s="65"/>
    </row>
    <row r="1272" spans="4:4">
      <c r="D1272" s="65"/>
    </row>
    <row r="1273" spans="4:4">
      <c r="D1273" s="65"/>
    </row>
    <row r="1274" spans="4:4">
      <c r="D1274" s="65"/>
    </row>
    <row r="1275" spans="4:4">
      <c r="D1275" s="65"/>
    </row>
    <row r="1276" spans="4:4">
      <c r="D1276" s="65"/>
    </row>
    <row r="1277" spans="4:4">
      <c r="D1277" s="65"/>
    </row>
    <row r="1278" spans="4:4">
      <c r="D1278" s="65"/>
    </row>
    <row r="1279" spans="4:4">
      <c r="D1279" s="65"/>
    </row>
    <row r="1280" spans="4:4">
      <c r="D1280" s="65"/>
    </row>
    <row r="1281" spans="4:4">
      <c r="D1281" s="65"/>
    </row>
    <row r="1282" spans="4:4">
      <c r="D1282" s="65"/>
    </row>
    <row r="1283" spans="4:4">
      <c r="D1283" s="65"/>
    </row>
    <row r="1284" spans="4:4">
      <c r="D1284" s="65"/>
    </row>
    <row r="1285" spans="4:4">
      <c r="D1285" s="65"/>
    </row>
    <row r="1286" spans="4:4">
      <c r="D1286" s="65"/>
    </row>
    <row r="1287" spans="4:4">
      <c r="D1287" s="65"/>
    </row>
    <row r="1288" spans="4:4">
      <c r="D1288" s="65"/>
    </row>
    <row r="1289" spans="4:4">
      <c r="D1289" s="65"/>
    </row>
    <row r="1290" spans="4:4">
      <c r="D1290" s="65"/>
    </row>
    <row r="1291" spans="4:4">
      <c r="D1291" s="65"/>
    </row>
    <row r="1292" spans="4:4">
      <c r="D1292" s="65"/>
    </row>
    <row r="1293" spans="4:4">
      <c r="D1293" s="65"/>
    </row>
    <row r="1294" spans="4:4">
      <c r="D1294" s="65"/>
    </row>
    <row r="1295" spans="4:4">
      <c r="D1295" s="65"/>
    </row>
    <row r="1296" spans="4:4">
      <c r="D1296" s="65"/>
    </row>
    <row r="1297" spans="4:4">
      <c r="D1297" s="65"/>
    </row>
    <row r="1298" spans="4:4">
      <c r="D1298" s="65"/>
    </row>
    <row r="1299" spans="4:4">
      <c r="D1299" s="65"/>
    </row>
    <row r="1300" spans="4:4">
      <c r="D1300" s="65"/>
    </row>
    <row r="1301" spans="4:4">
      <c r="D1301" s="65"/>
    </row>
    <row r="1302" spans="4:4">
      <c r="D1302" s="65"/>
    </row>
    <row r="1303" spans="4:4">
      <c r="D1303" s="65"/>
    </row>
    <row r="1304" spans="4:4">
      <c r="D1304" s="65"/>
    </row>
    <row r="1305" spans="4:4">
      <c r="D1305" s="65"/>
    </row>
    <row r="1306" spans="4:4">
      <c r="D1306" s="65"/>
    </row>
    <row r="1307" spans="4:4">
      <c r="D1307" s="65"/>
    </row>
    <row r="1308" spans="4:4">
      <c r="D1308" s="65"/>
    </row>
    <row r="1309" spans="4:4">
      <c r="D1309" s="65"/>
    </row>
    <row r="1310" spans="4:4">
      <c r="D1310" s="65"/>
    </row>
    <row r="1311" spans="4:4">
      <c r="D1311" s="65"/>
    </row>
    <row r="1312" spans="4:4">
      <c r="D1312" s="65"/>
    </row>
    <row r="1313" spans="4:4">
      <c r="D1313" s="65"/>
    </row>
    <row r="1314" spans="4:4">
      <c r="D1314" s="65"/>
    </row>
    <row r="1315" spans="4:4">
      <c r="D1315" s="65"/>
    </row>
    <row r="1316" spans="4:4">
      <c r="D1316" s="65"/>
    </row>
    <row r="1317" spans="4:4">
      <c r="D1317" s="65"/>
    </row>
    <row r="1318" spans="4:4">
      <c r="D1318" s="65"/>
    </row>
    <row r="1319" spans="4:4">
      <c r="D1319" s="65"/>
    </row>
    <row r="1320" spans="4:4">
      <c r="D1320" s="65"/>
    </row>
    <row r="1321" spans="4:4">
      <c r="D1321" s="65"/>
    </row>
    <row r="1322" spans="4:4">
      <c r="D1322" s="65"/>
    </row>
    <row r="1323" spans="4:4">
      <c r="D1323" s="65"/>
    </row>
    <row r="1324" spans="4:4">
      <c r="D1324" s="65"/>
    </row>
    <row r="1325" spans="4:4">
      <c r="D1325" s="65"/>
    </row>
    <row r="1326" spans="4:4">
      <c r="D1326" s="65"/>
    </row>
    <row r="1327" spans="4:4">
      <c r="D1327" s="65"/>
    </row>
    <row r="1328" spans="4:4">
      <c r="D1328" s="65"/>
    </row>
    <row r="1329" spans="4:4">
      <c r="D1329" s="65"/>
    </row>
    <row r="1330" spans="4:4">
      <c r="D1330" s="65"/>
    </row>
    <row r="1331" spans="4:4">
      <c r="D1331" s="65"/>
    </row>
    <row r="1332" spans="4:4">
      <c r="D1332" s="65"/>
    </row>
    <row r="1333" spans="4:4">
      <c r="D1333" s="65"/>
    </row>
    <row r="1334" spans="4:4">
      <c r="D1334" s="65"/>
    </row>
    <row r="1335" spans="4:4">
      <c r="D1335" s="65"/>
    </row>
    <row r="1336" spans="4:4">
      <c r="D1336" s="65"/>
    </row>
    <row r="1337" spans="4:4">
      <c r="D1337" s="65"/>
    </row>
    <row r="1338" spans="4:4">
      <c r="D1338" s="65"/>
    </row>
    <row r="1339" spans="4:4">
      <c r="D1339" s="65"/>
    </row>
    <row r="1340" spans="4:4">
      <c r="D1340" s="65"/>
    </row>
    <row r="1341" spans="4:4">
      <c r="D1341" s="65"/>
    </row>
    <row r="1342" spans="4:4">
      <c r="D1342" s="65"/>
    </row>
    <row r="1343" spans="4:4">
      <c r="D1343" s="65"/>
    </row>
    <row r="1344" spans="4:4">
      <c r="D1344" s="65"/>
    </row>
    <row r="1345" spans="4:4">
      <c r="D1345" s="65"/>
    </row>
    <row r="1346" spans="4:4">
      <c r="D1346" s="65"/>
    </row>
    <row r="1347" spans="4:4">
      <c r="D1347" s="65"/>
    </row>
    <row r="1348" spans="4:4">
      <c r="D1348" s="65"/>
    </row>
    <row r="1349" spans="4:4">
      <c r="D1349" s="65"/>
    </row>
    <row r="1350" spans="4:4">
      <c r="D1350" s="65"/>
    </row>
    <row r="1351" spans="4:4">
      <c r="D1351" s="65"/>
    </row>
    <row r="1352" spans="4:4">
      <c r="D1352" s="65"/>
    </row>
    <row r="1353" spans="4:4">
      <c r="D1353" s="65"/>
    </row>
    <row r="1354" spans="4:4">
      <c r="D1354" s="65"/>
    </row>
    <row r="1355" spans="4:4">
      <c r="D1355" s="65"/>
    </row>
    <row r="1356" spans="4:4">
      <c r="D1356" s="65"/>
    </row>
    <row r="1357" spans="4:4">
      <c r="D1357" s="65"/>
    </row>
    <row r="1358" spans="4:4">
      <c r="D1358" s="65"/>
    </row>
    <row r="1359" spans="4:4">
      <c r="D1359" s="65"/>
    </row>
    <row r="1360" spans="4:4">
      <c r="D1360" s="65"/>
    </row>
    <row r="1361" spans="4:4">
      <c r="D1361" s="65"/>
    </row>
    <row r="1362" spans="4:4">
      <c r="D1362" s="65"/>
    </row>
    <row r="1363" spans="4:4">
      <c r="D1363" s="65"/>
    </row>
    <row r="1364" spans="4:4">
      <c r="D1364" s="65"/>
    </row>
    <row r="1365" spans="4:4">
      <c r="D1365" s="65"/>
    </row>
    <row r="1366" spans="4:4">
      <c r="D1366" s="65"/>
    </row>
    <row r="1367" spans="4:4">
      <c r="D1367" s="65"/>
    </row>
    <row r="1368" spans="4:4">
      <c r="D1368" s="65"/>
    </row>
    <row r="1369" spans="4:4">
      <c r="D1369" s="65"/>
    </row>
    <row r="1370" spans="4:4">
      <c r="D1370" s="65"/>
    </row>
    <row r="1371" spans="4:4">
      <c r="D1371" s="65"/>
    </row>
    <row r="1372" spans="4:4">
      <c r="D1372" s="65"/>
    </row>
    <row r="1373" spans="4:4">
      <c r="D1373" s="65"/>
    </row>
    <row r="1374" spans="4:4">
      <c r="D1374" s="65"/>
    </row>
    <row r="1375" spans="4:4">
      <c r="D1375" s="65"/>
    </row>
    <row r="1376" spans="4:4">
      <c r="D1376" s="65"/>
    </row>
    <row r="1377" spans="4:4">
      <c r="D1377" s="65"/>
    </row>
    <row r="1378" spans="4:4">
      <c r="D1378" s="65"/>
    </row>
    <row r="1379" spans="4:4">
      <c r="D1379" s="65"/>
    </row>
    <row r="1380" spans="4:4">
      <c r="D1380" s="65"/>
    </row>
    <row r="1381" spans="4:4">
      <c r="D1381" s="65"/>
    </row>
    <row r="1382" spans="4:4">
      <c r="D1382" s="65"/>
    </row>
    <row r="1383" spans="4:4">
      <c r="D1383" s="65"/>
    </row>
    <row r="1384" spans="4:4">
      <c r="D1384" s="65"/>
    </row>
    <row r="1385" spans="4:4">
      <c r="D1385" s="65"/>
    </row>
    <row r="1386" spans="4:4">
      <c r="D1386" s="65"/>
    </row>
    <row r="1387" spans="4:4">
      <c r="D1387" s="65"/>
    </row>
    <row r="1388" spans="4:4">
      <c r="D1388" s="65"/>
    </row>
    <row r="1389" spans="4:4">
      <c r="D1389" s="65"/>
    </row>
    <row r="1390" spans="4:4">
      <c r="D1390" s="65"/>
    </row>
    <row r="1391" spans="4:4">
      <c r="D1391" s="65"/>
    </row>
    <row r="1392" spans="4:4">
      <c r="D1392" s="65"/>
    </row>
    <row r="1393" spans="4:4">
      <c r="D1393" s="65"/>
    </row>
    <row r="1394" spans="4:4">
      <c r="D1394" s="65"/>
    </row>
    <row r="1395" spans="4:4">
      <c r="D1395" s="65"/>
    </row>
    <row r="1396" spans="4:4">
      <c r="D1396" s="65"/>
    </row>
    <row r="1397" spans="4:4">
      <c r="D1397" s="65"/>
    </row>
    <row r="1398" spans="4:4">
      <c r="D1398" s="65"/>
    </row>
    <row r="1399" spans="4:4">
      <c r="D1399" s="65"/>
    </row>
    <row r="1400" spans="4:4">
      <c r="D1400" s="65"/>
    </row>
    <row r="1401" spans="4:4">
      <c r="D1401" s="65"/>
    </row>
    <row r="1402" spans="4:4">
      <c r="D1402" s="65"/>
    </row>
    <row r="1403" spans="4:4">
      <c r="D1403" s="65"/>
    </row>
    <row r="1404" spans="4:4">
      <c r="D1404" s="65"/>
    </row>
    <row r="1405" spans="4:4">
      <c r="D1405" s="65"/>
    </row>
    <row r="1406" spans="4:4">
      <c r="D1406" s="65"/>
    </row>
    <row r="1407" spans="4:4">
      <c r="D1407" s="65"/>
    </row>
    <row r="1408" spans="4:4">
      <c r="D1408" s="65"/>
    </row>
    <row r="1409" spans="4:4">
      <c r="D1409" s="65"/>
    </row>
    <row r="1410" spans="4:4">
      <c r="D1410" s="65"/>
    </row>
    <row r="1411" spans="4:4">
      <c r="D1411" s="65"/>
    </row>
    <row r="1412" spans="4:4">
      <c r="D1412" s="65"/>
    </row>
    <row r="1413" spans="4:4">
      <c r="D1413" s="65"/>
    </row>
    <row r="1414" spans="4:4">
      <c r="D1414" s="65"/>
    </row>
    <row r="1415" spans="4:4">
      <c r="D1415" s="65"/>
    </row>
    <row r="1416" spans="4:4">
      <c r="D1416" s="65"/>
    </row>
    <row r="1417" spans="4:4">
      <c r="D1417" s="65"/>
    </row>
    <row r="1418" spans="4:4">
      <c r="D1418" s="65"/>
    </row>
    <row r="1419" spans="4:4">
      <c r="D1419" s="65"/>
    </row>
    <row r="1420" spans="4:4">
      <c r="D1420" s="65"/>
    </row>
    <row r="1421" spans="4:4">
      <c r="D1421" s="65"/>
    </row>
    <row r="1422" spans="4:4">
      <c r="D1422" s="65"/>
    </row>
    <row r="1423" spans="4:4">
      <c r="D1423" s="65"/>
    </row>
    <row r="1424" spans="4:4">
      <c r="D1424" s="65"/>
    </row>
    <row r="1425" spans="4:4">
      <c r="D1425" s="65"/>
    </row>
    <row r="1426" spans="4:4">
      <c r="D1426" s="65"/>
    </row>
    <row r="1427" spans="4:4">
      <c r="D1427" s="65"/>
    </row>
    <row r="1428" spans="4:4">
      <c r="D1428" s="65"/>
    </row>
    <row r="1429" spans="4:4">
      <c r="D1429" s="65"/>
    </row>
    <row r="1430" spans="4:4">
      <c r="D1430" s="65"/>
    </row>
    <row r="1431" spans="4:4">
      <c r="D1431" s="65"/>
    </row>
    <row r="1432" spans="4:4">
      <c r="D1432" s="65"/>
    </row>
    <row r="1433" spans="4:4">
      <c r="D1433" s="65"/>
    </row>
    <row r="1434" spans="4:4">
      <c r="D1434" s="65"/>
    </row>
    <row r="1435" spans="4:4">
      <c r="D1435" s="65"/>
    </row>
    <row r="1436" spans="4:4">
      <c r="D1436" s="65"/>
    </row>
    <row r="1437" spans="4:4">
      <c r="D1437" s="65"/>
    </row>
    <row r="1438" spans="4:4">
      <c r="D1438" s="65"/>
    </row>
    <row r="1439" spans="4:4">
      <c r="D1439" s="65"/>
    </row>
    <row r="1440" spans="4:4">
      <c r="D1440" s="65"/>
    </row>
    <row r="1441" spans="4:4">
      <c r="D1441" s="65"/>
    </row>
    <row r="1442" spans="4:4">
      <c r="D1442" s="65"/>
    </row>
    <row r="1443" spans="4:4">
      <c r="D1443" s="65"/>
    </row>
    <row r="1444" spans="4:4">
      <c r="D1444" s="65"/>
    </row>
    <row r="1445" spans="4:4">
      <c r="D1445" s="65"/>
    </row>
    <row r="1446" spans="4:4">
      <c r="D1446" s="65"/>
    </row>
    <row r="1447" spans="4:4">
      <c r="D1447" s="65"/>
    </row>
    <row r="1448" spans="4:4">
      <c r="D1448" s="65"/>
    </row>
    <row r="1449" spans="4:4">
      <c r="D1449" s="65"/>
    </row>
    <row r="1450" spans="4:4">
      <c r="D1450" s="65"/>
    </row>
    <row r="1451" spans="4:4">
      <c r="D1451" s="65"/>
    </row>
    <row r="1452" spans="4:4">
      <c r="D1452" s="65"/>
    </row>
    <row r="1453" spans="4:4">
      <c r="D1453" s="65"/>
    </row>
    <row r="1454" spans="4:4">
      <c r="D1454" s="65"/>
    </row>
    <row r="1455" spans="4:4">
      <c r="D1455" s="65"/>
    </row>
    <row r="1456" spans="4:4">
      <c r="D1456" s="65"/>
    </row>
    <row r="1457" spans="4:4">
      <c r="D1457" s="65"/>
    </row>
    <row r="1458" spans="4:4">
      <c r="D1458" s="65"/>
    </row>
    <row r="1459" spans="4:4">
      <c r="D1459" s="65"/>
    </row>
    <row r="1460" spans="4:4">
      <c r="D1460" s="65"/>
    </row>
    <row r="1461" spans="4:4">
      <c r="D1461" s="65"/>
    </row>
    <row r="1462" spans="4:4">
      <c r="D1462" s="65"/>
    </row>
    <row r="1463" spans="4:4">
      <c r="D1463" s="65"/>
    </row>
    <row r="1464" spans="4:4">
      <c r="D1464" s="65"/>
    </row>
    <row r="1465" spans="4:4">
      <c r="D1465" s="65"/>
    </row>
    <row r="1466" spans="4:4">
      <c r="D1466" s="65"/>
    </row>
    <row r="1467" spans="4:4">
      <c r="D1467" s="65"/>
    </row>
    <row r="1468" spans="4:4">
      <c r="D1468" s="65"/>
    </row>
    <row r="1469" spans="4:4">
      <c r="D1469" s="65"/>
    </row>
    <row r="1470" spans="4:4">
      <c r="D1470" s="65"/>
    </row>
    <row r="1471" spans="4:4">
      <c r="D1471" s="65"/>
    </row>
    <row r="1472" spans="4:4">
      <c r="D1472" s="65"/>
    </row>
    <row r="1473" spans="4:4">
      <c r="D1473" s="65"/>
    </row>
    <row r="1474" spans="4:4">
      <c r="D1474" s="65"/>
    </row>
    <row r="1475" spans="4:4">
      <c r="D1475" s="65"/>
    </row>
    <row r="1476" spans="4:4">
      <c r="D1476" s="65"/>
    </row>
    <row r="1477" spans="4:4">
      <c r="D1477" s="65"/>
    </row>
    <row r="1478" spans="4:4">
      <c r="D1478" s="65"/>
    </row>
    <row r="1479" spans="4:4">
      <c r="D1479" s="65"/>
    </row>
    <row r="1480" spans="4:4">
      <c r="D1480" s="65"/>
    </row>
    <row r="1481" spans="4:4">
      <c r="D1481" s="65"/>
    </row>
    <row r="1482" spans="4:4">
      <c r="D1482" s="65"/>
    </row>
    <row r="1483" spans="4:4">
      <c r="D1483" s="65"/>
    </row>
    <row r="1484" spans="4:4">
      <c r="D1484" s="65"/>
    </row>
    <row r="1485" spans="4:4">
      <c r="D1485" s="65"/>
    </row>
    <row r="1486" spans="4:4">
      <c r="D1486" s="65"/>
    </row>
    <row r="1487" spans="4:4">
      <c r="D1487" s="65"/>
    </row>
    <row r="1488" spans="4:4">
      <c r="D1488" s="65"/>
    </row>
    <row r="1489" spans="4:4">
      <c r="D1489" s="65"/>
    </row>
    <row r="1490" spans="4:4">
      <c r="D1490" s="65"/>
    </row>
    <row r="1491" spans="4:4">
      <c r="D1491" s="65"/>
    </row>
    <row r="1492" spans="4:4">
      <c r="D1492" s="65"/>
    </row>
    <row r="1493" spans="4:4">
      <c r="D1493" s="65"/>
    </row>
    <row r="1494" spans="4:4">
      <c r="D1494" s="65"/>
    </row>
    <row r="1495" spans="4:4">
      <c r="D1495" s="65"/>
    </row>
    <row r="1496" spans="4:4">
      <c r="D1496" s="65"/>
    </row>
    <row r="1497" spans="4:4">
      <c r="D1497" s="65"/>
    </row>
    <row r="1498" spans="4:4">
      <c r="D1498" s="65"/>
    </row>
    <row r="1499" spans="4:4">
      <c r="D1499" s="65"/>
    </row>
    <row r="1500" spans="4:4">
      <c r="D1500" s="65"/>
    </row>
    <row r="1501" spans="4:4">
      <c r="D1501" s="65"/>
    </row>
    <row r="1502" spans="4:4">
      <c r="D1502" s="65"/>
    </row>
    <row r="1503" spans="4:4">
      <c r="D1503" s="65"/>
    </row>
    <row r="1504" spans="4:4">
      <c r="D1504" s="65"/>
    </row>
    <row r="1505" spans="4:4">
      <c r="D1505" s="65"/>
    </row>
    <row r="1506" spans="4:4">
      <c r="D1506" s="65"/>
    </row>
    <row r="1507" spans="4:4">
      <c r="D1507" s="65"/>
    </row>
    <row r="1508" spans="4:4">
      <c r="D1508" s="65"/>
    </row>
    <row r="1509" spans="4:4">
      <c r="D1509" s="65"/>
    </row>
    <row r="1510" spans="4:4">
      <c r="D1510" s="65"/>
    </row>
    <row r="1511" spans="4:4">
      <c r="D1511" s="65"/>
    </row>
    <row r="1512" spans="4:4">
      <c r="D1512" s="65"/>
    </row>
    <row r="1513" spans="4:4">
      <c r="D1513" s="65"/>
    </row>
    <row r="1514" spans="4:4">
      <c r="D1514" s="65"/>
    </row>
    <row r="1515" spans="4:4">
      <c r="D1515" s="65"/>
    </row>
    <row r="1516" spans="4:4">
      <c r="D1516" s="65"/>
    </row>
    <row r="1517" spans="4:4">
      <c r="D1517" s="65"/>
    </row>
    <row r="1518" spans="4:4">
      <c r="D1518" s="65"/>
    </row>
    <row r="1519" spans="4:4">
      <c r="D1519" s="65"/>
    </row>
    <row r="1520" spans="4:4">
      <c r="D1520" s="65"/>
    </row>
    <row r="1521" spans="4:4">
      <c r="D1521" s="65"/>
    </row>
    <row r="1522" spans="4:4">
      <c r="D1522" s="65"/>
    </row>
    <row r="1523" spans="4:4">
      <c r="D1523" s="65"/>
    </row>
    <row r="1524" spans="4:4">
      <c r="D1524" s="65"/>
    </row>
    <row r="1525" spans="4:4">
      <c r="D1525" s="65"/>
    </row>
    <row r="1526" spans="4:4">
      <c r="D1526" s="65"/>
    </row>
    <row r="1527" spans="4:4">
      <c r="D1527" s="65"/>
    </row>
    <row r="1528" spans="4:4">
      <c r="D1528" s="65"/>
    </row>
    <row r="1529" spans="4:4">
      <c r="D1529" s="65"/>
    </row>
    <row r="1530" spans="4:4">
      <c r="D1530" s="65"/>
    </row>
    <row r="1531" spans="4:4">
      <c r="D1531" s="65"/>
    </row>
    <row r="1532" spans="4:4">
      <c r="D1532" s="65"/>
    </row>
    <row r="1533" spans="4:4">
      <c r="D1533" s="65"/>
    </row>
    <row r="1534" spans="4:4">
      <c r="D1534" s="65"/>
    </row>
    <row r="1535" spans="4:4">
      <c r="D1535" s="65"/>
    </row>
    <row r="1536" spans="4:4">
      <c r="D1536" s="65"/>
    </row>
    <row r="1537" spans="4:4">
      <c r="D1537" s="65"/>
    </row>
    <row r="1538" spans="4:4">
      <c r="D1538" s="65"/>
    </row>
    <row r="1539" spans="4:4">
      <c r="D1539" s="65"/>
    </row>
    <row r="1540" spans="4:4">
      <c r="D1540" s="65"/>
    </row>
    <row r="1541" spans="4:4">
      <c r="D1541" s="65"/>
    </row>
    <row r="1542" spans="4:4">
      <c r="D1542" s="65"/>
    </row>
    <row r="1543" spans="4:4">
      <c r="D1543" s="65"/>
    </row>
    <row r="1544" spans="4:4">
      <c r="D1544" s="65"/>
    </row>
    <row r="1545" spans="4:4">
      <c r="D1545" s="65"/>
    </row>
    <row r="1546" spans="4:4">
      <c r="D1546" s="65"/>
    </row>
    <row r="1547" spans="4:4">
      <c r="D1547" s="65"/>
    </row>
    <row r="1548" spans="4:4">
      <c r="D1548" s="65"/>
    </row>
    <row r="1549" spans="4:4">
      <c r="D1549" s="65"/>
    </row>
    <row r="1550" spans="4:4">
      <c r="D1550" s="65"/>
    </row>
    <row r="1551" spans="4:4">
      <c r="D1551" s="65"/>
    </row>
    <row r="1552" spans="4:4">
      <c r="D1552" s="65"/>
    </row>
    <row r="1553" spans="4:4">
      <c r="D1553" s="65"/>
    </row>
    <row r="1554" spans="4:4">
      <c r="D1554" s="65"/>
    </row>
    <row r="1555" spans="4:4">
      <c r="D1555" s="65"/>
    </row>
    <row r="1556" spans="4:4">
      <c r="D1556" s="65"/>
    </row>
    <row r="1557" spans="4:4">
      <c r="D1557" s="65"/>
    </row>
    <row r="1558" spans="4:4">
      <c r="D1558" s="65"/>
    </row>
    <row r="1559" spans="4:4">
      <c r="D1559" s="65"/>
    </row>
    <row r="1560" spans="4:4">
      <c r="D1560" s="65"/>
    </row>
    <row r="1561" spans="4:4">
      <c r="D1561" s="65"/>
    </row>
    <row r="1562" spans="4:4">
      <c r="D1562" s="65"/>
    </row>
    <row r="1563" spans="4:4">
      <c r="D1563" s="65"/>
    </row>
    <row r="1564" spans="4:4">
      <c r="D1564" s="65"/>
    </row>
    <row r="1565" spans="4:4">
      <c r="D1565" s="65"/>
    </row>
    <row r="1566" spans="4:4">
      <c r="D1566" s="65"/>
    </row>
    <row r="1567" spans="4:4">
      <c r="D1567" s="65"/>
    </row>
    <row r="1568" spans="4:4">
      <c r="D1568" s="65"/>
    </row>
    <row r="1569" spans="4:4">
      <c r="D1569" s="65"/>
    </row>
    <row r="1570" spans="4:4">
      <c r="D1570" s="65"/>
    </row>
    <row r="1571" spans="4:4">
      <c r="D1571" s="65"/>
    </row>
    <row r="1572" spans="4:4">
      <c r="D1572" s="65"/>
    </row>
    <row r="1573" spans="4:4">
      <c r="D1573" s="65"/>
    </row>
    <row r="1574" spans="4:4">
      <c r="D1574" s="65"/>
    </row>
    <row r="1575" spans="4:4">
      <c r="D1575" s="65"/>
    </row>
    <row r="1576" spans="4:4">
      <c r="D1576" s="65"/>
    </row>
    <row r="1577" spans="4:4">
      <c r="D1577" s="65"/>
    </row>
    <row r="1578" spans="4:4">
      <c r="D1578" s="65"/>
    </row>
    <row r="1579" spans="4:4">
      <c r="D1579" s="65"/>
    </row>
    <row r="1580" spans="4:4">
      <c r="D1580" s="65"/>
    </row>
    <row r="1581" spans="4:4">
      <c r="D1581" s="65"/>
    </row>
    <row r="1582" spans="4:4">
      <c r="D1582" s="65"/>
    </row>
    <row r="1583" spans="4:4">
      <c r="D1583" s="65"/>
    </row>
    <row r="1584" spans="4:4">
      <c r="D1584" s="65"/>
    </row>
    <row r="1585" spans="4:4">
      <c r="D1585" s="65"/>
    </row>
    <row r="1586" spans="4:4">
      <c r="D1586" s="65"/>
    </row>
    <row r="1587" spans="4:4">
      <c r="D1587" s="65"/>
    </row>
    <row r="1588" spans="4:4">
      <c r="D1588" s="65"/>
    </row>
    <row r="1589" spans="4:4">
      <c r="D1589" s="65"/>
    </row>
    <row r="1590" spans="4:4">
      <c r="D1590" s="65"/>
    </row>
    <row r="1591" spans="4:4">
      <c r="D1591" s="65"/>
    </row>
    <row r="1592" spans="4:4">
      <c r="D1592" s="65"/>
    </row>
    <row r="1593" spans="4:4">
      <c r="D1593" s="65"/>
    </row>
    <row r="1594" spans="4:4">
      <c r="D1594" s="65"/>
    </row>
    <row r="1595" spans="4:4">
      <c r="D1595" s="65"/>
    </row>
    <row r="1596" spans="4:4">
      <c r="D1596" s="65"/>
    </row>
    <row r="1597" spans="4:4">
      <c r="D1597" s="65"/>
    </row>
    <row r="1598" spans="4:4">
      <c r="D1598" s="65"/>
    </row>
    <row r="1599" spans="4:4">
      <c r="D1599" s="65"/>
    </row>
    <row r="1600" spans="4:4">
      <c r="D1600" s="65"/>
    </row>
    <row r="1601" spans="4:4">
      <c r="D1601" s="65"/>
    </row>
    <row r="1602" spans="4:4">
      <c r="D1602" s="65"/>
    </row>
    <row r="1603" spans="4:4">
      <c r="D1603" s="65"/>
    </row>
    <row r="1604" spans="4:4">
      <c r="D1604" s="65"/>
    </row>
    <row r="1605" spans="4:4">
      <c r="D1605" s="65"/>
    </row>
    <row r="1606" spans="4:4">
      <c r="D1606" s="65"/>
    </row>
    <row r="1607" spans="4:4">
      <c r="D1607" s="65"/>
    </row>
    <row r="1608" spans="4:4">
      <c r="D1608" s="65"/>
    </row>
    <row r="1609" spans="4:4">
      <c r="D1609" s="65"/>
    </row>
    <row r="1610" spans="4:4">
      <c r="D1610" s="65"/>
    </row>
    <row r="1611" spans="4:4">
      <c r="D1611" s="65"/>
    </row>
    <row r="1612" spans="4:4">
      <c r="D1612" s="65"/>
    </row>
    <row r="1613" spans="4:4">
      <c r="D1613" s="65"/>
    </row>
    <row r="1614" spans="4:4">
      <c r="D1614" s="65"/>
    </row>
    <row r="1615" spans="4:4">
      <c r="D1615" s="65"/>
    </row>
    <row r="1616" spans="4:4">
      <c r="D1616" s="65"/>
    </row>
    <row r="1617" spans="4:4">
      <c r="D1617" s="65"/>
    </row>
    <row r="1618" spans="4:4">
      <c r="D1618" s="65"/>
    </row>
    <row r="1619" spans="4:4">
      <c r="D1619" s="65"/>
    </row>
    <row r="1620" spans="4:4">
      <c r="D1620" s="65"/>
    </row>
    <row r="1621" spans="4:4">
      <c r="D1621" s="65"/>
    </row>
    <row r="1622" spans="4:4">
      <c r="D1622" s="65"/>
    </row>
    <row r="1623" spans="4:4">
      <c r="D1623" s="65"/>
    </row>
    <row r="1624" spans="4:4">
      <c r="D1624" s="65"/>
    </row>
    <row r="1625" spans="4:4">
      <c r="D1625" s="65"/>
    </row>
    <row r="1626" spans="4:4">
      <c r="D1626" s="65"/>
    </row>
    <row r="1627" spans="4:4">
      <c r="D1627" s="65"/>
    </row>
    <row r="1628" spans="4:4">
      <c r="D1628" s="65"/>
    </row>
    <row r="1629" spans="4:4">
      <c r="D1629" s="65"/>
    </row>
    <row r="1630" spans="4:4">
      <c r="D1630" s="65"/>
    </row>
    <row r="1631" spans="4:4">
      <c r="D1631" s="65"/>
    </row>
    <row r="1632" spans="4:4">
      <c r="D1632" s="65"/>
    </row>
    <row r="1633" spans="4:4">
      <c r="D1633" s="65"/>
    </row>
    <row r="1634" spans="4:4">
      <c r="D1634" s="65"/>
    </row>
    <row r="1635" spans="4:4">
      <c r="D1635" s="65"/>
    </row>
    <row r="1636" spans="4:4">
      <c r="D1636" s="65"/>
    </row>
    <row r="1637" spans="4:4">
      <c r="D1637" s="65"/>
    </row>
    <row r="1638" spans="4:4">
      <c r="D1638" s="65"/>
    </row>
    <row r="1639" spans="4:4">
      <c r="D1639" s="65"/>
    </row>
    <row r="1640" spans="4:4">
      <c r="D1640" s="65"/>
    </row>
    <row r="1641" spans="4:4">
      <c r="D1641" s="65"/>
    </row>
    <row r="1642" spans="4:4">
      <c r="D1642" s="65"/>
    </row>
    <row r="1643" spans="4:4">
      <c r="D1643" s="65"/>
    </row>
    <row r="1644" spans="4:4">
      <c r="D1644" s="65"/>
    </row>
    <row r="1645" spans="4:4">
      <c r="D1645" s="65"/>
    </row>
    <row r="1646" spans="4:4">
      <c r="D1646" s="65"/>
    </row>
    <row r="1647" spans="4:4">
      <c r="D1647" s="65"/>
    </row>
    <row r="1648" spans="4:4">
      <c r="D1648" s="65"/>
    </row>
    <row r="1649" spans="4:4">
      <c r="D1649" s="65"/>
    </row>
    <row r="1650" spans="4:4">
      <c r="D1650" s="65"/>
    </row>
    <row r="1651" spans="4:4">
      <c r="D1651" s="65"/>
    </row>
    <row r="1652" spans="4:4">
      <c r="D1652" s="65"/>
    </row>
    <row r="1653" spans="4:4">
      <c r="D1653" s="65"/>
    </row>
    <row r="1654" spans="4:4">
      <c r="D1654" s="65"/>
    </row>
    <row r="1655" spans="4:4">
      <c r="D1655" s="65"/>
    </row>
    <row r="1656" spans="4:4">
      <c r="D1656" s="65"/>
    </row>
    <row r="1657" spans="4:4">
      <c r="D1657" s="65"/>
    </row>
    <row r="1658" spans="4:4">
      <c r="D1658" s="65"/>
    </row>
    <row r="1659" spans="4:4">
      <c r="D1659" s="65"/>
    </row>
    <row r="1660" spans="4:4">
      <c r="D1660" s="65"/>
    </row>
    <row r="1661" spans="4:4">
      <c r="D1661" s="65"/>
    </row>
    <row r="1662" spans="4:4">
      <c r="D1662" s="65"/>
    </row>
    <row r="1663" spans="4:4">
      <c r="D1663" s="65"/>
    </row>
    <row r="1664" spans="4:4">
      <c r="D1664" s="65"/>
    </row>
    <row r="1665" spans="4:4">
      <c r="D1665" s="65"/>
    </row>
    <row r="1666" spans="4:4">
      <c r="D1666" s="65"/>
    </row>
    <row r="1667" spans="4:4">
      <c r="D1667" s="65"/>
    </row>
    <row r="1668" spans="4:4">
      <c r="D1668" s="65"/>
    </row>
    <row r="1669" spans="4:4">
      <c r="D1669" s="65"/>
    </row>
    <row r="1670" spans="4:4">
      <c r="D1670" s="65"/>
    </row>
    <row r="1671" spans="4:4">
      <c r="D1671" s="65"/>
    </row>
    <row r="1672" spans="4:4">
      <c r="D1672" s="65"/>
    </row>
    <row r="1673" spans="4:4">
      <c r="D1673" s="65"/>
    </row>
    <row r="1674" spans="4:4">
      <c r="D1674" s="65"/>
    </row>
    <row r="1675" spans="4:4">
      <c r="D1675" s="65"/>
    </row>
    <row r="1676" spans="4:4">
      <c r="D1676" s="65"/>
    </row>
    <row r="1677" spans="4:4">
      <c r="D1677" s="65"/>
    </row>
    <row r="1678" spans="4:4">
      <c r="D1678" s="65"/>
    </row>
    <row r="1679" spans="4:4">
      <c r="D1679" s="65"/>
    </row>
    <row r="1680" spans="4:4">
      <c r="D1680" s="65"/>
    </row>
    <row r="1681" spans="4:4">
      <c r="D1681" s="65"/>
    </row>
    <row r="1682" spans="4:4">
      <c r="D1682" s="65"/>
    </row>
    <row r="1683" spans="4:4">
      <c r="D1683" s="65"/>
    </row>
    <row r="1684" spans="4:4">
      <c r="D1684" s="65"/>
    </row>
    <row r="1685" spans="4:4">
      <c r="D1685" s="65"/>
    </row>
    <row r="1686" spans="4:4">
      <c r="D1686" s="65"/>
    </row>
    <row r="1687" spans="4:4">
      <c r="D1687" s="65"/>
    </row>
    <row r="1688" spans="4:4">
      <c r="D1688" s="65"/>
    </row>
    <row r="1689" spans="4:4">
      <c r="D1689" s="65"/>
    </row>
    <row r="1690" spans="4:4">
      <c r="D1690" s="65"/>
    </row>
    <row r="1691" spans="4:4">
      <c r="D1691" s="65"/>
    </row>
    <row r="1692" spans="4:4">
      <c r="D1692" s="65"/>
    </row>
    <row r="1693" spans="4:4">
      <c r="D1693" s="65"/>
    </row>
    <row r="1694" spans="4:4">
      <c r="D1694" s="65"/>
    </row>
    <row r="1695" spans="4:4">
      <c r="D1695" s="65"/>
    </row>
    <row r="1696" spans="4:4">
      <c r="D1696" s="65"/>
    </row>
    <row r="1697" spans="4:4">
      <c r="D1697" s="65"/>
    </row>
    <row r="1698" spans="4:4">
      <c r="D1698" s="65"/>
    </row>
    <row r="1699" spans="4:4">
      <c r="D1699" s="65"/>
    </row>
    <row r="1700" spans="4:4">
      <c r="D1700" s="65"/>
    </row>
    <row r="1701" spans="4:4">
      <c r="D1701" s="65"/>
    </row>
    <row r="1702" spans="4:4">
      <c r="D1702" s="65"/>
    </row>
    <row r="1703" spans="4:4">
      <c r="D1703" s="65"/>
    </row>
    <row r="1704" spans="4:4">
      <c r="D1704" s="65"/>
    </row>
    <row r="1705" spans="4:4">
      <c r="D1705" s="65"/>
    </row>
    <row r="1706" spans="4:4">
      <c r="D1706" s="65"/>
    </row>
    <row r="1707" spans="4:4">
      <c r="D1707" s="65"/>
    </row>
    <row r="1708" spans="4:4">
      <c r="D1708" s="65"/>
    </row>
    <row r="1709" spans="4:4">
      <c r="D1709" s="65"/>
    </row>
    <row r="1710" spans="4:4">
      <c r="D1710" s="65"/>
    </row>
    <row r="1711" spans="4:4">
      <c r="D1711" s="65"/>
    </row>
    <row r="1712" spans="4:4">
      <c r="D1712" s="65"/>
    </row>
    <row r="1713" spans="4:4">
      <c r="D1713" s="65"/>
    </row>
    <row r="1714" spans="4:4">
      <c r="D1714" s="65"/>
    </row>
    <row r="1715" spans="4:4">
      <c r="D1715" s="65"/>
    </row>
    <row r="1716" spans="4:4">
      <c r="D1716" s="65"/>
    </row>
    <row r="1717" spans="4:4">
      <c r="D1717" s="65"/>
    </row>
    <row r="1718" spans="4:4">
      <c r="D1718" s="65"/>
    </row>
    <row r="1719" spans="4:4">
      <c r="D1719" s="65"/>
    </row>
    <row r="1720" spans="4:4">
      <c r="D1720" s="65"/>
    </row>
    <row r="1721" spans="4:4">
      <c r="D1721" s="65"/>
    </row>
    <row r="1722" spans="4:4">
      <c r="D1722" s="65"/>
    </row>
    <row r="1723" spans="4:4">
      <c r="D1723" s="65"/>
    </row>
    <row r="1724" spans="4:4">
      <c r="D1724" s="65"/>
    </row>
    <row r="1725" spans="4:4">
      <c r="D1725" s="65"/>
    </row>
    <row r="1726" spans="4:4">
      <c r="D1726" s="65"/>
    </row>
    <row r="1727" spans="4:4">
      <c r="D1727" s="65"/>
    </row>
    <row r="1728" spans="4:4">
      <c r="D1728" s="65"/>
    </row>
    <row r="1729" spans="4:4">
      <c r="D1729" s="65"/>
    </row>
    <row r="1730" spans="4:4">
      <c r="D1730" s="65"/>
    </row>
    <row r="1731" spans="4:4">
      <c r="D1731" s="65"/>
    </row>
    <row r="1732" spans="4:4">
      <c r="D1732" s="65"/>
    </row>
    <row r="1733" spans="4:4">
      <c r="D1733" s="65"/>
    </row>
    <row r="1734" spans="4:4">
      <c r="D1734" s="65"/>
    </row>
    <row r="1735" spans="4:4">
      <c r="D1735" s="65"/>
    </row>
    <row r="1736" spans="4:4">
      <c r="D1736" s="65"/>
    </row>
    <row r="1737" spans="4:4">
      <c r="D1737" s="65"/>
    </row>
    <row r="1738" spans="4:4">
      <c r="D1738" s="65"/>
    </row>
    <row r="1739" spans="4:4">
      <c r="D1739" s="65"/>
    </row>
    <row r="1740" spans="4:4">
      <c r="D1740" s="65"/>
    </row>
    <row r="1741" spans="4:4">
      <c r="D1741" s="65"/>
    </row>
    <row r="1742" spans="4:4">
      <c r="D1742" s="65"/>
    </row>
    <row r="1743" spans="4:4">
      <c r="D1743" s="65"/>
    </row>
    <row r="1744" spans="4:4">
      <c r="D1744" s="65"/>
    </row>
    <row r="1745" spans="4:4">
      <c r="D1745" s="65"/>
    </row>
    <row r="1746" spans="4:4">
      <c r="D1746" s="65"/>
    </row>
    <row r="1747" spans="4:4">
      <c r="D1747" s="65"/>
    </row>
    <row r="1748" spans="4:4">
      <c r="D1748" s="65"/>
    </row>
    <row r="1749" spans="4:4">
      <c r="D1749" s="65"/>
    </row>
    <row r="1750" spans="4:4">
      <c r="D1750" s="65"/>
    </row>
    <row r="1751" spans="4:4">
      <c r="D1751" s="65"/>
    </row>
    <row r="1752" spans="4:4">
      <c r="D1752" s="65"/>
    </row>
    <row r="1753" spans="4:4">
      <c r="D1753" s="65"/>
    </row>
    <row r="1754" spans="4:4">
      <c r="D1754" s="65"/>
    </row>
    <row r="1755" spans="4:4">
      <c r="D1755" s="65"/>
    </row>
    <row r="1756" spans="4:4">
      <c r="D1756" s="65"/>
    </row>
    <row r="1757" spans="4:4">
      <c r="D1757" s="65"/>
    </row>
    <row r="1758" spans="4:4">
      <c r="D1758" s="65"/>
    </row>
    <row r="1759" spans="4:4">
      <c r="D1759" s="65"/>
    </row>
    <row r="1760" spans="4:4">
      <c r="D1760" s="65"/>
    </row>
    <row r="1761" spans="4:4">
      <c r="D1761" s="65"/>
    </row>
    <row r="1762" spans="4:4">
      <c r="D1762" s="65"/>
    </row>
    <row r="1763" spans="4:4">
      <c r="D1763" s="65"/>
    </row>
    <row r="1764" spans="4:4">
      <c r="D1764" s="65"/>
    </row>
    <row r="1765" spans="4:4">
      <c r="D1765" s="65"/>
    </row>
    <row r="1766" spans="4:4">
      <c r="D1766" s="65"/>
    </row>
    <row r="1767" spans="4:4">
      <c r="D1767" s="65"/>
    </row>
    <row r="1768" spans="4:4">
      <c r="D1768" s="65"/>
    </row>
    <row r="1769" spans="4:4">
      <c r="D1769" s="65"/>
    </row>
    <row r="1770" spans="4:4">
      <c r="D1770" s="65"/>
    </row>
    <row r="1771" spans="4:4">
      <c r="D1771" s="65"/>
    </row>
    <row r="1772" spans="4:4">
      <c r="D1772" s="65"/>
    </row>
    <row r="1773" spans="4:4">
      <c r="D1773" s="65"/>
    </row>
    <row r="1774" spans="4:4">
      <c r="D1774" s="65"/>
    </row>
    <row r="1775" spans="4:4">
      <c r="D1775" s="65"/>
    </row>
    <row r="1776" spans="4:4">
      <c r="D1776" s="65"/>
    </row>
    <row r="1777" spans="4:4">
      <c r="D1777" s="65"/>
    </row>
    <row r="1778" spans="4:4">
      <c r="D1778" s="65"/>
    </row>
    <row r="1779" spans="4:4">
      <c r="D1779" s="65"/>
    </row>
    <row r="1780" spans="4:4">
      <c r="D1780" s="65"/>
    </row>
    <row r="1781" spans="4:4">
      <c r="D1781" s="65"/>
    </row>
    <row r="1782" spans="4:4">
      <c r="D1782" s="65"/>
    </row>
    <row r="1783" spans="4:4">
      <c r="D1783" s="65"/>
    </row>
    <row r="1784" spans="4:4">
      <c r="D1784" s="65"/>
    </row>
    <row r="1785" spans="4:4">
      <c r="D1785" s="65"/>
    </row>
    <row r="1786" spans="4:4">
      <c r="D1786" s="65"/>
    </row>
    <row r="1787" spans="4:4">
      <c r="D1787" s="65"/>
    </row>
    <row r="1788" spans="4:4">
      <c r="D1788" s="65"/>
    </row>
    <row r="1789" spans="4:4">
      <c r="D1789" s="65"/>
    </row>
    <row r="1790" spans="4:4">
      <c r="D1790" s="65"/>
    </row>
    <row r="1791" spans="4:4">
      <c r="D1791" s="65"/>
    </row>
    <row r="1792" spans="4:4">
      <c r="D1792" s="65"/>
    </row>
    <row r="1793" spans="4:4">
      <c r="D1793" s="65"/>
    </row>
    <row r="1794" spans="4:4">
      <c r="D1794" s="65"/>
    </row>
    <row r="1795" spans="4:4">
      <c r="D1795" s="65"/>
    </row>
    <row r="1796" spans="4:4">
      <c r="D1796" s="65"/>
    </row>
    <row r="1797" spans="4:4">
      <c r="D1797" s="65"/>
    </row>
    <row r="1798" spans="4:4">
      <c r="D1798" s="65"/>
    </row>
    <row r="1799" spans="4:4">
      <c r="D1799" s="65"/>
    </row>
    <row r="1800" spans="4:4">
      <c r="D1800" s="65"/>
    </row>
    <row r="1801" spans="4:4">
      <c r="D1801" s="65"/>
    </row>
    <row r="1802" spans="4:4">
      <c r="D1802" s="65"/>
    </row>
    <row r="1803" spans="4:4">
      <c r="D1803" s="65"/>
    </row>
    <row r="1804" spans="4:4">
      <c r="D1804" s="65"/>
    </row>
    <row r="1805" spans="4:4">
      <c r="D1805" s="65"/>
    </row>
    <row r="1806" spans="4:4">
      <c r="D1806" s="65"/>
    </row>
    <row r="1807" spans="4:4">
      <c r="D1807" s="65"/>
    </row>
    <row r="1808" spans="4:4">
      <c r="D1808" s="65"/>
    </row>
    <row r="1809" spans="4:4">
      <c r="D1809" s="65"/>
    </row>
    <row r="1810" spans="4:4">
      <c r="D1810" s="65"/>
    </row>
    <row r="1811" spans="4:4">
      <c r="D1811" s="65"/>
    </row>
    <row r="1812" spans="4:4">
      <c r="D1812" s="65"/>
    </row>
    <row r="1813" spans="4:4">
      <c r="D1813" s="65"/>
    </row>
    <row r="1814" spans="4:4">
      <c r="D1814" s="65"/>
    </row>
    <row r="1815" spans="4:4">
      <c r="D1815" s="65"/>
    </row>
    <row r="1816" spans="4:4">
      <c r="D1816" s="65"/>
    </row>
    <row r="1817" spans="4:4">
      <c r="D1817" s="65"/>
    </row>
    <row r="1818" spans="4:4">
      <c r="D1818" s="65"/>
    </row>
    <row r="1819" spans="4:4">
      <c r="D1819" s="65"/>
    </row>
    <row r="1820" spans="4:4">
      <c r="D1820" s="65"/>
    </row>
    <row r="1821" spans="4:4">
      <c r="D1821" s="65"/>
    </row>
    <row r="1822" spans="4:4">
      <c r="D1822" s="65"/>
    </row>
    <row r="1823" spans="4:4">
      <c r="D1823" s="65"/>
    </row>
    <row r="1824" spans="4:4">
      <c r="D1824" s="65"/>
    </row>
    <row r="1825" spans="4:4">
      <c r="D1825" s="65"/>
    </row>
    <row r="1826" spans="4:4">
      <c r="D1826" s="65"/>
    </row>
    <row r="1827" spans="4:4">
      <c r="D1827" s="65"/>
    </row>
    <row r="1828" spans="4:4">
      <c r="D1828" s="65"/>
    </row>
    <row r="1829" spans="4:4">
      <c r="D1829" s="65"/>
    </row>
    <row r="1830" spans="4:4">
      <c r="D1830" s="65"/>
    </row>
    <row r="1831" spans="4:4">
      <c r="D1831" s="65"/>
    </row>
    <row r="1832" spans="4:4">
      <c r="D1832" s="65"/>
    </row>
    <row r="1833" spans="4:4">
      <c r="D1833" s="65"/>
    </row>
    <row r="1834" spans="4:4">
      <c r="D1834" s="65"/>
    </row>
    <row r="1835" spans="4:4">
      <c r="D1835" s="65"/>
    </row>
    <row r="1836" spans="4:4">
      <c r="D1836" s="65"/>
    </row>
    <row r="1837" spans="4:4">
      <c r="D1837" s="65"/>
    </row>
    <row r="1838" spans="4:4">
      <c r="D1838" s="65"/>
    </row>
    <row r="1839" spans="4:4">
      <c r="D1839" s="65"/>
    </row>
    <row r="1840" spans="4:4">
      <c r="D1840" s="65"/>
    </row>
    <row r="1841" spans="4:4">
      <c r="D1841" s="65"/>
    </row>
    <row r="1842" spans="4:4">
      <c r="D1842" s="65"/>
    </row>
    <row r="1843" spans="4:4">
      <c r="D1843" s="65"/>
    </row>
    <row r="1844" spans="4:4">
      <c r="D1844" s="65"/>
    </row>
    <row r="1845" spans="4:4">
      <c r="D1845" s="65"/>
    </row>
    <row r="1846" spans="4:4">
      <c r="D1846" s="65"/>
    </row>
    <row r="1847" spans="4:4">
      <c r="D1847" s="65"/>
    </row>
    <row r="1848" spans="4:4">
      <c r="D1848" s="65"/>
    </row>
    <row r="1849" spans="4:4">
      <c r="D1849" s="65"/>
    </row>
    <row r="1850" spans="4:4">
      <c r="D1850" s="65"/>
    </row>
    <row r="1851" spans="4:4">
      <c r="D1851" s="65"/>
    </row>
    <row r="1852" spans="4:4">
      <c r="D1852" s="65"/>
    </row>
    <row r="1853" spans="4:4">
      <c r="D1853" s="65"/>
    </row>
    <row r="1854" spans="4:4">
      <c r="D1854" s="65"/>
    </row>
    <row r="1855" spans="4:4">
      <c r="D1855" s="65"/>
    </row>
    <row r="1856" spans="4:4">
      <c r="D1856" s="65"/>
    </row>
    <row r="1857" spans="4:4">
      <c r="D1857" s="65"/>
    </row>
    <row r="1858" spans="4:4">
      <c r="D1858" s="65"/>
    </row>
    <row r="1859" spans="4:4">
      <c r="D1859" s="65"/>
    </row>
    <row r="1860" spans="4:4">
      <c r="D1860" s="65"/>
    </row>
    <row r="1861" spans="4:4">
      <c r="D1861" s="65"/>
    </row>
    <row r="1862" spans="4:4">
      <c r="D1862" s="65"/>
    </row>
    <row r="1863" spans="4:4">
      <c r="D1863" s="65"/>
    </row>
    <row r="1864" spans="4:4">
      <c r="D1864" s="65"/>
    </row>
    <row r="1865" spans="4:4">
      <c r="D1865" s="65"/>
    </row>
    <row r="1866" spans="4:4">
      <c r="D1866" s="65"/>
    </row>
    <row r="1867" spans="4:4">
      <c r="D1867" s="65"/>
    </row>
    <row r="1868" spans="4:4">
      <c r="D1868" s="65"/>
    </row>
    <row r="1869" spans="4:4">
      <c r="D1869" s="65"/>
    </row>
    <row r="1870" spans="4:4">
      <c r="D1870" s="65"/>
    </row>
    <row r="1871" spans="4:4">
      <c r="D1871" s="65"/>
    </row>
    <row r="1872" spans="4:4">
      <c r="D1872" s="65"/>
    </row>
    <row r="1873" spans="4:4">
      <c r="D1873" s="65"/>
    </row>
    <row r="1874" spans="4:4">
      <c r="D1874" s="65"/>
    </row>
    <row r="1875" spans="4:4">
      <c r="D1875" s="65"/>
    </row>
    <row r="1876" spans="4:4">
      <c r="D1876" s="65"/>
    </row>
    <row r="1877" spans="4:4">
      <c r="D1877" s="65"/>
    </row>
    <row r="1878" spans="4:4">
      <c r="D1878" s="65"/>
    </row>
    <row r="1879" spans="4:4">
      <c r="D1879" s="65"/>
    </row>
    <row r="1880" spans="4:4">
      <c r="D1880" s="65"/>
    </row>
    <row r="1881" spans="4:4">
      <c r="D1881" s="65"/>
    </row>
    <row r="1882" spans="4:4">
      <c r="D1882" s="65"/>
    </row>
    <row r="1883" spans="4:4">
      <c r="D1883" s="65"/>
    </row>
    <row r="1884" spans="4:4">
      <c r="D1884" s="65"/>
    </row>
    <row r="1885" spans="4:4">
      <c r="D1885" s="65"/>
    </row>
    <row r="1886" spans="4:4">
      <c r="D1886" s="65"/>
    </row>
    <row r="1887" spans="4:4">
      <c r="D1887" s="65"/>
    </row>
    <row r="1888" spans="4:4">
      <c r="D1888" s="65"/>
    </row>
    <row r="1889" spans="4:4">
      <c r="D1889" s="65"/>
    </row>
    <row r="1890" spans="4:4">
      <c r="D1890" s="65"/>
    </row>
    <row r="1891" spans="4:4">
      <c r="D1891" s="65"/>
    </row>
    <row r="1892" spans="4:4">
      <c r="D1892" s="65"/>
    </row>
    <row r="1893" spans="4:4">
      <c r="D1893" s="65"/>
    </row>
    <row r="1894" spans="4:4">
      <c r="D1894" s="65"/>
    </row>
    <row r="1895" spans="4:4">
      <c r="D1895" s="65"/>
    </row>
    <row r="1896" spans="4:4">
      <c r="D1896" s="65"/>
    </row>
    <row r="1897" spans="4:4">
      <c r="D1897" s="65"/>
    </row>
    <row r="1898" spans="4:4">
      <c r="D1898" s="65"/>
    </row>
    <row r="1899" spans="4:4">
      <c r="D1899" s="65"/>
    </row>
    <row r="1900" spans="4:4">
      <c r="D1900" s="65"/>
    </row>
    <row r="1901" spans="4:4">
      <c r="D1901" s="65"/>
    </row>
    <row r="1902" spans="4:4">
      <c r="D1902" s="65"/>
    </row>
    <row r="1903" spans="4:4">
      <c r="D1903" s="65"/>
    </row>
    <row r="1904" spans="4:4">
      <c r="D1904" s="65"/>
    </row>
    <row r="1905" spans="4:4">
      <c r="D1905" s="65"/>
    </row>
    <row r="1906" spans="4:4">
      <c r="D1906" s="65"/>
    </row>
    <row r="1907" spans="4:4">
      <c r="D1907" s="65"/>
    </row>
    <row r="1908" spans="4:4">
      <c r="D1908" s="65"/>
    </row>
    <row r="1909" spans="4:4">
      <c r="D1909" s="65"/>
    </row>
    <row r="1910" spans="4:4">
      <c r="D1910" s="65"/>
    </row>
    <row r="1911" spans="4:4">
      <c r="D1911" s="65"/>
    </row>
    <row r="1912" spans="4:4">
      <c r="D1912" s="65"/>
    </row>
    <row r="1913" spans="4:4">
      <c r="D1913" s="65"/>
    </row>
    <row r="1914" spans="4:4">
      <c r="D1914" s="65"/>
    </row>
    <row r="1915" spans="4:4">
      <c r="D1915" s="65"/>
    </row>
    <row r="1916" spans="4:4">
      <c r="D1916" s="65"/>
    </row>
    <row r="1917" spans="4:4">
      <c r="D1917" s="65"/>
    </row>
    <row r="1918" spans="4:4">
      <c r="D1918" s="65"/>
    </row>
    <row r="1919" spans="4:4">
      <c r="D1919" s="65"/>
    </row>
    <row r="1920" spans="4:4">
      <c r="D1920" s="65"/>
    </row>
    <row r="1921" spans="4:4">
      <c r="D1921" s="65"/>
    </row>
    <row r="1922" spans="4:4">
      <c r="D1922" s="65"/>
    </row>
    <row r="1923" spans="4:4">
      <c r="D1923" s="65"/>
    </row>
    <row r="1924" spans="4:4">
      <c r="D1924" s="65"/>
    </row>
    <row r="1925" spans="4:4">
      <c r="D1925" s="65"/>
    </row>
    <row r="1926" spans="4:4">
      <c r="D1926" s="65"/>
    </row>
    <row r="1927" spans="4:4">
      <c r="D1927" s="65"/>
    </row>
    <row r="1928" spans="4:4">
      <c r="D1928" s="65"/>
    </row>
    <row r="1929" spans="4:4">
      <c r="D1929" s="65"/>
    </row>
    <row r="1930" spans="4:4">
      <c r="D1930" s="65"/>
    </row>
    <row r="1931" spans="4:4">
      <c r="D1931" s="65"/>
    </row>
    <row r="1932" spans="4:4">
      <c r="D1932" s="65"/>
    </row>
    <row r="1933" spans="4:4">
      <c r="D1933" s="65"/>
    </row>
    <row r="1934" spans="4:4">
      <c r="D1934" s="65"/>
    </row>
    <row r="1935" spans="4:4">
      <c r="D1935" s="65"/>
    </row>
    <row r="1936" spans="4:4">
      <c r="D1936" s="65"/>
    </row>
    <row r="1937" spans="4:4">
      <c r="D1937" s="65"/>
    </row>
    <row r="1938" spans="4:4">
      <c r="D1938" s="65"/>
    </row>
    <row r="1939" spans="4:4">
      <c r="D1939" s="65"/>
    </row>
    <row r="1940" spans="4:4">
      <c r="D1940" s="65"/>
    </row>
    <row r="1941" spans="4:4">
      <c r="D1941" s="65"/>
    </row>
    <row r="1942" spans="4:4">
      <c r="D1942" s="65"/>
    </row>
    <row r="1943" spans="4:4">
      <c r="D1943" s="65"/>
    </row>
    <row r="1944" spans="4:4">
      <c r="D1944" s="65"/>
    </row>
    <row r="1945" spans="4:4">
      <c r="D1945" s="65"/>
    </row>
    <row r="1946" spans="4:4">
      <c r="D1946" s="65"/>
    </row>
    <row r="1947" spans="4:4">
      <c r="D1947" s="65"/>
    </row>
    <row r="1948" spans="4:4">
      <c r="D1948" s="65"/>
    </row>
    <row r="1949" spans="4:4">
      <c r="D1949" s="65"/>
    </row>
    <row r="1950" spans="4:4">
      <c r="D1950" s="65"/>
    </row>
    <row r="1951" spans="4:4">
      <c r="D1951" s="65"/>
    </row>
    <row r="1952" spans="4:4">
      <c r="D1952" s="65"/>
    </row>
    <row r="1953" spans="4:4">
      <c r="D1953" s="65"/>
    </row>
    <row r="1954" spans="4:4">
      <c r="D1954" s="65"/>
    </row>
    <row r="1955" spans="4:4">
      <c r="D1955" s="65"/>
    </row>
    <row r="1956" spans="4:4">
      <c r="D1956" s="65"/>
    </row>
    <row r="1957" spans="4:4">
      <c r="D1957" s="65"/>
    </row>
    <row r="1958" spans="4:4">
      <c r="D1958" s="65"/>
    </row>
    <row r="1959" spans="4:4">
      <c r="D1959" s="65"/>
    </row>
    <row r="1960" spans="4:4">
      <c r="D1960" s="65"/>
    </row>
    <row r="1961" spans="4:4">
      <c r="D1961" s="65"/>
    </row>
    <row r="1962" spans="4:4">
      <c r="D1962" s="65"/>
    </row>
    <row r="1963" spans="4:4">
      <c r="D1963" s="65"/>
    </row>
    <row r="1964" spans="4:4">
      <c r="D1964" s="65"/>
    </row>
    <row r="1965" spans="4:4">
      <c r="D1965" s="65"/>
    </row>
    <row r="1966" spans="4:4">
      <c r="D1966" s="65"/>
    </row>
    <row r="1967" spans="4:4">
      <c r="D1967" s="65"/>
    </row>
    <row r="1968" spans="4:4">
      <c r="D1968" s="65"/>
    </row>
    <row r="1969" spans="4:4">
      <c r="D1969" s="65"/>
    </row>
    <row r="1970" spans="4:4">
      <c r="D1970" s="65"/>
    </row>
    <row r="1971" spans="4:4">
      <c r="D1971" s="65"/>
    </row>
    <row r="1972" spans="4:4">
      <c r="D1972" s="65"/>
    </row>
    <row r="1973" spans="4:4">
      <c r="D1973" s="65"/>
    </row>
    <row r="1974" spans="4:4">
      <c r="D1974" s="65"/>
    </row>
    <row r="1975" spans="4:4">
      <c r="D1975" s="65"/>
    </row>
    <row r="1976" spans="4:4">
      <c r="D1976" s="65"/>
    </row>
    <row r="1977" spans="4:4">
      <c r="D1977" s="65"/>
    </row>
    <row r="1978" spans="4:4">
      <c r="D1978" s="65"/>
    </row>
    <row r="1979" spans="4:4">
      <c r="D1979" s="65"/>
    </row>
    <row r="1980" spans="4:4">
      <c r="D1980" s="65"/>
    </row>
    <row r="1981" spans="4:4">
      <c r="D1981" s="65"/>
    </row>
    <row r="1982" spans="4:4">
      <c r="D1982" s="65"/>
    </row>
    <row r="1983" spans="4:4">
      <c r="D1983" s="65"/>
    </row>
    <row r="1984" spans="4:4">
      <c r="D1984" s="65"/>
    </row>
    <row r="1985" spans="4:4">
      <c r="D1985" s="65"/>
    </row>
    <row r="1986" spans="4:4">
      <c r="D1986" s="65"/>
    </row>
    <row r="1987" spans="4:4">
      <c r="D1987" s="65"/>
    </row>
    <row r="1988" spans="4:4">
      <c r="D1988" s="65"/>
    </row>
    <row r="1989" spans="4:4">
      <c r="D1989" s="65"/>
    </row>
    <row r="1990" spans="4:4">
      <c r="D1990" s="65"/>
    </row>
    <row r="1991" spans="4:4">
      <c r="D1991" s="65"/>
    </row>
    <row r="1992" spans="4:4">
      <c r="D1992" s="65"/>
    </row>
    <row r="1993" spans="4:4">
      <c r="D1993" s="65"/>
    </row>
    <row r="1994" spans="4:4">
      <c r="D1994" s="65"/>
    </row>
    <row r="1995" spans="4:4">
      <c r="D1995" s="65"/>
    </row>
    <row r="1996" spans="4:4">
      <c r="D1996" s="65"/>
    </row>
    <row r="1997" spans="4:4">
      <c r="D1997" s="65"/>
    </row>
    <row r="1998" spans="4:4">
      <c r="D1998" s="65"/>
    </row>
    <row r="1999" spans="4:4">
      <c r="D1999" s="65"/>
    </row>
    <row r="2000" spans="4:4">
      <c r="D2000" s="65"/>
    </row>
    <row r="2001" spans="4:4">
      <c r="D2001" s="65"/>
    </row>
    <row r="2002" spans="4:4">
      <c r="D2002" s="65"/>
    </row>
    <row r="2003" spans="4:4">
      <c r="D2003" s="65"/>
    </row>
    <row r="2004" spans="4:4">
      <c r="D2004" s="65"/>
    </row>
    <row r="2005" spans="4:4">
      <c r="D2005" s="65"/>
    </row>
    <row r="2006" spans="4:4">
      <c r="D2006" s="65"/>
    </row>
    <row r="2007" spans="4:4">
      <c r="D2007" s="65"/>
    </row>
    <row r="2008" spans="4:4">
      <c r="D2008" s="65"/>
    </row>
    <row r="2009" spans="4:4">
      <c r="D2009" s="65"/>
    </row>
    <row r="2010" spans="4:4">
      <c r="D2010" s="65"/>
    </row>
    <row r="2011" spans="4:4">
      <c r="D2011" s="65"/>
    </row>
    <row r="2012" spans="4:4">
      <c r="D2012" s="65"/>
    </row>
    <row r="2013" spans="4:4">
      <c r="D2013" s="65"/>
    </row>
    <row r="2014" spans="4:4">
      <c r="D2014" s="65"/>
    </row>
    <row r="2015" spans="4:4">
      <c r="D2015" s="65"/>
    </row>
    <row r="2016" spans="4:4">
      <c r="D2016" s="65"/>
    </row>
    <row r="2017" spans="4:4">
      <c r="D2017" s="65"/>
    </row>
    <row r="2018" spans="4:4">
      <c r="D2018" s="65"/>
    </row>
    <row r="2019" spans="4:4">
      <c r="D2019" s="65"/>
    </row>
    <row r="2020" spans="4:4">
      <c r="D2020" s="65"/>
    </row>
    <row r="2021" spans="4:4">
      <c r="D2021" s="65"/>
    </row>
    <row r="2022" spans="4:4">
      <c r="D2022" s="65"/>
    </row>
    <row r="2023" spans="4:4">
      <c r="D2023" s="65"/>
    </row>
    <row r="2024" spans="4:4">
      <c r="D2024" s="65"/>
    </row>
    <row r="2025" spans="4:4">
      <c r="D2025" s="65"/>
    </row>
    <row r="2026" spans="4:4">
      <c r="D2026" s="65"/>
    </row>
    <row r="2027" spans="4:4">
      <c r="D2027" s="65"/>
    </row>
    <row r="2028" spans="4:4">
      <c r="D2028" s="65"/>
    </row>
    <row r="2029" spans="4:4">
      <c r="D2029" s="65"/>
    </row>
    <row r="2030" spans="4:4">
      <c r="D2030" s="65"/>
    </row>
    <row r="2031" spans="4:4">
      <c r="D2031" s="65"/>
    </row>
    <row r="2032" spans="4:4">
      <c r="D2032" s="65"/>
    </row>
    <row r="2033" spans="4:4">
      <c r="D2033" s="65"/>
    </row>
    <row r="2034" spans="4:4">
      <c r="D2034" s="65"/>
    </row>
    <row r="2035" spans="4:4">
      <c r="D2035" s="65"/>
    </row>
    <row r="2036" spans="4:4">
      <c r="D2036" s="65"/>
    </row>
    <row r="2037" spans="4:4">
      <c r="D2037" s="65"/>
    </row>
    <row r="2038" spans="4:4">
      <c r="D2038" s="65"/>
    </row>
    <row r="2039" spans="4:4">
      <c r="D2039" s="65"/>
    </row>
    <row r="2040" spans="4:4">
      <c r="D2040" s="65"/>
    </row>
    <row r="2041" spans="4:4">
      <c r="D2041" s="65"/>
    </row>
    <row r="2042" spans="4:4">
      <c r="D2042" s="65"/>
    </row>
    <row r="2043" spans="4:4">
      <c r="D2043" s="65"/>
    </row>
    <row r="2044" spans="4:4">
      <c r="D2044" s="65"/>
    </row>
    <row r="2045" spans="4:4">
      <c r="D2045" s="65"/>
    </row>
    <row r="2046" spans="4:4">
      <c r="D2046" s="65"/>
    </row>
    <row r="2047" spans="4:4">
      <c r="D2047" s="65"/>
    </row>
    <row r="2048" spans="4:4">
      <c r="D2048" s="65"/>
    </row>
    <row r="2049" spans="4:4">
      <c r="D2049" s="65"/>
    </row>
    <row r="2050" spans="4:4">
      <c r="D2050" s="65"/>
    </row>
    <row r="2051" spans="4:4">
      <c r="D2051" s="65"/>
    </row>
    <row r="2052" spans="4:4">
      <c r="D2052" s="65"/>
    </row>
    <row r="2053" spans="4:4">
      <c r="D2053" s="65"/>
    </row>
    <row r="2054" spans="4:4">
      <c r="D2054" s="65"/>
    </row>
    <row r="2055" spans="4:4">
      <c r="D2055" s="65"/>
    </row>
    <row r="2056" spans="4:4">
      <c r="D2056" s="65"/>
    </row>
    <row r="2057" spans="4:4">
      <c r="D2057" s="65"/>
    </row>
    <row r="2058" spans="4:4">
      <c r="D2058" s="65"/>
    </row>
    <row r="2059" spans="4:4">
      <c r="D2059" s="65"/>
    </row>
    <row r="2060" spans="4:4">
      <c r="D2060" s="65"/>
    </row>
    <row r="2061" spans="4:4">
      <c r="D2061" s="65"/>
    </row>
    <row r="2062" spans="4:4">
      <c r="D2062" s="65"/>
    </row>
    <row r="2063" spans="4:4">
      <c r="D2063" s="65"/>
    </row>
    <row r="2064" spans="4:4">
      <c r="D2064" s="65"/>
    </row>
    <row r="2065" spans="4:4">
      <c r="D2065" s="65"/>
    </row>
    <row r="2066" spans="4:4">
      <c r="D2066" s="65"/>
    </row>
    <row r="2067" spans="4:4">
      <c r="D2067" s="65"/>
    </row>
    <row r="2068" spans="4:4">
      <c r="D2068" s="65"/>
    </row>
    <row r="2069" spans="4:4">
      <c r="D2069" s="65"/>
    </row>
    <row r="2070" spans="4:4">
      <c r="D2070" s="65"/>
    </row>
    <row r="2071" spans="4:4">
      <c r="D2071" s="65"/>
    </row>
    <row r="2072" spans="4:4">
      <c r="D2072" s="65"/>
    </row>
    <row r="2073" spans="4:4">
      <c r="D2073" s="65"/>
    </row>
    <row r="2074" spans="4:4">
      <c r="D2074" s="65"/>
    </row>
    <row r="2075" spans="4:4">
      <c r="D2075" s="65"/>
    </row>
    <row r="2076" spans="4:4">
      <c r="D2076" s="65"/>
    </row>
    <row r="2077" spans="4:4">
      <c r="D2077" s="65"/>
    </row>
    <row r="2078" spans="4:4">
      <c r="D2078" s="65"/>
    </row>
    <row r="2079" spans="4:4">
      <c r="D2079" s="65"/>
    </row>
    <row r="2080" spans="4:4">
      <c r="D2080" s="65"/>
    </row>
    <row r="2081" spans="4:4">
      <c r="D2081" s="65"/>
    </row>
    <row r="2082" spans="4:4">
      <c r="D2082" s="65"/>
    </row>
    <row r="2083" spans="4:4">
      <c r="D2083" s="65"/>
    </row>
    <row r="2084" spans="4:4">
      <c r="D2084" s="65"/>
    </row>
    <row r="2085" spans="4:4">
      <c r="D2085" s="65"/>
    </row>
    <row r="2086" spans="4:4">
      <c r="D2086" s="65"/>
    </row>
    <row r="2087" spans="4:4">
      <c r="D2087" s="65"/>
    </row>
    <row r="2088" spans="4:4">
      <c r="D2088" s="65"/>
    </row>
    <row r="2089" spans="4:4">
      <c r="D2089" s="65"/>
    </row>
    <row r="2090" spans="4:4">
      <c r="D2090" s="65"/>
    </row>
    <row r="2091" spans="4:4">
      <c r="D2091" s="65"/>
    </row>
    <row r="2092" spans="4:4">
      <c r="D2092" s="65"/>
    </row>
    <row r="2093" spans="4:4">
      <c r="D2093" s="65"/>
    </row>
    <row r="2094" spans="4:4">
      <c r="D2094" s="65"/>
    </row>
    <row r="2095" spans="4:4">
      <c r="D2095" s="65"/>
    </row>
    <row r="2096" spans="4:4">
      <c r="D2096" s="65"/>
    </row>
    <row r="2097" spans="4:4">
      <c r="D2097" s="65"/>
    </row>
    <row r="2098" spans="4:4">
      <c r="D2098" s="65"/>
    </row>
    <row r="2099" spans="4:4">
      <c r="D2099" s="65"/>
    </row>
    <row r="2100" spans="4:4">
      <c r="D2100" s="65"/>
    </row>
    <row r="2101" spans="4:4">
      <c r="D2101" s="65"/>
    </row>
    <row r="2102" spans="4:4">
      <c r="D2102" s="65"/>
    </row>
    <row r="2103" spans="4:4">
      <c r="D2103" s="65"/>
    </row>
    <row r="2104" spans="4:4">
      <c r="D2104" s="65"/>
    </row>
    <row r="2105" spans="4:4">
      <c r="D2105" s="65"/>
    </row>
    <row r="2106" spans="4:4">
      <c r="D2106" s="65"/>
    </row>
    <row r="2107" spans="4:4">
      <c r="D2107" s="65"/>
    </row>
    <row r="2108" spans="4:4">
      <c r="D2108" s="65"/>
    </row>
    <row r="2109" spans="4:4">
      <c r="D2109" s="65"/>
    </row>
    <row r="2110" spans="4:4">
      <c r="D2110" s="65"/>
    </row>
    <row r="2111" spans="4:4">
      <c r="D2111" s="65"/>
    </row>
    <row r="2112" spans="4:4">
      <c r="D2112" s="65"/>
    </row>
    <row r="2113" spans="4:4">
      <c r="D2113" s="65"/>
    </row>
    <row r="2114" spans="4:4">
      <c r="D2114" s="65"/>
    </row>
    <row r="2115" spans="4:4">
      <c r="D2115" s="65"/>
    </row>
    <row r="2116" spans="4:4">
      <c r="D2116" s="65"/>
    </row>
    <row r="2117" spans="4:4">
      <c r="D2117" s="65"/>
    </row>
    <row r="2118" spans="4:4">
      <c r="D2118" s="65"/>
    </row>
    <row r="2119" spans="4:4">
      <c r="D2119" s="65"/>
    </row>
    <row r="2120" spans="4:4">
      <c r="D2120" s="65"/>
    </row>
    <row r="2121" spans="4:4">
      <c r="D2121" s="65"/>
    </row>
    <row r="2122" spans="4:4">
      <c r="D2122" s="65"/>
    </row>
    <row r="2123" spans="4:4">
      <c r="D2123" s="65"/>
    </row>
    <row r="2124" spans="4:4">
      <c r="D2124" s="65"/>
    </row>
    <row r="2125" spans="4:4">
      <c r="D2125" s="65"/>
    </row>
    <row r="2126" spans="4:4">
      <c r="D2126" s="65"/>
    </row>
    <row r="2127" spans="4:4">
      <c r="D2127" s="65"/>
    </row>
    <row r="2128" spans="4:4">
      <c r="D2128" s="65"/>
    </row>
    <row r="2129" spans="4:4">
      <c r="D2129" s="65"/>
    </row>
    <row r="2130" spans="4:4">
      <c r="D2130" s="65"/>
    </row>
    <row r="2131" spans="4:4">
      <c r="D2131" s="65"/>
    </row>
    <row r="2132" spans="4:4">
      <c r="D2132" s="65"/>
    </row>
    <row r="2133" spans="4:4">
      <c r="D2133" s="65"/>
    </row>
    <row r="2134" spans="4:4">
      <c r="D2134" s="65"/>
    </row>
    <row r="2135" spans="4:4">
      <c r="D2135" s="65"/>
    </row>
    <row r="2136" spans="4:4">
      <c r="D2136" s="65"/>
    </row>
    <row r="2137" spans="4:4">
      <c r="D2137" s="65"/>
    </row>
    <row r="2138" spans="4:4">
      <c r="D2138" s="65"/>
    </row>
    <row r="2139" spans="4:4">
      <c r="D2139" s="65"/>
    </row>
    <row r="2140" spans="4:4">
      <c r="D2140" s="65"/>
    </row>
    <row r="2141" spans="4:4">
      <c r="D2141" s="65"/>
    </row>
    <row r="2142" spans="4:4">
      <c r="D2142" s="65"/>
    </row>
    <row r="2143" spans="4:4">
      <c r="D2143" s="65"/>
    </row>
    <row r="2144" spans="4:4">
      <c r="D2144" s="65"/>
    </row>
    <row r="2145" spans="4:4">
      <c r="D2145" s="65"/>
    </row>
    <row r="2146" spans="4:4">
      <c r="D2146" s="65"/>
    </row>
    <row r="2147" spans="4:4">
      <c r="D2147" s="65"/>
    </row>
    <row r="2148" spans="4:4">
      <c r="D2148" s="65"/>
    </row>
    <row r="2149" spans="4:4">
      <c r="D2149" s="65"/>
    </row>
    <row r="2150" spans="4:4">
      <c r="D2150" s="65"/>
    </row>
    <row r="2151" spans="4:4">
      <c r="D2151" s="65"/>
    </row>
    <row r="2152" spans="4:4">
      <c r="D2152" s="65"/>
    </row>
    <row r="2153" spans="4:4">
      <c r="D2153" s="65"/>
    </row>
    <row r="2154" spans="4:4">
      <c r="D2154" s="65"/>
    </row>
    <row r="2155" spans="4:4">
      <c r="D2155" s="65"/>
    </row>
    <row r="2156" spans="4:4">
      <c r="D2156" s="65"/>
    </row>
    <row r="2157" spans="4:4">
      <c r="D2157" s="65"/>
    </row>
    <row r="2158" spans="4:4">
      <c r="D2158" s="65"/>
    </row>
    <row r="2159" spans="4:4">
      <c r="D2159" s="65"/>
    </row>
    <row r="2160" spans="4:4">
      <c r="D2160" s="65"/>
    </row>
    <row r="2161" spans="4:4">
      <c r="D2161" s="65"/>
    </row>
    <row r="2162" spans="4:4">
      <c r="D2162" s="65"/>
    </row>
    <row r="2163" spans="4:4">
      <c r="D2163" s="65"/>
    </row>
    <row r="2164" spans="4:4">
      <c r="D2164" s="65"/>
    </row>
    <row r="2165" spans="4:4">
      <c r="D2165" s="65"/>
    </row>
    <row r="2166" spans="4:4">
      <c r="D2166" s="65"/>
    </row>
    <row r="2167" spans="4:4">
      <c r="D2167" s="65"/>
    </row>
    <row r="2168" spans="4:4">
      <c r="D2168" s="65"/>
    </row>
    <row r="2169" spans="4:4">
      <c r="D2169" s="65"/>
    </row>
    <row r="2170" spans="4:4">
      <c r="D2170" s="65"/>
    </row>
    <row r="2171" spans="4:4">
      <c r="D2171" s="65"/>
    </row>
    <row r="2172" spans="4:4">
      <c r="D2172" s="65"/>
    </row>
    <row r="2173" spans="4:4">
      <c r="D2173" s="65"/>
    </row>
    <row r="2174" spans="4:4">
      <c r="D2174" s="65"/>
    </row>
    <row r="2175" spans="4:4">
      <c r="D2175" s="65"/>
    </row>
    <row r="2176" spans="4:4">
      <c r="D2176" s="65"/>
    </row>
    <row r="2177" spans="4:4">
      <c r="D2177" s="65"/>
    </row>
    <row r="2178" spans="4:4">
      <c r="D2178" s="65"/>
    </row>
    <row r="2179" spans="4:4">
      <c r="D2179" s="65"/>
    </row>
    <row r="2180" spans="4:4">
      <c r="D2180" s="65"/>
    </row>
    <row r="2181" spans="4:4">
      <c r="D2181" s="65"/>
    </row>
    <row r="2182" spans="4:4">
      <c r="D2182" s="65"/>
    </row>
    <row r="2183" spans="4:4">
      <c r="D2183" s="65"/>
    </row>
    <row r="2184" spans="4:4">
      <c r="D2184" s="65"/>
    </row>
    <row r="2185" spans="4:4">
      <c r="D2185" s="65"/>
    </row>
    <row r="2186" spans="4:4">
      <c r="D2186" s="65"/>
    </row>
    <row r="2187" spans="4:4">
      <c r="D2187" s="65"/>
    </row>
    <row r="2188" spans="4:4">
      <c r="D2188" s="65"/>
    </row>
    <row r="2189" spans="4:4">
      <c r="D2189" s="65"/>
    </row>
    <row r="2190" spans="4:4">
      <c r="D2190" s="65"/>
    </row>
    <row r="2191" spans="4:4">
      <c r="D2191" s="65"/>
    </row>
    <row r="2192" spans="4:4">
      <c r="D2192" s="65"/>
    </row>
    <row r="2193" spans="4:4">
      <c r="D2193" s="65"/>
    </row>
    <row r="2194" spans="4:4">
      <c r="D2194" s="65"/>
    </row>
    <row r="2195" spans="4:4">
      <c r="D2195" s="65"/>
    </row>
    <row r="2196" spans="4:4">
      <c r="D2196" s="65"/>
    </row>
    <row r="2197" spans="4:4">
      <c r="D2197" s="65"/>
    </row>
    <row r="2198" spans="4:4">
      <c r="D2198" s="65"/>
    </row>
    <row r="2199" spans="4:4">
      <c r="D2199" s="65"/>
    </row>
    <row r="2200" spans="4:4">
      <c r="D2200" s="65"/>
    </row>
    <row r="2201" spans="4:4">
      <c r="D2201" s="65"/>
    </row>
    <row r="2202" spans="4:4">
      <c r="D2202" s="65"/>
    </row>
    <row r="2203" spans="4:4">
      <c r="D2203" s="65"/>
    </row>
    <row r="2204" spans="4:4">
      <c r="D2204" s="65"/>
    </row>
    <row r="2205" spans="4:4">
      <c r="D2205" s="65"/>
    </row>
    <row r="2206" spans="4:4">
      <c r="D2206" s="65"/>
    </row>
    <row r="2207" spans="4:4">
      <c r="D2207" s="65"/>
    </row>
    <row r="2208" spans="4:4">
      <c r="D2208" s="65"/>
    </row>
    <row r="2209" spans="4:4">
      <c r="D2209" s="65"/>
    </row>
    <row r="2210" spans="4:4">
      <c r="D2210" s="65"/>
    </row>
    <row r="2211" spans="4:4">
      <c r="D2211" s="65"/>
    </row>
    <row r="2212" spans="4:4">
      <c r="D2212" s="65"/>
    </row>
    <row r="2213" spans="4:4">
      <c r="D2213" s="65"/>
    </row>
    <row r="2214" spans="4:4">
      <c r="D2214" s="65"/>
    </row>
    <row r="2215" spans="4:4">
      <c r="D2215" s="65"/>
    </row>
    <row r="2216" spans="4:4">
      <c r="D2216" s="65"/>
    </row>
    <row r="2217" spans="4:4">
      <c r="D2217" s="65"/>
    </row>
    <row r="2218" spans="4:4">
      <c r="D2218" s="65"/>
    </row>
    <row r="2219" spans="4:4">
      <c r="D2219" s="65"/>
    </row>
    <row r="2220" spans="4:4">
      <c r="D2220" s="65"/>
    </row>
    <row r="2221" spans="4:4">
      <c r="D2221" s="65"/>
    </row>
    <row r="2222" spans="4:4">
      <c r="D2222" s="65"/>
    </row>
    <row r="2223" spans="4:4">
      <c r="D2223" s="65"/>
    </row>
    <row r="2224" spans="4:4">
      <c r="D2224" s="65"/>
    </row>
    <row r="2225" spans="4:4">
      <c r="D2225" s="65"/>
    </row>
    <row r="2226" spans="4:4">
      <c r="D2226" s="65"/>
    </row>
    <row r="2227" spans="4:4">
      <c r="D2227" s="65"/>
    </row>
    <row r="2228" spans="4:4">
      <c r="D2228" s="65"/>
    </row>
    <row r="2229" spans="4:4">
      <c r="D2229" s="65"/>
    </row>
    <row r="2230" spans="4:4">
      <c r="D2230" s="65"/>
    </row>
    <row r="2231" spans="4:4">
      <c r="D2231" s="65"/>
    </row>
    <row r="2232" spans="4:4">
      <c r="D2232" s="65"/>
    </row>
    <row r="2233" spans="4:4">
      <c r="D2233" s="65"/>
    </row>
    <row r="2234" spans="4:4">
      <c r="D2234" s="65"/>
    </row>
    <row r="2235" spans="4:4">
      <c r="D2235" s="65"/>
    </row>
    <row r="2236" spans="4:4">
      <c r="D2236" s="65"/>
    </row>
    <row r="2237" spans="4:4">
      <c r="D2237" s="65"/>
    </row>
    <row r="2238" spans="4:4">
      <c r="D2238" s="65"/>
    </row>
    <row r="2239" spans="4:4">
      <c r="D2239" s="65"/>
    </row>
    <row r="2240" spans="4:4">
      <c r="D2240" s="65"/>
    </row>
    <row r="2241" spans="4:4">
      <c r="D2241" s="65"/>
    </row>
    <row r="2242" spans="4:4">
      <c r="D2242" s="65"/>
    </row>
    <row r="2243" spans="4:4">
      <c r="D2243" s="65"/>
    </row>
    <row r="2244" spans="4:4">
      <c r="D2244" s="65"/>
    </row>
    <row r="2245" spans="4:4">
      <c r="D2245" s="65"/>
    </row>
    <row r="2246" spans="4:4">
      <c r="D2246" s="65"/>
    </row>
    <row r="2247" spans="4:4">
      <c r="D2247" s="65"/>
    </row>
    <row r="2248" spans="4:4">
      <c r="D2248" s="65"/>
    </row>
    <row r="2249" spans="4:4">
      <c r="D2249" s="65"/>
    </row>
    <row r="2250" spans="4:4">
      <c r="D2250" s="65"/>
    </row>
    <row r="2251" spans="4:4">
      <c r="D2251" s="65"/>
    </row>
    <row r="2252" spans="4:4">
      <c r="D2252" s="65"/>
    </row>
    <row r="2253" spans="4:4">
      <c r="D2253" s="65"/>
    </row>
    <row r="2254" spans="4:4">
      <c r="D2254" s="65"/>
    </row>
    <row r="2255" spans="4:4">
      <c r="D2255" s="65"/>
    </row>
    <row r="2256" spans="4:4">
      <c r="D2256" s="65"/>
    </row>
    <row r="2257" spans="4:4">
      <c r="D2257" s="65"/>
    </row>
    <row r="2258" spans="4:4">
      <c r="D2258" s="65"/>
    </row>
    <row r="2259" spans="4:4">
      <c r="D2259" s="65"/>
    </row>
    <row r="2260" spans="4:4">
      <c r="D2260" s="65"/>
    </row>
    <row r="2261" spans="4:4">
      <c r="D2261" s="65"/>
    </row>
    <row r="2262" spans="4:4">
      <c r="D2262" s="65"/>
    </row>
    <row r="2263" spans="4:4">
      <c r="D2263" s="65"/>
    </row>
    <row r="2264" spans="4:4">
      <c r="D2264" s="65"/>
    </row>
    <row r="2265" spans="4:4">
      <c r="D2265" s="65"/>
    </row>
    <row r="2266" spans="4:4">
      <c r="D2266" s="65"/>
    </row>
    <row r="2267" spans="4:4">
      <c r="D2267" s="65"/>
    </row>
    <row r="2268" spans="4:4">
      <c r="D2268" s="65"/>
    </row>
    <row r="2269" spans="4:4">
      <c r="D2269" s="65"/>
    </row>
    <row r="2270" spans="4:4">
      <c r="D2270" s="65"/>
    </row>
    <row r="2271" spans="4:4">
      <c r="D2271" s="65"/>
    </row>
    <row r="2272" spans="4:4">
      <c r="D2272" s="65"/>
    </row>
    <row r="2273" spans="4:4">
      <c r="D2273" s="65"/>
    </row>
    <row r="2274" spans="4:4">
      <c r="D2274" s="65"/>
    </row>
    <row r="2275" spans="4:4">
      <c r="D2275" s="65"/>
    </row>
    <row r="2276" spans="4:4">
      <c r="D2276" s="65"/>
    </row>
    <row r="2277" spans="4:4">
      <c r="D2277" s="65"/>
    </row>
    <row r="2278" spans="4:4">
      <c r="D2278" s="65"/>
    </row>
    <row r="2279" spans="4:4">
      <c r="D2279" s="65"/>
    </row>
    <row r="2280" spans="4:4">
      <c r="D2280" s="65"/>
    </row>
    <row r="2281" spans="4:4">
      <c r="D2281" s="65"/>
    </row>
    <row r="2282" spans="4:4">
      <c r="D2282" s="65"/>
    </row>
    <row r="2283" spans="4:4">
      <c r="D2283" s="65"/>
    </row>
    <row r="2284" spans="4:4">
      <c r="D2284" s="65"/>
    </row>
    <row r="2285" spans="4:4">
      <c r="D2285" s="65"/>
    </row>
    <row r="2286" spans="4:4">
      <c r="D2286" s="65"/>
    </row>
    <row r="2287" spans="4:4">
      <c r="D2287" s="65"/>
    </row>
    <row r="2288" spans="4:4">
      <c r="D2288" s="65"/>
    </row>
    <row r="2289" spans="4:4">
      <c r="D2289" s="65"/>
    </row>
    <row r="2290" spans="4:4">
      <c r="D2290" s="65"/>
    </row>
    <row r="2291" spans="4:4">
      <c r="D2291" s="65"/>
    </row>
    <row r="2292" spans="4:4">
      <c r="D2292" s="65"/>
    </row>
    <row r="2293" spans="4:4">
      <c r="D2293" s="65"/>
    </row>
    <row r="2294" spans="4:4">
      <c r="D2294" s="65"/>
    </row>
    <row r="2295" spans="4:4">
      <c r="D2295" s="65"/>
    </row>
    <row r="2296" spans="4:4">
      <c r="D2296" s="65"/>
    </row>
    <row r="2297" spans="4:4">
      <c r="D2297" s="65"/>
    </row>
    <row r="2298" spans="4:4">
      <c r="D2298" s="65"/>
    </row>
    <row r="2299" spans="4:4">
      <c r="D2299" s="65"/>
    </row>
    <row r="2300" spans="4:4">
      <c r="D2300" s="65"/>
    </row>
    <row r="2301" spans="4:4">
      <c r="D2301" s="65"/>
    </row>
    <row r="2302" spans="4:4">
      <c r="D2302" s="65"/>
    </row>
    <row r="2303" spans="4:4">
      <c r="D2303" s="65"/>
    </row>
    <row r="2304" spans="4:4">
      <c r="D2304" s="65"/>
    </row>
    <row r="2305" spans="4:4">
      <c r="D2305" s="65"/>
    </row>
    <row r="2306" spans="4:4">
      <c r="D2306" s="65"/>
    </row>
    <row r="2307" spans="4:4">
      <c r="D2307" s="65"/>
    </row>
    <row r="2308" spans="4:4">
      <c r="D2308" s="65"/>
    </row>
    <row r="2309" spans="4:4">
      <c r="D2309" s="65"/>
    </row>
    <row r="2310" spans="4:4">
      <c r="D2310" s="65"/>
    </row>
    <row r="2311" spans="4:4">
      <c r="D2311" s="65"/>
    </row>
    <row r="2312" spans="4:4">
      <c r="D2312" s="65"/>
    </row>
    <row r="2313" spans="4:4">
      <c r="D2313" s="65"/>
    </row>
    <row r="2314" spans="4:4">
      <c r="D2314" s="65"/>
    </row>
    <row r="2315" spans="4:4">
      <c r="D2315" s="65"/>
    </row>
    <row r="2316" spans="4:4">
      <c r="D2316" s="65"/>
    </row>
    <row r="2317" spans="4:4">
      <c r="D2317" s="65"/>
    </row>
    <row r="2318" spans="4:4">
      <c r="D2318" s="65"/>
    </row>
    <row r="2319" spans="4:4">
      <c r="D2319" s="65"/>
    </row>
    <row r="2320" spans="4:4">
      <c r="D2320" s="65"/>
    </row>
    <row r="2321" spans="4:4">
      <c r="D2321" s="65"/>
    </row>
    <row r="2322" spans="4:4">
      <c r="D2322" s="65"/>
    </row>
    <row r="2323" spans="4:4">
      <c r="D2323" s="65"/>
    </row>
    <row r="2324" spans="4:4">
      <c r="D2324" s="65"/>
    </row>
    <row r="2325" spans="4:4">
      <c r="D2325" s="65"/>
    </row>
    <row r="2326" spans="4:4">
      <c r="D2326" s="65"/>
    </row>
    <row r="2327" spans="4:4">
      <c r="D2327" s="65"/>
    </row>
    <row r="2328" spans="4:4">
      <c r="D2328" s="65"/>
    </row>
    <row r="2329" spans="4:4">
      <c r="D2329" s="65"/>
    </row>
    <row r="2330" spans="4:4">
      <c r="D2330" s="65"/>
    </row>
    <row r="2331" spans="4:4">
      <c r="D2331" s="65"/>
    </row>
    <row r="2332" spans="4:4">
      <c r="D2332" s="65"/>
    </row>
    <row r="2333" spans="4:4">
      <c r="D2333" s="65"/>
    </row>
    <row r="2334" spans="4:4">
      <c r="D2334" s="65"/>
    </row>
    <row r="2335" spans="4:4">
      <c r="D2335" s="65"/>
    </row>
    <row r="2336" spans="4:4">
      <c r="D2336" s="65"/>
    </row>
    <row r="2337" spans="4:4">
      <c r="D2337" s="65"/>
    </row>
    <row r="2338" spans="4:4">
      <c r="D2338" s="65"/>
    </row>
    <row r="2339" spans="4:4">
      <c r="D2339" s="65"/>
    </row>
    <row r="2340" spans="4:4">
      <c r="D2340" s="65"/>
    </row>
    <row r="2341" spans="4:4">
      <c r="D2341" s="65"/>
    </row>
    <row r="2342" spans="4:4">
      <c r="D2342" s="65"/>
    </row>
    <row r="2343" spans="4:4">
      <c r="D2343" s="65"/>
    </row>
    <row r="2344" spans="4:4">
      <c r="D2344" s="65"/>
    </row>
    <row r="2345" spans="4:4">
      <c r="D2345" s="65"/>
    </row>
    <row r="2346" spans="4:4">
      <c r="D2346" s="65"/>
    </row>
    <row r="2347" spans="4:4">
      <c r="D2347" s="65"/>
    </row>
    <row r="2348" spans="4:4">
      <c r="D2348" s="65"/>
    </row>
    <row r="2349" spans="4:4">
      <c r="D2349" s="65"/>
    </row>
    <row r="2350" spans="4:4">
      <c r="D2350" s="65"/>
    </row>
    <row r="2351" spans="4:4">
      <c r="D2351" s="65"/>
    </row>
    <row r="2352" spans="4:4">
      <c r="D2352" s="65"/>
    </row>
    <row r="2353" spans="4:4">
      <c r="D2353" s="65"/>
    </row>
    <row r="2354" spans="4:4">
      <c r="D2354" s="65"/>
    </row>
    <row r="2355" spans="4:4">
      <c r="D2355" s="65"/>
    </row>
    <row r="2356" spans="4:4">
      <c r="D2356" s="65"/>
    </row>
    <row r="2357" spans="4:4">
      <c r="D2357" s="65"/>
    </row>
    <row r="2358" spans="4:4">
      <c r="D2358" s="65"/>
    </row>
    <row r="2359" spans="4:4">
      <c r="D2359" s="65"/>
    </row>
    <row r="2360" spans="4:4">
      <c r="D2360" s="65"/>
    </row>
    <row r="2361" spans="4:4">
      <c r="D2361" s="65"/>
    </row>
    <row r="2362" spans="4:4">
      <c r="D2362" s="65"/>
    </row>
    <row r="2363" spans="4:4">
      <c r="D2363" s="65"/>
    </row>
    <row r="2364" spans="4:4">
      <c r="D2364" s="65"/>
    </row>
    <row r="2365" spans="4:4">
      <c r="D2365" s="65"/>
    </row>
    <row r="2366" spans="4:4">
      <c r="D2366" s="65"/>
    </row>
    <row r="2367" spans="4:4">
      <c r="D2367" s="65"/>
    </row>
    <row r="2368" spans="4:4">
      <c r="D2368" s="65"/>
    </row>
    <row r="2369" spans="4:4">
      <c r="D2369" s="65"/>
    </row>
    <row r="2370" spans="4:4">
      <c r="D2370" s="65"/>
    </row>
    <row r="2371" spans="4:4">
      <c r="D2371" s="65"/>
    </row>
    <row r="2372" spans="4:4">
      <c r="D2372" s="65"/>
    </row>
    <row r="2373" spans="4:4">
      <c r="D2373" s="65"/>
    </row>
    <row r="2374" spans="4:4">
      <c r="D2374" s="65"/>
    </row>
    <row r="2375" spans="4:4">
      <c r="D2375" s="65"/>
    </row>
    <row r="2376" spans="4:4">
      <c r="D2376" s="65"/>
    </row>
    <row r="2377" spans="4:4">
      <c r="D2377" s="65"/>
    </row>
    <row r="2378" spans="4:4">
      <c r="D2378" s="65"/>
    </row>
    <row r="2379" spans="4:4">
      <c r="D2379" s="65"/>
    </row>
    <row r="2380" spans="4:4">
      <c r="D2380" s="65"/>
    </row>
    <row r="2381" spans="4:4">
      <c r="D2381" s="65"/>
    </row>
    <row r="2382" spans="4:4">
      <c r="D2382" s="65"/>
    </row>
    <row r="2383" spans="4:4">
      <c r="D2383" s="65"/>
    </row>
    <row r="2384" spans="4:4">
      <c r="D2384" s="65"/>
    </row>
    <row r="2385" spans="4:4">
      <c r="D2385" s="65"/>
    </row>
    <row r="2386" spans="4:4">
      <c r="D2386" s="65"/>
    </row>
    <row r="2387" spans="4:4">
      <c r="D2387" s="65"/>
    </row>
    <row r="2388" spans="4:4">
      <c r="D2388" s="65"/>
    </row>
    <row r="2389" spans="4:4">
      <c r="D2389" s="65"/>
    </row>
    <row r="2390" spans="4:4">
      <c r="D2390" s="65"/>
    </row>
    <row r="2391" spans="4:4">
      <c r="D2391" s="65"/>
    </row>
    <row r="2392" spans="4:4">
      <c r="D2392" s="65"/>
    </row>
    <row r="2393" spans="4:4">
      <c r="D2393" s="65"/>
    </row>
    <row r="2394" spans="4:4">
      <c r="D2394" s="65"/>
    </row>
    <row r="2395" spans="4:4">
      <c r="D2395" s="65"/>
    </row>
    <row r="2396" spans="4:4">
      <c r="D2396" s="65"/>
    </row>
    <row r="2397" spans="4:4">
      <c r="D2397" s="65"/>
    </row>
    <row r="2398" spans="4:4">
      <c r="D2398" s="65"/>
    </row>
    <row r="2399" spans="4:4">
      <c r="D2399" s="65"/>
    </row>
    <row r="2400" spans="4:4">
      <c r="D2400" s="65"/>
    </row>
    <row r="2401" spans="4:4">
      <c r="D2401" s="65"/>
    </row>
    <row r="2402" spans="4:4">
      <c r="D2402" s="65"/>
    </row>
    <row r="2403" spans="4:4">
      <c r="D2403" s="65"/>
    </row>
    <row r="2404" spans="4:4">
      <c r="D2404" s="65"/>
    </row>
    <row r="2405" spans="4:4">
      <c r="D2405" s="65"/>
    </row>
    <row r="2406" spans="4:4">
      <c r="D2406" s="65"/>
    </row>
    <row r="2407" spans="4:4">
      <c r="D2407" s="65"/>
    </row>
    <row r="2408" spans="4:4">
      <c r="D2408" s="65"/>
    </row>
    <row r="2409" spans="4:4">
      <c r="D2409" s="65"/>
    </row>
    <row r="2410" spans="4:4">
      <c r="D2410" s="65"/>
    </row>
    <row r="2411" spans="4:4">
      <c r="D2411" s="65"/>
    </row>
    <row r="2412" spans="4:4">
      <c r="D2412" s="65"/>
    </row>
    <row r="2413" spans="4:4">
      <c r="D2413" s="65"/>
    </row>
    <row r="2414" spans="4:4">
      <c r="D2414" s="65"/>
    </row>
    <row r="2415" spans="4:4">
      <c r="D2415" s="65"/>
    </row>
    <row r="2416" spans="4:4">
      <c r="D2416" s="65"/>
    </row>
    <row r="2417" spans="4:4">
      <c r="D2417" s="65"/>
    </row>
    <row r="2418" spans="4:4">
      <c r="D2418" s="65"/>
    </row>
    <row r="2419" spans="4:4">
      <c r="D2419" s="65"/>
    </row>
    <row r="2420" spans="4:4">
      <c r="D2420" s="65"/>
    </row>
    <row r="2421" spans="4:4">
      <c r="D2421" s="65"/>
    </row>
    <row r="2422" spans="4:4">
      <c r="D2422" s="65"/>
    </row>
    <row r="2423" spans="4:4">
      <c r="D2423" s="65"/>
    </row>
    <row r="2424" spans="4:4">
      <c r="D2424" s="65"/>
    </row>
    <row r="2425" spans="4:4">
      <c r="D2425" s="65"/>
    </row>
    <row r="2426" spans="4:4">
      <c r="D2426" s="65"/>
    </row>
    <row r="2427" spans="4:4">
      <c r="D2427" s="65"/>
    </row>
    <row r="2428" spans="4:4">
      <c r="D2428" s="65"/>
    </row>
    <row r="2429" spans="4:4">
      <c r="D2429" s="65"/>
    </row>
    <row r="2430" spans="4:4">
      <c r="D2430" s="65"/>
    </row>
    <row r="2431" spans="4:4">
      <c r="D2431" s="65"/>
    </row>
    <row r="2432" spans="4:4">
      <c r="D2432" s="65"/>
    </row>
    <row r="2433" spans="4:4">
      <c r="D2433" s="65"/>
    </row>
    <row r="2434" spans="4:4">
      <c r="D2434" s="65"/>
    </row>
    <row r="2435" spans="4:4">
      <c r="D2435" s="65"/>
    </row>
    <row r="2436" spans="4:4">
      <c r="D2436" s="65"/>
    </row>
    <row r="2437" spans="4:4">
      <c r="D2437" s="65"/>
    </row>
    <row r="2438" spans="4:4">
      <c r="D2438" s="65"/>
    </row>
    <row r="2439" spans="4:4">
      <c r="D2439" s="65"/>
    </row>
    <row r="2440" spans="4:4">
      <c r="D2440" s="65"/>
    </row>
    <row r="2441" spans="4:4">
      <c r="D2441" s="65"/>
    </row>
    <row r="2442" spans="4:4">
      <c r="D2442" s="65"/>
    </row>
    <row r="2443" spans="4:4">
      <c r="D2443" s="65"/>
    </row>
    <row r="2444" spans="4:4">
      <c r="D2444" s="65"/>
    </row>
    <row r="2445" spans="4:4">
      <c r="D2445" s="65"/>
    </row>
    <row r="2446" spans="4:4">
      <c r="D2446" s="65"/>
    </row>
    <row r="2447" spans="4:4">
      <c r="D2447" s="65"/>
    </row>
    <row r="2448" spans="4:4">
      <c r="D2448" s="65"/>
    </row>
    <row r="2449" spans="4:4">
      <c r="D2449" s="65"/>
    </row>
    <row r="2450" spans="4:4">
      <c r="D2450" s="65"/>
    </row>
    <row r="2451" spans="4:4">
      <c r="D2451" s="65"/>
    </row>
    <row r="2452" spans="4:4">
      <c r="D2452" s="65"/>
    </row>
    <row r="2453" spans="4:4">
      <c r="D2453" s="65"/>
    </row>
    <row r="2454" spans="4:4">
      <c r="D2454" s="65"/>
    </row>
    <row r="2455" spans="4:4">
      <c r="D2455" s="65"/>
    </row>
    <row r="2456" spans="4:4">
      <c r="D2456" s="65"/>
    </row>
    <row r="2457" spans="4:4">
      <c r="D2457" s="65"/>
    </row>
    <row r="2458" spans="4:4">
      <c r="D2458" s="65"/>
    </row>
    <row r="2459" spans="4:4">
      <c r="D2459" s="65"/>
    </row>
    <row r="2460" spans="4:4">
      <c r="D2460" s="65"/>
    </row>
    <row r="2461" spans="4:4">
      <c r="D2461" s="65"/>
    </row>
    <row r="2462" spans="4:4">
      <c r="D2462" s="65"/>
    </row>
    <row r="2463" spans="4:4">
      <c r="D2463" s="65"/>
    </row>
    <row r="2464" spans="4:4">
      <c r="D2464" s="65"/>
    </row>
    <row r="2465" spans="4:4">
      <c r="D2465" s="65"/>
    </row>
    <row r="2466" spans="4:4">
      <c r="D2466" s="65"/>
    </row>
    <row r="2467" spans="4:4">
      <c r="D2467" s="65"/>
    </row>
    <row r="2468" spans="4:4">
      <c r="D2468" s="65"/>
    </row>
    <row r="2469" spans="4:4">
      <c r="D2469" s="65"/>
    </row>
    <row r="2470" spans="4:4">
      <c r="D2470" s="65"/>
    </row>
    <row r="2471" spans="4:4">
      <c r="D2471" s="65"/>
    </row>
    <row r="2472" spans="4:4">
      <c r="D2472" s="65"/>
    </row>
    <row r="2473" spans="4:4">
      <c r="D2473" s="65"/>
    </row>
    <row r="2474" spans="4:4">
      <c r="D2474" s="65"/>
    </row>
    <row r="2475" spans="4:4">
      <c r="D2475" s="65"/>
    </row>
    <row r="2476" spans="4:4">
      <c r="D2476" s="65"/>
    </row>
    <row r="2477" spans="4:4">
      <c r="D2477" s="65"/>
    </row>
    <row r="2478" spans="4:4">
      <c r="D2478" s="65"/>
    </row>
    <row r="2479" spans="4:4">
      <c r="D2479" s="65"/>
    </row>
    <row r="2480" spans="4:4">
      <c r="D2480" s="65"/>
    </row>
    <row r="2481" spans="4:4">
      <c r="D2481" s="65"/>
    </row>
    <row r="2482" spans="4:4">
      <c r="D2482" s="65"/>
    </row>
    <row r="2483" spans="4:4">
      <c r="D2483" s="65"/>
    </row>
    <row r="2484" spans="4:4">
      <c r="D2484" s="65"/>
    </row>
    <row r="2485" spans="4:4">
      <c r="D2485" s="65"/>
    </row>
    <row r="2486" spans="4:4">
      <c r="D2486" s="65"/>
    </row>
    <row r="2487" spans="4:4">
      <c r="D2487" s="65"/>
    </row>
    <row r="2488" spans="4:4">
      <c r="D2488" s="65"/>
    </row>
    <row r="2489" spans="4:4">
      <c r="D2489" s="65"/>
    </row>
    <row r="2490" spans="4:4">
      <c r="D2490" s="65"/>
    </row>
    <row r="2491" spans="4:4">
      <c r="D2491" s="65"/>
    </row>
    <row r="2492" spans="4:4">
      <c r="D2492" s="65"/>
    </row>
    <row r="2493" spans="4:4">
      <c r="D2493" s="65"/>
    </row>
    <row r="2494" spans="4:4">
      <c r="D2494" s="65"/>
    </row>
    <row r="2495" spans="4:4">
      <c r="D2495" s="65"/>
    </row>
    <row r="2496" spans="4:4">
      <c r="D2496" s="65"/>
    </row>
    <row r="2497" spans="4:4">
      <c r="D2497" s="65"/>
    </row>
    <row r="2498" spans="4:4">
      <c r="D2498" s="65"/>
    </row>
    <row r="2499" spans="4:4">
      <c r="D2499" s="65"/>
    </row>
    <row r="2500" spans="4:4">
      <c r="D2500" s="65"/>
    </row>
    <row r="2501" spans="4:4">
      <c r="D2501" s="65"/>
    </row>
    <row r="2502" spans="4:4">
      <c r="D2502" s="65"/>
    </row>
    <row r="2503" spans="4:4">
      <c r="D2503" s="65"/>
    </row>
    <row r="2504" spans="4:4">
      <c r="D2504" s="65"/>
    </row>
    <row r="2505" spans="4:4">
      <c r="D2505" s="65"/>
    </row>
    <row r="2506" spans="4:4">
      <c r="D2506" s="65"/>
    </row>
    <row r="2507" spans="4:4">
      <c r="D2507" s="65"/>
    </row>
    <row r="2508" spans="4:4">
      <c r="D2508" s="65"/>
    </row>
    <row r="2509" spans="4:4">
      <c r="D2509" s="65"/>
    </row>
    <row r="2510" spans="4:4">
      <c r="D2510" s="65"/>
    </row>
    <row r="2511" spans="4:4">
      <c r="D2511" s="65"/>
    </row>
    <row r="2512" spans="4:4">
      <c r="D2512" s="65"/>
    </row>
    <row r="2513" spans="4:4">
      <c r="D2513" s="65"/>
    </row>
    <row r="2514" spans="4:4">
      <c r="D2514" s="65"/>
    </row>
    <row r="2515" spans="4:4">
      <c r="D2515" s="65"/>
    </row>
    <row r="2516" spans="4:4">
      <c r="D2516" s="65"/>
    </row>
    <row r="2517" spans="4:4">
      <c r="D2517" s="65"/>
    </row>
    <row r="2518" spans="4:4">
      <c r="D2518" s="65"/>
    </row>
    <row r="2519" spans="4:4">
      <c r="D2519" s="65"/>
    </row>
    <row r="2520" spans="4:4">
      <c r="D2520" s="65"/>
    </row>
    <row r="2521" spans="4:4">
      <c r="D2521" s="65"/>
    </row>
    <row r="2522" spans="4:4">
      <c r="D2522" s="65"/>
    </row>
    <row r="2523" spans="4:4">
      <c r="D2523" s="65"/>
    </row>
    <row r="2524" spans="4:4">
      <c r="D2524" s="65"/>
    </row>
    <row r="2525" spans="4:4">
      <c r="D2525" s="65"/>
    </row>
    <row r="2526" spans="4:4">
      <c r="D2526" s="65"/>
    </row>
    <row r="2527" spans="4:4">
      <c r="D2527" s="65"/>
    </row>
    <row r="2528" spans="4:4">
      <c r="D2528" s="65"/>
    </row>
    <row r="2529" spans="4:4">
      <c r="D2529" s="65"/>
    </row>
    <row r="2530" spans="4:4">
      <c r="D2530" s="65"/>
    </row>
    <row r="2531" spans="4:4">
      <c r="D2531" s="65"/>
    </row>
    <row r="2532" spans="4:4">
      <c r="D2532" s="65"/>
    </row>
    <row r="2533" spans="4:4">
      <c r="D2533" s="65"/>
    </row>
    <row r="2534" spans="4:4">
      <c r="D2534" s="65"/>
    </row>
    <row r="2535" spans="4:4">
      <c r="D2535" s="65"/>
    </row>
    <row r="2536" spans="4:4">
      <c r="D2536" s="65"/>
    </row>
    <row r="2537" spans="4:4">
      <c r="D2537" s="65"/>
    </row>
    <row r="2538" spans="4:4">
      <c r="D2538" s="65"/>
    </row>
    <row r="2539" spans="4:4">
      <c r="D2539" s="65"/>
    </row>
    <row r="2540" spans="4:4">
      <c r="D2540" s="65"/>
    </row>
    <row r="2541" spans="4:4">
      <c r="D2541" s="65"/>
    </row>
    <row r="2542" spans="4:4">
      <c r="D2542" s="65"/>
    </row>
    <row r="2543" spans="4:4">
      <c r="D2543" s="65"/>
    </row>
    <row r="2544" spans="4:4">
      <c r="D2544" s="65"/>
    </row>
    <row r="2545" spans="4:4">
      <c r="D2545" s="65"/>
    </row>
    <row r="2546" spans="4:4">
      <c r="D2546" s="65"/>
    </row>
    <row r="2547" spans="4:4">
      <c r="D2547" s="65"/>
    </row>
    <row r="2548" spans="4:4">
      <c r="D2548" s="65"/>
    </row>
    <row r="2549" spans="4:4">
      <c r="D2549" s="65"/>
    </row>
    <row r="2550" spans="4:4">
      <c r="D2550" s="65"/>
    </row>
    <row r="2551" spans="4:4">
      <c r="D2551" s="65"/>
    </row>
    <row r="2552" spans="4:4">
      <c r="D2552" s="65"/>
    </row>
    <row r="2553" spans="4:4">
      <c r="D2553" s="65"/>
    </row>
    <row r="2554" spans="4:4">
      <c r="D2554" s="65"/>
    </row>
    <row r="2555" spans="4:4">
      <c r="D2555" s="65"/>
    </row>
    <row r="2556" spans="4:4">
      <c r="D2556" s="65"/>
    </row>
    <row r="2557" spans="4:4">
      <c r="D2557" s="65"/>
    </row>
    <row r="2558" spans="4:4">
      <c r="D2558" s="65"/>
    </row>
    <row r="2559" spans="4:4">
      <c r="D2559" s="65"/>
    </row>
    <row r="2560" spans="4:4">
      <c r="D2560" s="65"/>
    </row>
    <row r="2561" spans="4:4">
      <c r="D2561" s="65"/>
    </row>
    <row r="2562" spans="4:4">
      <c r="D2562" s="65"/>
    </row>
    <row r="2563" spans="4:4">
      <c r="D2563" s="65"/>
    </row>
    <row r="2564" spans="4:4">
      <c r="D2564" s="65"/>
    </row>
    <row r="2565" spans="4:4">
      <c r="D2565" s="65"/>
    </row>
    <row r="2566" spans="4:4">
      <c r="D2566" s="65"/>
    </row>
    <row r="2567" spans="4:4">
      <c r="D2567" s="65"/>
    </row>
    <row r="2568" spans="4:4">
      <c r="D2568" s="65"/>
    </row>
    <row r="2569" spans="4:4">
      <c r="D2569" s="65"/>
    </row>
    <row r="2570" spans="4:4">
      <c r="D2570" s="65"/>
    </row>
    <row r="2571" spans="4:4">
      <c r="D2571" s="65"/>
    </row>
    <row r="2572" spans="4:4">
      <c r="D2572" s="65"/>
    </row>
    <row r="2573" spans="4:4">
      <c r="D2573" s="65"/>
    </row>
    <row r="2574" spans="4:4">
      <c r="D2574" s="65"/>
    </row>
    <row r="2575" spans="4:4">
      <c r="D2575" s="65"/>
    </row>
    <row r="2576" spans="4:4">
      <c r="D2576" s="65"/>
    </row>
    <row r="2577" spans="4:4">
      <c r="D2577" s="65"/>
    </row>
    <row r="2578" spans="4:4">
      <c r="D2578" s="65"/>
    </row>
    <row r="2579" spans="4:4">
      <c r="D2579" s="65"/>
    </row>
    <row r="2580" spans="4:4">
      <c r="D2580" s="65"/>
    </row>
    <row r="2581" spans="4:4">
      <c r="D2581" s="65"/>
    </row>
    <row r="2582" spans="4:4">
      <c r="D2582" s="65"/>
    </row>
    <row r="2583" spans="4:4">
      <c r="D2583" s="65"/>
    </row>
    <row r="2584" spans="4:4">
      <c r="D2584" s="65"/>
    </row>
    <row r="2585" spans="4:4">
      <c r="D2585" s="65"/>
    </row>
    <row r="2586" spans="4:4">
      <c r="D2586" s="65"/>
    </row>
    <row r="2587" spans="4:4">
      <c r="D2587" s="65"/>
    </row>
    <row r="2588" spans="4:4">
      <c r="D2588" s="65"/>
    </row>
    <row r="2589" spans="4:4">
      <c r="D2589" s="65"/>
    </row>
    <row r="2590" spans="4:4">
      <c r="D2590" s="65"/>
    </row>
    <row r="2591" spans="4:4">
      <c r="D2591" s="65"/>
    </row>
    <row r="2592" spans="4:4">
      <c r="D2592" s="65"/>
    </row>
    <row r="2593" spans="4:4">
      <c r="D2593" s="65"/>
    </row>
    <row r="2594" spans="4:4">
      <c r="D2594" s="65"/>
    </row>
    <row r="2595" spans="4:4">
      <c r="D2595" s="65"/>
    </row>
    <row r="2596" spans="4:4">
      <c r="D2596" s="65"/>
    </row>
    <row r="2597" spans="4:4">
      <c r="D2597" s="65"/>
    </row>
    <row r="2598" spans="4:4">
      <c r="D2598" s="65"/>
    </row>
    <row r="2599" spans="4:4">
      <c r="D2599" s="65"/>
    </row>
    <row r="2600" spans="4:4">
      <c r="D2600" s="65"/>
    </row>
    <row r="2601" spans="4:4">
      <c r="D2601" s="65"/>
    </row>
    <row r="2602" spans="4:4">
      <c r="D2602" s="65"/>
    </row>
    <row r="2603" spans="4:4">
      <c r="D2603" s="65"/>
    </row>
    <row r="2604" spans="4:4">
      <c r="D2604" s="65"/>
    </row>
    <row r="2605" spans="4:4">
      <c r="D2605" s="65"/>
    </row>
    <row r="2606" spans="4:4">
      <c r="D2606" s="65"/>
    </row>
    <row r="2607" spans="4:4">
      <c r="D2607" s="65"/>
    </row>
    <row r="2608" spans="4:4">
      <c r="D2608" s="65"/>
    </row>
    <row r="2609" spans="4:4">
      <c r="D2609" s="65"/>
    </row>
    <row r="2610" spans="4:4">
      <c r="D2610" s="65"/>
    </row>
    <row r="2611" spans="4:4">
      <c r="D2611" s="65"/>
    </row>
    <row r="2612" spans="4:4">
      <c r="D2612" s="65"/>
    </row>
    <row r="2613" spans="4:4">
      <c r="D2613" s="65"/>
    </row>
    <row r="2614" spans="4:4">
      <c r="D2614" s="65"/>
    </row>
    <row r="2615" spans="4:4">
      <c r="D2615" s="65"/>
    </row>
    <row r="2616" spans="4:4">
      <c r="D2616" s="65"/>
    </row>
    <row r="2617" spans="4:4">
      <c r="D2617" s="65"/>
    </row>
    <row r="2618" spans="4:4">
      <c r="D2618" s="65"/>
    </row>
    <row r="2619" spans="4:4">
      <c r="D2619" s="65"/>
    </row>
    <row r="2620" spans="4:4">
      <c r="D2620" s="65"/>
    </row>
    <row r="2621" spans="4:4">
      <c r="D2621" s="65"/>
    </row>
    <row r="2622" spans="4:4">
      <c r="D2622" s="65"/>
    </row>
    <row r="2623" spans="4:4">
      <c r="D2623" s="65"/>
    </row>
    <row r="2624" spans="4:4">
      <c r="D2624" s="65"/>
    </row>
    <row r="2625" spans="4:4">
      <c r="D2625" s="65"/>
    </row>
    <row r="2626" spans="4:4">
      <c r="D2626" s="65"/>
    </row>
    <row r="2627" spans="4:4">
      <c r="D2627" s="65"/>
    </row>
    <row r="2628" spans="4:4">
      <c r="D2628" s="65"/>
    </row>
    <row r="2629" spans="4:4">
      <c r="D2629" s="65"/>
    </row>
    <row r="2630" spans="4:4">
      <c r="D2630" s="65"/>
    </row>
    <row r="2631" spans="4:4">
      <c r="D2631" s="65"/>
    </row>
    <row r="2632" spans="4:4">
      <c r="D2632" s="65"/>
    </row>
    <row r="2633" spans="4:4">
      <c r="D2633" s="65"/>
    </row>
    <row r="2634" spans="4:4">
      <c r="D2634" s="65"/>
    </row>
    <row r="2635" spans="4:4">
      <c r="D2635" s="65"/>
    </row>
    <row r="2636" spans="4:4">
      <c r="D2636" s="65"/>
    </row>
    <row r="2637" spans="4:4">
      <c r="D2637" s="65"/>
    </row>
    <row r="2638" spans="4:4">
      <c r="D2638" s="65"/>
    </row>
    <row r="2639" spans="4:4">
      <c r="D2639" s="65"/>
    </row>
    <row r="2640" spans="4:4">
      <c r="D2640" s="65"/>
    </row>
    <row r="2641" spans="4:4">
      <c r="D2641" s="65"/>
    </row>
    <row r="2642" spans="4:4">
      <c r="D2642" s="65"/>
    </row>
    <row r="2643" spans="4:4">
      <c r="D2643" s="65"/>
    </row>
    <row r="2644" spans="4:4">
      <c r="D2644" s="65"/>
    </row>
    <row r="2645" spans="4:4">
      <c r="D2645" s="65"/>
    </row>
    <row r="2646" spans="4:4">
      <c r="D2646" s="65"/>
    </row>
    <row r="2647" spans="4:4">
      <c r="D2647" s="65"/>
    </row>
    <row r="2648" spans="4:4">
      <c r="D2648" s="65"/>
    </row>
    <row r="2649" spans="4:4">
      <c r="D2649" s="65"/>
    </row>
    <row r="2650" spans="4:4">
      <c r="D2650" s="65"/>
    </row>
    <row r="2651" spans="4:4">
      <c r="D2651" s="65"/>
    </row>
    <row r="2652" spans="4:4">
      <c r="D2652" s="65"/>
    </row>
    <row r="2653" spans="4:4">
      <c r="D2653" s="65"/>
    </row>
    <row r="2654" spans="4:4">
      <c r="D2654" s="65"/>
    </row>
    <row r="2655" spans="4:4">
      <c r="D2655" s="65"/>
    </row>
    <row r="2656" spans="4:4">
      <c r="D2656" s="65"/>
    </row>
    <row r="2657" spans="4:4">
      <c r="D2657" s="65"/>
    </row>
    <row r="2658" spans="4:4">
      <c r="D2658" s="65"/>
    </row>
    <row r="2659" spans="4:4">
      <c r="D2659" s="65"/>
    </row>
    <row r="2660" spans="4:4">
      <c r="D2660" s="65"/>
    </row>
    <row r="2661" spans="4:4">
      <c r="D2661" s="65"/>
    </row>
    <row r="2662" spans="4:4">
      <c r="D2662" s="65"/>
    </row>
    <row r="2663" spans="4:4">
      <c r="D2663" s="65"/>
    </row>
    <row r="2664" spans="4:4">
      <c r="D2664" s="65"/>
    </row>
    <row r="2665" spans="4:4">
      <c r="D2665" s="65"/>
    </row>
    <row r="2666" spans="4:4">
      <c r="D2666" s="65"/>
    </row>
    <row r="2667" spans="4:4">
      <c r="D2667" s="65"/>
    </row>
    <row r="2668" spans="4:4">
      <c r="D2668" s="65"/>
    </row>
    <row r="2669" spans="4:4">
      <c r="D2669" s="65"/>
    </row>
    <row r="2670" spans="4:4">
      <c r="D2670" s="65"/>
    </row>
    <row r="2671" spans="4:4">
      <c r="D2671" s="65"/>
    </row>
    <row r="2672" spans="4:4">
      <c r="D2672" s="65"/>
    </row>
    <row r="2673" spans="4:4">
      <c r="D2673" s="65"/>
    </row>
    <row r="2674" spans="4:4">
      <c r="D2674" s="65"/>
    </row>
    <row r="2675" spans="4:4">
      <c r="D2675" s="65"/>
    </row>
    <row r="2676" spans="4:4">
      <c r="D2676" s="65"/>
    </row>
    <row r="2677" spans="4:4">
      <c r="D2677" s="65"/>
    </row>
    <row r="2678" spans="4:4">
      <c r="D2678" s="65"/>
    </row>
    <row r="2679" spans="4:4">
      <c r="D2679" s="65"/>
    </row>
    <row r="2680" spans="4:4">
      <c r="D2680" s="65"/>
    </row>
    <row r="2681" spans="4:4">
      <c r="D2681" s="65"/>
    </row>
    <row r="2682" spans="4:4">
      <c r="D2682" s="65"/>
    </row>
    <row r="2683" spans="4:4">
      <c r="D2683" s="65"/>
    </row>
    <row r="2684" spans="4:4">
      <c r="D2684" s="65"/>
    </row>
    <row r="2685" spans="4:4">
      <c r="D2685" s="65"/>
    </row>
    <row r="2686" spans="4:4">
      <c r="D2686" s="65"/>
    </row>
    <row r="2687" spans="4:4">
      <c r="D2687" s="65"/>
    </row>
    <row r="2688" spans="4:4">
      <c r="D2688" s="65"/>
    </row>
    <row r="2689" spans="4:4">
      <c r="D2689" s="65"/>
    </row>
    <row r="2690" spans="4:4">
      <c r="D2690" s="65"/>
    </row>
    <row r="2691" spans="4:4">
      <c r="D2691" s="65"/>
    </row>
    <row r="2692" spans="4:4">
      <c r="D2692" s="65"/>
    </row>
    <row r="2693" spans="4:4">
      <c r="D2693" s="65"/>
    </row>
    <row r="2694" spans="4:4">
      <c r="D2694" s="65"/>
    </row>
    <row r="2695" spans="4:4">
      <c r="D2695" s="65"/>
    </row>
    <row r="2696" spans="4:4">
      <c r="D2696" s="65"/>
    </row>
    <row r="2697" spans="4:4">
      <c r="D2697" s="65"/>
    </row>
    <row r="2698" spans="4:4">
      <c r="D2698" s="65"/>
    </row>
    <row r="2699" spans="4:4">
      <c r="D2699" s="65"/>
    </row>
    <row r="2700" spans="4:4">
      <c r="D2700" s="65"/>
    </row>
    <row r="2701" spans="4:4">
      <c r="D2701" s="65"/>
    </row>
    <row r="2702" spans="4:4">
      <c r="D2702" s="65"/>
    </row>
    <row r="2703" spans="4:4">
      <c r="D2703" s="65"/>
    </row>
    <row r="2704" spans="4:4">
      <c r="D2704" s="65"/>
    </row>
    <row r="2705" spans="4:4">
      <c r="D2705" s="65"/>
    </row>
    <row r="2706" spans="4:4">
      <c r="D2706" s="65"/>
    </row>
    <row r="2707" spans="4:4">
      <c r="D2707" s="65"/>
    </row>
    <row r="2708" spans="4:4">
      <c r="D2708" s="65"/>
    </row>
    <row r="2709" spans="4:4">
      <c r="D2709" s="65"/>
    </row>
    <row r="2710" spans="4:4">
      <c r="D2710" s="65"/>
    </row>
    <row r="2711" spans="4:4">
      <c r="D2711" s="65"/>
    </row>
    <row r="2712" spans="4:4">
      <c r="D2712" s="65"/>
    </row>
    <row r="2713" spans="4:4">
      <c r="D2713" s="65"/>
    </row>
    <row r="2714" spans="4:4">
      <c r="D2714" s="65"/>
    </row>
    <row r="2715" spans="4:4">
      <c r="D2715" s="65"/>
    </row>
    <row r="2716" spans="4:4">
      <c r="D2716" s="65"/>
    </row>
    <row r="2717" spans="4:4">
      <c r="D2717" s="65"/>
    </row>
    <row r="2718" spans="4:4">
      <c r="D2718" s="65"/>
    </row>
    <row r="2719" spans="4:4">
      <c r="D2719" s="65"/>
    </row>
    <row r="2720" spans="4:4">
      <c r="D2720" s="65"/>
    </row>
    <row r="2721" spans="4:4">
      <c r="D2721" s="65"/>
    </row>
    <row r="2722" spans="4:4">
      <c r="D2722" s="65"/>
    </row>
    <row r="2723" spans="4:4">
      <c r="D2723" s="65"/>
    </row>
    <row r="2724" spans="4:4">
      <c r="D2724" s="65"/>
    </row>
    <row r="2725" spans="4:4">
      <c r="D2725" s="65"/>
    </row>
    <row r="2726" spans="4:4">
      <c r="D2726" s="65"/>
    </row>
    <row r="2727" spans="4:4">
      <c r="D2727" s="65"/>
    </row>
    <row r="2728" spans="4:4">
      <c r="D2728" s="65"/>
    </row>
    <row r="2729" spans="4:4">
      <c r="D2729" s="65"/>
    </row>
    <row r="2730" spans="4:4">
      <c r="D2730" s="65"/>
    </row>
    <row r="2731" spans="4:4">
      <c r="D2731" s="65"/>
    </row>
    <row r="2732" spans="4:4">
      <c r="D2732" s="65"/>
    </row>
    <row r="2733" spans="4:4">
      <c r="D2733" s="65"/>
    </row>
    <row r="2734" spans="4:4">
      <c r="D2734" s="65"/>
    </row>
    <row r="2735" spans="4:4">
      <c r="D2735" s="65"/>
    </row>
    <row r="2736" spans="4:4">
      <c r="D2736" s="65"/>
    </row>
    <row r="2737" spans="4:4">
      <c r="D2737" s="65"/>
    </row>
    <row r="2738" spans="4:4">
      <c r="D2738" s="65"/>
    </row>
    <row r="2739" spans="4:4">
      <c r="D2739" s="65"/>
    </row>
    <row r="2740" spans="4:4">
      <c r="D2740" s="65"/>
    </row>
    <row r="2741" spans="4:4">
      <c r="D2741" s="65"/>
    </row>
    <row r="2742" spans="4:4">
      <c r="D2742" s="65"/>
    </row>
    <row r="2743" spans="4:4">
      <c r="D2743" s="65"/>
    </row>
    <row r="2744" spans="4:4">
      <c r="D2744" s="65"/>
    </row>
    <row r="2745" spans="4:4">
      <c r="D2745" s="65"/>
    </row>
    <row r="2746" spans="4:4">
      <c r="D2746" s="65"/>
    </row>
    <row r="2747" spans="4:4">
      <c r="D2747" s="65"/>
    </row>
    <row r="2748" spans="4:4">
      <c r="D2748" s="65"/>
    </row>
    <row r="2749" spans="4:4">
      <c r="D2749" s="65"/>
    </row>
    <row r="2750" spans="4:4">
      <c r="D2750" s="65"/>
    </row>
    <row r="2751" spans="4:4">
      <c r="D2751" s="65"/>
    </row>
    <row r="2752" spans="4:4">
      <c r="D2752" s="65"/>
    </row>
    <row r="2753" spans="4:4">
      <c r="D2753" s="65"/>
    </row>
    <row r="2754" spans="4:4">
      <c r="D2754" s="65"/>
    </row>
    <row r="2755" spans="4:4">
      <c r="D2755" s="65"/>
    </row>
    <row r="2756" spans="4:4">
      <c r="D2756" s="65"/>
    </row>
    <row r="2757" spans="4:4">
      <c r="D2757" s="65"/>
    </row>
    <row r="2758" spans="4:4">
      <c r="D2758" s="65"/>
    </row>
    <row r="2759" spans="4:4">
      <c r="D2759" s="65"/>
    </row>
    <row r="2760" spans="4:4">
      <c r="D2760" s="65"/>
    </row>
    <row r="2761" spans="4:4">
      <c r="D2761" s="65"/>
    </row>
    <row r="2762" spans="4:4">
      <c r="D2762" s="65"/>
    </row>
    <row r="2763" spans="4:4">
      <c r="D2763" s="65"/>
    </row>
    <row r="2764" spans="4:4">
      <c r="D2764" s="65"/>
    </row>
    <row r="2765" spans="4:4">
      <c r="D2765" s="65"/>
    </row>
    <row r="2766" spans="4:4">
      <c r="D2766" s="65"/>
    </row>
    <row r="2767" spans="4:4">
      <c r="D2767" s="65"/>
    </row>
    <row r="2768" spans="4:4">
      <c r="D2768" s="65"/>
    </row>
    <row r="2769" spans="4:4">
      <c r="D2769" s="65"/>
    </row>
    <row r="2770" spans="4:4">
      <c r="D2770" s="65"/>
    </row>
    <row r="2771" spans="4:4">
      <c r="D2771" s="65"/>
    </row>
    <row r="2772" spans="4:4">
      <c r="D2772" s="65"/>
    </row>
    <row r="2773" spans="4:4">
      <c r="D2773" s="65"/>
    </row>
    <row r="2774" spans="4:4">
      <c r="D2774" s="65"/>
    </row>
    <row r="2775" spans="4:4">
      <c r="D2775" s="65"/>
    </row>
    <row r="2776" spans="4:4">
      <c r="D2776" s="65"/>
    </row>
    <row r="2777" spans="4:4">
      <c r="D2777" s="65"/>
    </row>
    <row r="2778" spans="4:4">
      <c r="D2778" s="65"/>
    </row>
    <row r="2779" spans="4:4">
      <c r="D2779" s="65"/>
    </row>
    <row r="2780" spans="4:4">
      <c r="D2780" s="65"/>
    </row>
    <row r="2781" spans="4:4">
      <c r="D2781" s="65"/>
    </row>
    <row r="2782" spans="4:4">
      <c r="D2782" s="65"/>
    </row>
    <row r="2783" spans="4:4">
      <c r="D2783" s="65"/>
    </row>
    <row r="2784" spans="4:4">
      <c r="D2784" s="65"/>
    </row>
    <row r="2785" spans="4:4">
      <c r="D2785" s="65"/>
    </row>
    <row r="2786" spans="4:4">
      <c r="D2786" s="65"/>
    </row>
    <row r="2787" spans="4:4">
      <c r="D2787" s="65"/>
    </row>
    <row r="2788" spans="4:4">
      <c r="D2788" s="65"/>
    </row>
    <row r="2789" spans="4:4">
      <c r="D2789" s="65"/>
    </row>
    <row r="2790" spans="4:4">
      <c r="D2790" s="65"/>
    </row>
    <row r="2791" spans="4:4">
      <c r="D2791" s="65"/>
    </row>
    <row r="2792" spans="4:4">
      <c r="D2792" s="65"/>
    </row>
    <row r="2793" spans="4:4">
      <c r="D2793" s="65"/>
    </row>
    <row r="2794" spans="4:4">
      <c r="D2794" s="65"/>
    </row>
    <row r="2795" spans="4:4">
      <c r="D2795" s="65"/>
    </row>
    <row r="2796" spans="4:4">
      <c r="D2796" s="65"/>
    </row>
    <row r="2797" spans="4:4">
      <c r="D2797" s="65"/>
    </row>
    <row r="2798" spans="4:4">
      <c r="D2798" s="65"/>
    </row>
    <row r="2799" spans="4:4">
      <c r="D2799" s="65"/>
    </row>
    <row r="2800" spans="4:4">
      <c r="D2800" s="65"/>
    </row>
    <row r="2801" spans="4:4">
      <c r="D2801" s="65"/>
    </row>
    <row r="2802" spans="4:4">
      <c r="D2802" s="65"/>
    </row>
    <row r="2803" spans="4:4">
      <c r="D2803" s="65"/>
    </row>
    <row r="2804" spans="4:4">
      <c r="D2804" s="65"/>
    </row>
    <row r="2805" spans="4:4">
      <c r="D2805" s="65"/>
    </row>
    <row r="2806" spans="4:4">
      <c r="D2806" s="65"/>
    </row>
    <row r="2807" spans="4:4">
      <c r="D2807" s="65"/>
    </row>
    <row r="2808" spans="4:4">
      <c r="D2808" s="65"/>
    </row>
    <row r="2809" spans="4:4">
      <c r="D2809" s="65"/>
    </row>
    <row r="2810" spans="4:4">
      <c r="D2810" s="65"/>
    </row>
    <row r="2811" spans="4:4">
      <c r="D2811" s="65"/>
    </row>
    <row r="2812" spans="4:4">
      <c r="D2812" s="65"/>
    </row>
    <row r="2813" spans="4:4">
      <c r="D2813" s="65"/>
    </row>
    <row r="2814" spans="4:4">
      <c r="D2814" s="65"/>
    </row>
    <row r="2815" spans="4:4">
      <c r="D2815" s="65"/>
    </row>
    <row r="2816" spans="4:4">
      <c r="D2816" s="65"/>
    </row>
    <row r="2817" spans="4:4">
      <c r="D2817" s="65"/>
    </row>
    <row r="2818" spans="4:4">
      <c r="D2818" s="65"/>
    </row>
    <row r="2819" spans="4:4">
      <c r="D2819" s="65"/>
    </row>
    <row r="2820" spans="4:4">
      <c r="D2820" s="65"/>
    </row>
    <row r="2821" spans="4:4">
      <c r="D2821" s="65"/>
    </row>
    <row r="2822" spans="4:4">
      <c r="D2822" s="65"/>
    </row>
    <row r="2823" spans="4:4">
      <c r="D2823" s="65"/>
    </row>
    <row r="2824" spans="4:4">
      <c r="D2824" s="65"/>
    </row>
    <row r="2825" spans="4:4">
      <c r="D2825" s="65"/>
    </row>
    <row r="2826" spans="4:4">
      <c r="D2826" s="65"/>
    </row>
    <row r="2827" spans="4:4">
      <c r="D2827" s="65"/>
    </row>
    <row r="2828" spans="4:4">
      <c r="D2828" s="65"/>
    </row>
    <row r="2829" spans="4:4">
      <c r="D2829" s="65"/>
    </row>
    <row r="2830" spans="4:4">
      <c r="D2830" s="65"/>
    </row>
    <row r="2831" spans="4:4">
      <c r="D2831" s="65"/>
    </row>
    <row r="2832" spans="4:4">
      <c r="D2832" s="65"/>
    </row>
    <row r="2833" spans="4:4">
      <c r="D2833" s="65"/>
    </row>
    <row r="2834" spans="4:4">
      <c r="D2834" s="65"/>
    </row>
    <row r="2835" spans="4:4">
      <c r="D2835" s="65"/>
    </row>
    <row r="2836" spans="4:4">
      <c r="D2836" s="65"/>
    </row>
    <row r="2837" spans="4:4">
      <c r="D2837" s="65"/>
    </row>
    <row r="2838" spans="4:4">
      <c r="D2838" s="65"/>
    </row>
    <row r="2839" spans="4:4">
      <c r="D2839" s="65"/>
    </row>
    <row r="2840" spans="4:4">
      <c r="D2840" s="65"/>
    </row>
    <row r="2841" spans="4:4">
      <c r="D2841" s="65"/>
    </row>
    <row r="2842" spans="4:4">
      <c r="D2842" s="65"/>
    </row>
    <row r="2843" spans="4:4">
      <c r="D2843" s="65"/>
    </row>
    <row r="2844" spans="4:4">
      <c r="D2844" s="65"/>
    </row>
    <row r="2845" spans="4:4">
      <c r="D2845" s="65"/>
    </row>
    <row r="2846" spans="4:4">
      <c r="D2846" s="65"/>
    </row>
    <row r="2847" spans="4:4">
      <c r="D2847" s="65"/>
    </row>
    <row r="2848" spans="4:4">
      <c r="D2848" s="65"/>
    </row>
    <row r="2849" spans="4:4">
      <c r="D2849" s="65"/>
    </row>
    <row r="2850" spans="4:4">
      <c r="D2850" s="65"/>
    </row>
    <row r="2851" spans="4:4">
      <c r="D2851" s="65"/>
    </row>
    <row r="2852" spans="4:4">
      <c r="D2852" s="65"/>
    </row>
    <row r="2853" spans="4:4">
      <c r="D2853" s="65"/>
    </row>
    <row r="2854" spans="4:4">
      <c r="D2854" s="65"/>
    </row>
    <row r="2855" spans="4:4">
      <c r="D2855" s="65"/>
    </row>
    <row r="2856" spans="4:4">
      <c r="D2856" s="65"/>
    </row>
    <row r="2857" spans="4:4">
      <c r="D2857" s="65"/>
    </row>
    <row r="2858" spans="4:4">
      <c r="D2858" s="65"/>
    </row>
    <row r="2859" spans="4:4">
      <c r="D2859" s="65"/>
    </row>
    <row r="2860" spans="4:4">
      <c r="D2860" s="65"/>
    </row>
    <row r="2861" spans="4:4">
      <c r="D2861" s="65"/>
    </row>
    <row r="2862" spans="4:4">
      <c r="D2862" s="65"/>
    </row>
    <row r="2863" spans="4:4">
      <c r="D2863" s="65"/>
    </row>
    <row r="2864" spans="4:4">
      <c r="D2864" s="65"/>
    </row>
    <row r="2865" spans="4:4">
      <c r="D2865" s="65"/>
    </row>
    <row r="2866" spans="4:4">
      <c r="D2866" s="65"/>
    </row>
    <row r="2867" spans="4:4">
      <c r="D2867" s="65"/>
    </row>
    <row r="2868" spans="4:4">
      <c r="D2868" s="65"/>
    </row>
    <row r="2869" spans="4:4">
      <c r="D2869" s="65"/>
    </row>
    <row r="2870" spans="4:4">
      <c r="D2870" s="65"/>
    </row>
    <row r="2871" spans="4:4">
      <c r="D2871" s="65"/>
    </row>
    <row r="2872" spans="4:4">
      <c r="D2872" s="65"/>
    </row>
    <row r="2873" spans="4:4">
      <c r="D2873" s="65"/>
    </row>
    <row r="2874" spans="4:4">
      <c r="D2874" s="65"/>
    </row>
    <row r="2875" spans="4:4">
      <c r="D2875" s="65"/>
    </row>
    <row r="2876" spans="4:4">
      <c r="D2876" s="65"/>
    </row>
    <row r="2877" spans="4:4">
      <c r="D2877" s="65"/>
    </row>
    <row r="2878" spans="4:4">
      <c r="D2878" s="65"/>
    </row>
    <row r="2879" spans="4:4">
      <c r="D2879" s="65"/>
    </row>
    <row r="2880" spans="4:4">
      <c r="D2880" s="65"/>
    </row>
    <row r="2881" spans="4:4">
      <c r="D2881" s="65"/>
    </row>
    <row r="2882" spans="4:4">
      <c r="D2882" s="65"/>
    </row>
    <row r="2883" spans="4:4">
      <c r="D2883" s="65"/>
    </row>
    <row r="2884" spans="4:4">
      <c r="D2884" s="65"/>
    </row>
    <row r="2885" spans="4:4">
      <c r="D2885" s="65"/>
    </row>
    <row r="2886" spans="4:4">
      <c r="D2886" s="65"/>
    </row>
    <row r="2887" spans="4:4">
      <c r="D2887" s="65"/>
    </row>
    <row r="2888" spans="4:4">
      <c r="D2888" s="65"/>
    </row>
    <row r="2889" spans="4:4">
      <c r="D2889" s="65"/>
    </row>
    <row r="2890" spans="4:4">
      <c r="D2890" s="65"/>
    </row>
    <row r="2891" spans="4:4">
      <c r="D2891" s="65"/>
    </row>
    <row r="2892" spans="4:4">
      <c r="D2892" s="65"/>
    </row>
    <row r="2893" spans="4:4">
      <c r="D2893" s="65"/>
    </row>
    <row r="2894" spans="4:4">
      <c r="D2894" s="65"/>
    </row>
    <row r="2895" spans="4:4">
      <c r="D2895" s="65"/>
    </row>
    <row r="2896" spans="4:4">
      <c r="D2896" s="65"/>
    </row>
    <row r="2897" spans="4:4">
      <c r="D2897" s="65"/>
    </row>
    <row r="2898" spans="4:4">
      <c r="D2898" s="65"/>
    </row>
    <row r="2899" spans="4:4">
      <c r="D2899" s="65"/>
    </row>
    <row r="2900" spans="4:4">
      <c r="D2900" s="65"/>
    </row>
    <row r="2901" spans="4:4">
      <c r="D2901" s="65"/>
    </row>
    <row r="2902" spans="4:4">
      <c r="D2902" s="65"/>
    </row>
    <row r="2903" spans="4:4">
      <c r="D2903" s="65"/>
    </row>
    <row r="2904" spans="4:4">
      <c r="D2904" s="65"/>
    </row>
    <row r="2905" spans="4:4">
      <c r="D2905" s="65"/>
    </row>
    <row r="2906" spans="4:4">
      <c r="D2906" s="65"/>
    </row>
    <row r="2907" spans="4:4">
      <c r="D2907" s="65"/>
    </row>
    <row r="2908" spans="4:4">
      <c r="D2908" s="65"/>
    </row>
    <row r="2909" spans="4:4">
      <c r="D2909" s="65"/>
    </row>
    <row r="2910" spans="4:4">
      <c r="D2910" s="65"/>
    </row>
    <row r="2911" spans="4:4">
      <c r="D2911" s="65"/>
    </row>
    <row r="2912" spans="4:4">
      <c r="D2912" s="65"/>
    </row>
    <row r="2913" spans="4:4">
      <c r="D2913" s="65"/>
    </row>
    <row r="2914" spans="4:4">
      <c r="D2914" s="65"/>
    </row>
    <row r="2915" spans="4:4">
      <c r="D2915" s="65"/>
    </row>
    <row r="2916" spans="4:4">
      <c r="D2916" s="65"/>
    </row>
    <row r="2917" spans="4:4">
      <c r="D2917" s="65"/>
    </row>
    <row r="2918" spans="4:4">
      <c r="D2918" s="65"/>
    </row>
    <row r="2919" spans="4:4">
      <c r="D2919" s="65"/>
    </row>
    <row r="2920" spans="4:4">
      <c r="D2920" s="65"/>
    </row>
    <row r="2921" spans="4:4">
      <c r="D2921" s="65"/>
    </row>
    <row r="2922" spans="4:4">
      <c r="D2922" s="65"/>
    </row>
    <row r="2923" spans="4:4">
      <c r="D2923" s="65"/>
    </row>
    <row r="2924" spans="4:4">
      <c r="D2924" s="65"/>
    </row>
    <row r="2925" spans="4:4">
      <c r="D2925" s="65"/>
    </row>
    <row r="2926" spans="4:4">
      <c r="D2926" s="65"/>
    </row>
    <row r="2927" spans="4:4">
      <c r="D2927" s="65"/>
    </row>
    <row r="2928" spans="4:4">
      <c r="D2928" s="65"/>
    </row>
    <row r="2929" spans="4:4">
      <c r="D2929" s="65"/>
    </row>
    <row r="2930" spans="4:4">
      <c r="D2930" s="65"/>
    </row>
    <row r="2931" spans="4:4">
      <c r="D2931" s="65"/>
    </row>
    <row r="2932" spans="4:4">
      <c r="D2932" s="65"/>
    </row>
    <row r="2933" spans="4:4">
      <c r="D2933" s="65"/>
    </row>
    <row r="2934" spans="4:4">
      <c r="D2934" s="65"/>
    </row>
    <row r="2935" spans="4:4">
      <c r="D2935" s="65"/>
    </row>
    <row r="2936" spans="4:4">
      <c r="D2936" s="65"/>
    </row>
    <row r="2937" spans="4:4">
      <c r="D2937" s="65"/>
    </row>
    <row r="2938" spans="4:4">
      <c r="D2938" s="65"/>
    </row>
    <row r="2939" spans="4:4">
      <c r="D2939" s="65"/>
    </row>
    <row r="2940" spans="4:4">
      <c r="D2940" s="65"/>
    </row>
    <row r="2941" spans="4:4">
      <c r="D2941" s="65"/>
    </row>
    <row r="2942" spans="4:4">
      <c r="D2942" s="65"/>
    </row>
    <row r="2943" spans="4:4">
      <c r="D2943" s="65"/>
    </row>
    <row r="2944" spans="4:4">
      <c r="D2944" s="65"/>
    </row>
    <row r="2945" spans="4:4">
      <c r="D2945" s="65"/>
    </row>
    <row r="2946" spans="4:4">
      <c r="D2946" s="65"/>
    </row>
    <row r="2947" spans="4:4">
      <c r="D2947" s="65"/>
    </row>
    <row r="2948" spans="4:4">
      <c r="D2948" s="65"/>
    </row>
    <row r="2949" spans="4:4">
      <c r="D2949" s="65"/>
    </row>
    <row r="2950" spans="4:4">
      <c r="D2950" s="65"/>
    </row>
    <row r="2951" spans="4:4">
      <c r="D2951" s="65"/>
    </row>
    <row r="2952" spans="4:4">
      <c r="D2952" s="65"/>
    </row>
    <row r="2953" spans="4:4">
      <c r="D2953" s="65"/>
    </row>
    <row r="2954" spans="4:4">
      <c r="D2954" s="65"/>
    </row>
    <row r="2955" spans="4:4">
      <c r="D2955" s="65"/>
    </row>
    <row r="2956" spans="4:4">
      <c r="D2956" s="65"/>
    </row>
    <row r="2957" spans="4:4">
      <c r="D2957" s="65"/>
    </row>
    <row r="2958" spans="4:4">
      <c r="D2958" s="65"/>
    </row>
    <row r="2959" spans="4:4">
      <c r="D2959" s="65"/>
    </row>
    <row r="2960" spans="4:4">
      <c r="D2960" s="65"/>
    </row>
    <row r="2961" spans="4:4">
      <c r="D2961" s="65"/>
    </row>
    <row r="2962" spans="4:4">
      <c r="D2962" s="65"/>
    </row>
    <row r="2963" spans="4:4">
      <c r="D2963" s="65"/>
    </row>
    <row r="2964" spans="4:4">
      <c r="D2964" s="65"/>
    </row>
    <row r="2965" spans="4:4">
      <c r="D2965" s="65"/>
    </row>
    <row r="2966" spans="4:4">
      <c r="D2966" s="65"/>
    </row>
    <row r="2967" spans="4:4">
      <c r="D2967" s="65"/>
    </row>
    <row r="2968" spans="4:4">
      <c r="D2968" s="65"/>
    </row>
    <row r="2969" spans="4:4">
      <c r="D2969" s="65"/>
    </row>
    <row r="2970" spans="4:4">
      <c r="D2970" s="65"/>
    </row>
    <row r="2971" spans="4:4">
      <c r="D2971" s="65"/>
    </row>
    <row r="2972" spans="4:4">
      <c r="D2972" s="65"/>
    </row>
    <row r="2973" spans="4:4">
      <c r="D2973" s="65"/>
    </row>
    <row r="2974" spans="4:4">
      <c r="D2974" s="65"/>
    </row>
    <row r="2975" spans="4:4">
      <c r="D2975" s="65"/>
    </row>
    <row r="2976" spans="4:4">
      <c r="D2976" s="65"/>
    </row>
    <row r="2977" spans="4:4">
      <c r="D2977" s="65"/>
    </row>
    <row r="2978" spans="4:4">
      <c r="D2978" s="65"/>
    </row>
    <row r="2979" spans="4:4">
      <c r="D2979" s="65"/>
    </row>
    <row r="2980" spans="4:4">
      <c r="D2980" s="65"/>
    </row>
    <row r="2981" spans="4:4">
      <c r="D2981" s="65"/>
    </row>
    <row r="2982" spans="4:4">
      <c r="D2982" s="65"/>
    </row>
    <row r="2983" spans="4:4">
      <c r="D2983" s="65"/>
    </row>
    <row r="2984" spans="4:4">
      <c r="D2984" s="65"/>
    </row>
    <row r="2985" spans="4:4">
      <c r="D2985" s="65"/>
    </row>
    <row r="2986" spans="4:4">
      <c r="D2986" s="65"/>
    </row>
    <row r="2987" spans="4:4">
      <c r="D2987" s="65"/>
    </row>
    <row r="2988" spans="4:4">
      <c r="D2988" s="65"/>
    </row>
    <row r="2989" spans="4:4">
      <c r="D2989" s="65"/>
    </row>
    <row r="2990" spans="4:4">
      <c r="D2990" s="65"/>
    </row>
    <row r="2991" spans="4:4">
      <c r="D2991" s="65"/>
    </row>
    <row r="2992" spans="4:4">
      <c r="D2992" s="65"/>
    </row>
    <row r="2993" spans="4:4">
      <c r="D2993" s="65"/>
    </row>
    <row r="2994" spans="4:4">
      <c r="D2994" s="65"/>
    </row>
    <row r="2995" spans="4:4">
      <c r="D2995" s="65"/>
    </row>
    <row r="2996" spans="4:4">
      <c r="D2996" s="65"/>
    </row>
    <row r="2997" spans="4:4">
      <c r="D2997" s="65"/>
    </row>
    <row r="2998" spans="4:4">
      <c r="D2998" s="65"/>
    </row>
    <row r="2999" spans="4:4">
      <c r="D2999" s="65"/>
    </row>
    <row r="3000" spans="4:4">
      <c r="D3000" s="65"/>
    </row>
    <row r="3001" spans="4:4">
      <c r="D3001" s="65"/>
    </row>
    <row r="3002" spans="4:4">
      <c r="D3002" s="65"/>
    </row>
    <row r="3003" spans="4:4">
      <c r="D3003" s="65"/>
    </row>
    <row r="3004" spans="4:4">
      <c r="D3004" s="65"/>
    </row>
    <row r="3005" spans="4:4">
      <c r="D3005" s="65"/>
    </row>
    <row r="3006" spans="4:4">
      <c r="D3006" s="65"/>
    </row>
    <row r="3007" spans="4:4">
      <c r="D3007" s="65"/>
    </row>
    <row r="3008" spans="4:4">
      <c r="D3008" s="65"/>
    </row>
    <row r="3009" spans="4:4">
      <c r="D3009" s="65"/>
    </row>
    <row r="3010" spans="4:4">
      <c r="D3010" s="65"/>
    </row>
    <row r="3011" spans="4:4">
      <c r="D3011" s="65"/>
    </row>
    <row r="3012" spans="4:4">
      <c r="D3012" s="65"/>
    </row>
    <row r="3013" spans="4:4">
      <c r="D3013" s="65"/>
    </row>
    <row r="3014" spans="4:4">
      <c r="D3014" s="65"/>
    </row>
    <row r="3015" spans="4:4">
      <c r="D3015" s="65"/>
    </row>
    <row r="3016" spans="4:4">
      <c r="D3016" s="65"/>
    </row>
    <row r="3017" spans="4:4">
      <c r="D3017" s="65"/>
    </row>
    <row r="3018" spans="4:4">
      <c r="D3018" s="65"/>
    </row>
    <row r="3019" spans="4:4">
      <c r="D3019" s="65"/>
    </row>
    <row r="3020" spans="4:4">
      <c r="D3020" s="65"/>
    </row>
    <row r="3021" spans="4:4">
      <c r="D3021" s="65"/>
    </row>
    <row r="3022" spans="4:4">
      <c r="D3022" s="65"/>
    </row>
    <row r="3023" spans="4:4">
      <c r="D3023" s="65"/>
    </row>
    <row r="3024" spans="4:4">
      <c r="D3024" s="65"/>
    </row>
    <row r="3025" spans="4:4">
      <c r="D3025" s="65"/>
    </row>
    <row r="3026" spans="4:4">
      <c r="D3026" s="65"/>
    </row>
    <row r="3027" spans="4:4">
      <c r="D3027" s="65"/>
    </row>
    <row r="3028" spans="4:4">
      <c r="D3028" s="65"/>
    </row>
    <row r="3029" spans="4:4">
      <c r="D3029" s="65"/>
    </row>
    <row r="3030" spans="4:4">
      <c r="D3030" s="65"/>
    </row>
    <row r="3031" spans="4:4">
      <c r="D3031" s="65"/>
    </row>
    <row r="3032" spans="4:4">
      <c r="D3032" s="65"/>
    </row>
    <row r="3033" spans="4:4">
      <c r="D3033" s="65"/>
    </row>
    <row r="3034" spans="4:4">
      <c r="D3034" s="65"/>
    </row>
    <row r="3035" spans="4:4">
      <c r="D3035" s="65"/>
    </row>
    <row r="3036" spans="4:4">
      <c r="D3036" s="65"/>
    </row>
    <row r="3037" spans="4:4">
      <c r="D3037" s="65"/>
    </row>
    <row r="3038" spans="4:4">
      <c r="D3038" s="65"/>
    </row>
    <row r="3039" spans="4:4">
      <c r="D3039" s="65"/>
    </row>
    <row r="3040" spans="4:4">
      <c r="D3040" s="65"/>
    </row>
    <row r="3041" spans="4:4">
      <c r="D3041" s="65"/>
    </row>
    <row r="3042" spans="4:4">
      <c r="D3042" s="65"/>
    </row>
    <row r="3043" spans="4:4">
      <c r="D3043" s="65"/>
    </row>
    <row r="3044" spans="4:4">
      <c r="D3044" s="65"/>
    </row>
    <row r="3045" spans="4:4">
      <c r="D3045" s="65"/>
    </row>
    <row r="3046" spans="4:4">
      <c r="D3046" s="65"/>
    </row>
    <row r="3047" spans="4:4">
      <c r="D3047" s="65"/>
    </row>
    <row r="3048" spans="4:4">
      <c r="D3048" s="65"/>
    </row>
    <row r="3049" spans="4:4">
      <c r="D3049" s="65"/>
    </row>
    <row r="3050" spans="4:4">
      <c r="D3050" s="65"/>
    </row>
    <row r="3051" spans="4:4">
      <c r="D3051" s="65"/>
    </row>
    <row r="3052" spans="4:4">
      <c r="D3052" s="65"/>
    </row>
    <row r="3053" spans="4:4">
      <c r="D3053" s="65"/>
    </row>
    <row r="3054" spans="4:4">
      <c r="D3054" s="65"/>
    </row>
    <row r="3055" spans="4:4">
      <c r="D3055" s="65"/>
    </row>
    <row r="3056" spans="4:4">
      <c r="D3056" s="65"/>
    </row>
    <row r="3057" spans="4:4">
      <c r="D3057" s="65"/>
    </row>
    <row r="3058" spans="4:4">
      <c r="D3058" s="65"/>
    </row>
    <row r="3059" spans="4:4">
      <c r="D3059" s="65"/>
    </row>
    <row r="3060" spans="4:4">
      <c r="D3060" s="65"/>
    </row>
    <row r="3061" spans="4:4">
      <c r="D3061" s="65"/>
    </row>
    <row r="3062" spans="4:4">
      <c r="D3062" s="65"/>
    </row>
    <row r="3063" spans="4:4">
      <c r="D3063" s="65"/>
    </row>
    <row r="3064" spans="4:4">
      <c r="D3064" s="65"/>
    </row>
    <row r="3065" spans="4:4">
      <c r="D3065" s="65"/>
    </row>
    <row r="3066" spans="4:4">
      <c r="D3066" s="65"/>
    </row>
    <row r="3067" spans="4:4">
      <c r="D3067" s="65"/>
    </row>
    <row r="3068" spans="4:4">
      <c r="D3068" s="65"/>
    </row>
    <row r="3069" spans="4:4">
      <c r="D3069" s="65"/>
    </row>
    <row r="3070" spans="4:4">
      <c r="D3070" s="65"/>
    </row>
    <row r="3071" spans="4:4">
      <c r="D3071" s="65"/>
    </row>
    <row r="3072" spans="4:4">
      <c r="D3072" s="65"/>
    </row>
    <row r="3073" spans="4:4">
      <c r="D3073" s="65"/>
    </row>
    <row r="3074" spans="4:4">
      <c r="D3074" s="65"/>
    </row>
    <row r="3075" spans="4:4">
      <c r="D3075" s="65"/>
    </row>
    <row r="3076" spans="4:4">
      <c r="D3076" s="65"/>
    </row>
    <row r="3077" spans="4:4">
      <c r="D3077" s="65"/>
    </row>
    <row r="3078" spans="4:4">
      <c r="D3078" s="65"/>
    </row>
    <row r="3079" spans="4:4">
      <c r="D3079" s="65"/>
    </row>
    <row r="3080" spans="4:4">
      <c r="D3080" s="65"/>
    </row>
    <row r="3081" spans="4:4">
      <c r="D3081" s="65"/>
    </row>
    <row r="3082" spans="4:4">
      <c r="D3082" s="65"/>
    </row>
    <row r="3083" spans="4:4">
      <c r="D3083" s="65"/>
    </row>
    <row r="3084" spans="4:4">
      <c r="D3084" s="65"/>
    </row>
    <row r="3085" spans="4:4">
      <c r="D3085" s="65"/>
    </row>
    <row r="3086" spans="4:4">
      <c r="D3086" s="65"/>
    </row>
    <row r="3087" spans="4:4">
      <c r="D3087" s="65"/>
    </row>
    <row r="3088" spans="4:4">
      <c r="D3088" s="65"/>
    </row>
    <row r="3089" spans="4:4">
      <c r="D3089" s="65"/>
    </row>
    <row r="3090" spans="4:4">
      <c r="D3090" s="65"/>
    </row>
    <row r="3091" spans="4:4">
      <c r="D3091" s="65"/>
    </row>
    <row r="3092" spans="4:4">
      <c r="D3092" s="65"/>
    </row>
    <row r="3093" spans="4:4">
      <c r="D3093" s="65"/>
    </row>
    <row r="3094" spans="4:4">
      <c r="D3094" s="65"/>
    </row>
    <row r="3095" spans="4:4">
      <c r="D3095" s="65"/>
    </row>
    <row r="3096" spans="4:4">
      <c r="D3096" s="65"/>
    </row>
    <row r="3097" spans="4:4">
      <c r="D3097" s="65"/>
    </row>
    <row r="3098" spans="4:4">
      <c r="D3098" s="65"/>
    </row>
    <row r="3099" spans="4:4">
      <c r="D3099" s="65"/>
    </row>
    <row r="3100" spans="4:4">
      <c r="D3100" s="65"/>
    </row>
    <row r="3101" spans="4:4">
      <c r="D3101" s="65"/>
    </row>
    <row r="3102" spans="4:4">
      <c r="D3102" s="65"/>
    </row>
    <row r="3103" spans="4:4">
      <c r="D3103" s="65"/>
    </row>
    <row r="3104" spans="4:4">
      <c r="D3104" s="65"/>
    </row>
    <row r="3105" spans="4:4">
      <c r="D3105" s="65"/>
    </row>
    <row r="3106" spans="4:4">
      <c r="D3106" s="65"/>
    </row>
    <row r="3107" spans="4:4">
      <c r="D3107" s="65"/>
    </row>
    <row r="3108" spans="4:4">
      <c r="D3108" s="65"/>
    </row>
    <row r="3109" spans="4:4">
      <c r="D3109" s="65"/>
    </row>
    <row r="3110" spans="4:4">
      <c r="D3110" s="65"/>
    </row>
    <row r="3111" spans="4:4">
      <c r="D3111" s="65"/>
    </row>
    <row r="3112" spans="4:4">
      <c r="D3112" s="65"/>
    </row>
    <row r="3113" spans="4:4">
      <c r="D3113" s="65"/>
    </row>
    <row r="3114" spans="4:4">
      <c r="D3114" s="65"/>
    </row>
    <row r="3115" spans="4:4">
      <c r="D3115" s="65"/>
    </row>
    <row r="3116" spans="4:4">
      <c r="D3116" s="65"/>
    </row>
    <row r="3117" spans="4:4">
      <c r="D3117" s="65"/>
    </row>
    <row r="3118" spans="4:4">
      <c r="D3118" s="65"/>
    </row>
    <row r="3119" spans="4:4">
      <c r="D3119" s="65"/>
    </row>
    <row r="3120" spans="4:4">
      <c r="D3120" s="65"/>
    </row>
    <row r="3121" spans="4:4">
      <c r="D3121" s="65"/>
    </row>
    <row r="3122" spans="4:4">
      <c r="D3122" s="65"/>
    </row>
    <row r="3123" spans="4:4">
      <c r="D3123" s="65"/>
    </row>
    <row r="3124" spans="4:4">
      <c r="D3124" s="65"/>
    </row>
    <row r="3125" spans="4:4">
      <c r="D3125" s="65"/>
    </row>
    <row r="3126" spans="4:4">
      <c r="D3126" s="65"/>
    </row>
    <row r="3127" spans="4:4">
      <c r="D3127" s="65"/>
    </row>
    <row r="3128" spans="4:4">
      <c r="D3128" s="65"/>
    </row>
    <row r="3129" spans="4:4">
      <c r="D3129" s="65"/>
    </row>
    <row r="3130" spans="4:4">
      <c r="D3130" s="65"/>
    </row>
    <row r="3131" spans="4:4">
      <c r="D3131" s="65"/>
    </row>
    <row r="3132" spans="4:4">
      <c r="D3132" s="65"/>
    </row>
    <row r="3133" spans="4:4">
      <c r="D3133" s="65"/>
    </row>
    <row r="3134" spans="4:4">
      <c r="D3134" s="65"/>
    </row>
    <row r="3135" spans="4:4">
      <c r="D3135" s="65"/>
    </row>
    <row r="3136" spans="4:4">
      <c r="D3136" s="65"/>
    </row>
    <row r="3137" spans="4:4">
      <c r="D3137" s="65"/>
    </row>
    <row r="3138" spans="4:4">
      <c r="D3138" s="65"/>
    </row>
    <row r="3139" spans="4:4">
      <c r="D3139" s="65"/>
    </row>
    <row r="3140" spans="4:4">
      <c r="D3140" s="65"/>
    </row>
    <row r="3141" spans="4:4">
      <c r="D3141" s="65"/>
    </row>
    <row r="3142" spans="4:4">
      <c r="D3142" s="65"/>
    </row>
    <row r="3143" spans="4:4">
      <c r="D3143" s="65"/>
    </row>
    <row r="3144" spans="4:4">
      <c r="D3144" s="65"/>
    </row>
    <row r="3145" spans="4:4">
      <c r="D3145" s="65"/>
    </row>
    <row r="3146" spans="4:4">
      <c r="D3146" s="65"/>
    </row>
    <row r="3147" spans="4:4">
      <c r="D3147" s="65"/>
    </row>
    <row r="3148" spans="4:4">
      <c r="D3148" s="65"/>
    </row>
    <row r="3149" spans="4:4">
      <c r="D3149" s="65"/>
    </row>
    <row r="3150" spans="4:4">
      <c r="D3150" s="65"/>
    </row>
    <row r="3151" spans="4:4">
      <c r="D3151" s="65"/>
    </row>
    <row r="3152" spans="4:4">
      <c r="D3152" s="65"/>
    </row>
    <row r="3153" spans="4:4">
      <c r="D3153" s="65"/>
    </row>
    <row r="3154" spans="4:4">
      <c r="D3154" s="65"/>
    </row>
    <row r="3155" spans="4:4">
      <c r="D3155" s="65"/>
    </row>
    <row r="3156" spans="4:4">
      <c r="D3156" s="65"/>
    </row>
    <row r="3157" spans="4:4">
      <c r="D3157" s="65"/>
    </row>
    <row r="3158" spans="4:4">
      <c r="D3158" s="65"/>
    </row>
    <row r="3159" spans="4:4">
      <c r="D3159" s="65"/>
    </row>
    <row r="3160" spans="4:4">
      <c r="D3160" s="65"/>
    </row>
    <row r="3161" spans="4:4">
      <c r="D3161" s="65"/>
    </row>
    <row r="3162" spans="4:4">
      <c r="D3162" s="65"/>
    </row>
    <row r="3163" spans="4:4">
      <c r="D3163" s="65"/>
    </row>
    <row r="3164" spans="4:4">
      <c r="D3164" s="65"/>
    </row>
    <row r="3165" spans="4:4">
      <c r="D3165" s="65"/>
    </row>
    <row r="3166" spans="4:4">
      <c r="D3166" s="65"/>
    </row>
    <row r="3167" spans="4:4">
      <c r="D3167" s="65"/>
    </row>
    <row r="3168" spans="4:4">
      <c r="D3168" s="65"/>
    </row>
    <row r="3169" spans="4:4">
      <c r="D3169" s="65"/>
    </row>
    <row r="3170" spans="4:4">
      <c r="D3170" s="65"/>
    </row>
    <row r="3171" spans="4:4">
      <c r="D3171" s="65"/>
    </row>
    <row r="3172" spans="4:4">
      <c r="D3172" s="65"/>
    </row>
    <row r="3173" spans="4:4">
      <c r="D3173" s="65"/>
    </row>
    <row r="3174" spans="4:4">
      <c r="D3174" s="65"/>
    </row>
    <row r="3175" spans="4:4">
      <c r="D3175" s="65"/>
    </row>
    <row r="3176" spans="4:4">
      <c r="D3176" s="65"/>
    </row>
    <row r="3177" spans="4:4">
      <c r="D3177" s="65"/>
    </row>
    <row r="3178" spans="4:4">
      <c r="D3178" s="65"/>
    </row>
    <row r="3179" spans="4:4">
      <c r="D3179" s="65"/>
    </row>
    <row r="3180" spans="4:4">
      <c r="D3180" s="65"/>
    </row>
    <row r="3181" spans="4:4">
      <c r="D3181" s="65"/>
    </row>
    <row r="3182" spans="4:4">
      <c r="D3182" s="65"/>
    </row>
    <row r="3183" spans="4:4">
      <c r="D3183" s="65"/>
    </row>
    <row r="3184" spans="4:4">
      <c r="D3184" s="65"/>
    </row>
    <row r="3185" spans="4:4">
      <c r="D3185" s="65"/>
    </row>
    <row r="3186" spans="4:4">
      <c r="D3186" s="65"/>
    </row>
    <row r="3187" spans="4:4">
      <c r="D3187" s="65"/>
    </row>
    <row r="3188" spans="4:4">
      <c r="D3188" s="65"/>
    </row>
    <row r="3189" spans="4:4">
      <c r="D3189" s="65"/>
    </row>
    <row r="3190" spans="4:4">
      <c r="D3190" s="65"/>
    </row>
    <row r="3191" spans="4:4">
      <c r="D3191" s="65"/>
    </row>
    <row r="3192" spans="4:4">
      <c r="D3192" s="65"/>
    </row>
    <row r="3193" spans="4:4">
      <c r="D3193" s="65"/>
    </row>
    <row r="3194" spans="4:4">
      <c r="D3194" s="65"/>
    </row>
    <row r="3195" spans="4:4">
      <c r="D3195" s="65"/>
    </row>
    <row r="3196" spans="4:4">
      <c r="D3196" s="65"/>
    </row>
    <row r="3197" spans="4:4">
      <c r="D3197" s="65"/>
    </row>
    <row r="3198" spans="4:4">
      <c r="D3198" s="65"/>
    </row>
    <row r="3199" spans="4:4">
      <c r="D3199" s="65"/>
    </row>
    <row r="3200" spans="4:4">
      <c r="D3200" s="65"/>
    </row>
    <row r="3201" spans="4:4">
      <c r="D3201" s="65"/>
    </row>
    <row r="3202" spans="4:4">
      <c r="D3202" s="65"/>
    </row>
    <row r="3203" spans="4:4">
      <c r="D3203" s="65"/>
    </row>
    <row r="3204" spans="4:4">
      <c r="D3204" s="65"/>
    </row>
    <row r="3205" spans="4:4">
      <c r="D3205" s="65"/>
    </row>
    <row r="3206" spans="4:4">
      <c r="D3206" s="65"/>
    </row>
    <row r="3207" spans="4:4">
      <c r="D3207" s="65"/>
    </row>
    <row r="3208" spans="4:4">
      <c r="D3208" s="65"/>
    </row>
    <row r="3209" spans="4:4">
      <c r="D3209" s="65"/>
    </row>
    <row r="3210" spans="4:4">
      <c r="D3210" s="65"/>
    </row>
    <row r="3211" spans="4:4">
      <c r="D3211" s="65"/>
    </row>
    <row r="3212" spans="4:4">
      <c r="D3212" s="65"/>
    </row>
    <row r="3213" spans="4:4">
      <c r="D3213" s="65"/>
    </row>
    <row r="3214" spans="4:4">
      <c r="D3214" s="65"/>
    </row>
    <row r="3215" spans="4:4">
      <c r="D3215" s="65"/>
    </row>
    <row r="3216" spans="4:4">
      <c r="D3216" s="65"/>
    </row>
    <row r="3217" spans="4:4">
      <c r="D3217" s="65"/>
    </row>
    <row r="3218" spans="4:4">
      <c r="D3218" s="65"/>
    </row>
    <row r="3219" spans="4:4">
      <c r="D3219" s="65"/>
    </row>
    <row r="3220" spans="4:4">
      <c r="D3220" s="65"/>
    </row>
    <row r="3221" spans="4:4">
      <c r="D3221" s="65"/>
    </row>
    <row r="3222" spans="4:4">
      <c r="D3222" s="65"/>
    </row>
    <row r="3223" spans="4:4">
      <c r="D3223" s="65"/>
    </row>
    <row r="3224" spans="4:4">
      <c r="D3224" s="65"/>
    </row>
    <row r="3225" spans="4:4">
      <c r="D3225" s="65"/>
    </row>
    <row r="3226" spans="4:4">
      <c r="D3226" s="65"/>
    </row>
    <row r="3227" spans="4:4">
      <c r="D3227" s="65"/>
    </row>
    <row r="3228" spans="4:4">
      <c r="D3228" s="65"/>
    </row>
    <row r="3229" spans="4:4">
      <c r="D3229" s="65"/>
    </row>
    <row r="3230" spans="4:4">
      <c r="D3230" s="65"/>
    </row>
    <row r="3231" spans="4:4">
      <c r="D3231" s="65"/>
    </row>
    <row r="3232" spans="4:4">
      <c r="D3232" s="65"/>
    </row>
    <row r="3233" spans="4:4">
      <c r="D3233" s="65"/>
    </row>
    <row r="3234" spans="4:4">
      <c r="D3234" s="65"/>
    </row>
    <row r="3235" spans="4:4">
      <c r="D3235" s="65"/>
    </row>
    <row r="3236" spans="4:4">
      <c r="D3236" s="65"/>
    </row>
    <row r="3237" spans="4:4">
      <c r="D3237" s="65"/>
    </row>
    <row r="3238" spans="4:4">
      <c r="D3238" s="65"/>
    </row>
    <row r="3239" spans="4:4">
      <c r="D3239" s="65"/>
    </row>
    <row r="3240" spans="4:4">
      <c r="D3240" s="65"/>
    </row>
    <row r="3241" spans="4:4">
      <c r="D3241" s="65"/>
    </row>
    <row r="3242" spans="4:4">
      <c r="D3242" s="65"/>
    </row>
    <row r="3243" spans="4:4">
      <c r="D3243" s="65"/>
    </row>
    <row r="3244" spans="4:4">
      <c r="D3244" s="65"/>
    </row>
    <row r="3245" spans="4:4">
      <c r="D3245" s="65"/>
    </row>
    <row r="3246" spans="4:4">
      <c r="D3246" s="65"/>
    </row>
    <row r="3247" spans="4:4">
      <c r="D3247" s="65"/>
    </row>
    <row r="3248" spans="4:4">
      <c r="D3248" s="65"/>
    </row>
    <row r="3249" spans="4:4">
      <c r="D3249" s="65"/>
    </row>
    <row r="3250" spans="4:4">
      <c r="D3250" s="65"/>
    </row>
    <row r="3251" spans="4:4">
      <c r="D3251" s="65"/>
    </row>
    <row r="3252" spans="4:4">
      <c r="D3252" s="65"/>
    </row>
    <row r="3253" spans="4:4">
      <c r="D3253" s="65"/>
    </row>
    <row r="3254" spans="4:4">
      <c r="D3254" s="65"/>
    </row>
    <row r="3255" spans="4:4">
      <c r="D3255" s="65"/>
    </row>
    <row r="3256" spans="4:4">
      <c r="D3256" s="65"/>
    </row>
    <row r="3257" spans="4:4">
      <c r="D3257" s="65"/>
    </row>
    <row r="3258" spans="4:4">
      <c r="D3258" s="65"/>
    </row>
    <row r="3259" spans="4:4">
      <c r="D3259" s="65"/>
    </row>
    <row r="3260" spans="4:4">
      <c r="D3260" s="65"/>
    </row>
    <row r="3261" spans="4:4">
      <c r="D3261" s="65"/>
    </row>
    <row r="3262" spans="4:4">
      <c r="D3262" s="65"/>
    </row>
    <row r="3263" spans="4:4">
      <c r="D3263" s="65"/>
    </row>
    <row r="3264" spans="4:4">
      <c r="D3264" s="65"/>
    </row>
    <row r="3265" spans="4:4">
      <c r="D3265" s="65"/>
    </row>
    <row r="3266" spans="4:4">
      <c r="D3266" s="65"/>
    </row>
    <row r="3267" spans="4:4">
      <c r="D3267" s="65"/>
    </row>
    <row r="3268" spans="4:4">
      <c r="D3268" s="65"/>
    </row>
    <row r="3269" spans="4:4">
      <c r="D3269" s="65"/>
    </row>
    <row r="3270" spans="4:4">
      <c r="D3270" s="65"/>
    </row>
    <row r="3271" spans="4:4">
      <c r="D3271" s="65"/>
    </row>
    <row r="3272" spans="4:4">
      <c r="D3272" s="65"/>
    </row>
    <row r="3273" spans="4:4">
      <c r="D3273" s="65"/>
    </row>
    <row r="3274" spans="4:4">
      <c r="D3274" s="65"/>
    </row>
    <row r="3275" spans="4:4">
      <c r="D3275" s="65"/>
    </row>
    <row r="3276" spans="4:4">
      <c r="D3276" s="65"/>
    </row>
    <row r="3277" spans="4:4">
      <c r="D3277" s="65"/>
    </row>
    <row r="3278" spans="4:4">
      <c r="D3278" s="65"/>
    </row>
    <row r="3279" spans="4:4">
      <c r="D3279" s="65"/>
    </row>
    <row r="3280" spans="4:4">
      <c r="D3280" s="65"/>
    </row>
    <row r="3281" spans="4:4">
      <c r="D3281" s="65"/>
    </row>
    <row r="3282" spans="4:4">
      <c r="D3282" s="65"/>
    </row>
    <row r="3283" spans="4:4">
      <c r="D3283" s="65"/>
    </row>
    <row r="3284" spans="4:4">
      <c r="D3284" s="65"/>
    </row>
    <row r="3285" spans="4:4">
      <c r="D3285" s="65"/>
    </row>
    <row r="3286" spans="4:4">
      <c r="D3286" s="65"/>
    </row>
    <row r="3287" spans="4:4">
      <c r="D3287" s="65"/>
    </row>
    <row r="3288" spans="4:4">
      <c r="D3288" s="65"/>
    </row>
    <row r="3289" spans="4:4">
      <c r="D3289" s="65"/>
    </row>
    <row r="3290" spans="4:4">
      <c r="D3290" s="65"/>
    </row>
    <row r="3291" spans="4:4">
      <c r="D3291" s="65"/>
    </row>
    <row r="3292" spans="4:4">
      <c r="D3292" s="65"/>
    </row>
    <row r="3293" spans="4:4">
      <c r="D3293" s="65"/>
    </row>
    <row r="3294" spans="4:4">
      <c r="D3294" s="65"/>
    </row>
    <row r="3295" spans="4:4">
      <c r="D3295" s="65"/>
    </row>
    <row r="3296" spans="4:4">
      <c r="D3296" s="65"/>
    </row>
    <row r="3297" spans="4:4">
      <c r="D3297" s="65"/>
    </row>
    <row r="3298" spans="4:4">
      <c r="D3298" s="65"/>
    </row>
    <row r="3299" spans="4:4">
      <c r="D3299" s="65"/>
    </row>
    <row r="3300" spans="4:4">
      <c r="D3300" s="65"/>
    </row>
    <row r="3301" spans="4:4">
      <c r="D3301" s="65"/>
    </row>
    <row r="3302" spans="4:4">
      <c r="D3302" s="65"/>
    </row>
    <row r="3303" spans="4:4">
      <c r="D3303" s="65"/>
    </row>
    <row r="3304" spans="4:4">
      <c r="D3304" s="65"/>
    </row>
    <row r="3305" spans="4:4">
      <c r="D3305" s="65"/>
    </row>
    <row r="3306" spans="4:4">
      <c r="D3306" s="65"/>
    </row>
    <row r="3307" spans="4:4">
      <c r="D3307" s="65"/>
    </row>
    <row r="3308" spans="4:4">
      <c r="D3308" s="65"/>
    </row>
    <row r="3309" spans="4:4">
      <c r="D3309" s="65"/>
    </row>
    <row r="3310" spans="4:4">
      <c r="D3310" s="65"/>
    </row>
    <row r="3311" spans="4:4">
      <c r="D3311" s="65"/>
    </row>
    <row r="3312" spans="4:4">
      <c r="D3312" s="65"/>
    </row>
    <row r="3313" spans="4:4">
      <c r="D3313" s="65"/>
    </row>
    <row r="3314" spans="4:4">
      <c r="D3314" s="65"/>
    </row>
    <row r="3315" spans="4:4">
      <c r="D3315" s="65"/>
    </row>
    <row r="3316" spans="4:4">
      <c r="D3316" s="65"/>
    </row>
    <row r="3317" spans="4:4">
      <c r="D3317" s="65"/>
    </row>
    <row r="3318" spans="4:4">
      <c r="D3318" s="65"/>
    </row>
    <row r="3319" spans="4:4">
      <c r="D3319" s="65"/>
    </row>
    <row r="3320" spans="4:4">
      <c r="D3320" s="65"/>
    </row>
    <row r="3321" spans="4:4">
      <c r="D3321" s="65"/>
    </row>
    <row r="3322" spans="4:4">
      <c r="D3322" s="65"/>
    </row>
    <row r="3323" spans="4:4">
      <c r="D3323" s="65"/>
    </row>
    <row r="3324" spans="4:4">
      <c r="D3324" s="65"/>
    </row>
    <row r="3325" spans="4:4">
      <c r="D3325" s="65"/>
    </row>
    <row r="3326" spans="4:4">
      <c r="D3326" s="65"/>
    </row>
    <row r="3327" spans="4:4">
      <c r="D3327" s="65"/>
    </row>
    <row r="3328" spans="4:4">
      <c r="D3328" s="65"/>
    </row>
    <row r="3329" spans="4:4">
      <c r="D3329" s="65"/>
    </row>
    <row r="3330" spans="4:4">
      <c r="D3330" s="65"/>
    </row>
  </sheetData>
  <autoFilter ref="A3:AA457" xr:uid="{00000000-0009-0000-0000-00000F000000}"/>
  <sortState xmlns:xlrd2="http://schemas.microsoft.com/office/spreadsheetml/2017/richdata2" ref="B4:B65">
    <sortCondition ref="B3"/>
  </sortState>
  <phoneticPr fontId="150" type="noConversion"/>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T219"/>
  <sheetViews>
    <sheetView zoomScale="78" zoomScaleNormal="78" zoomScaleSheetLayoutView="40" workbookViewId="0">
      <pane xSplit="8" ySplit="6" topLeftCell="I7" activePane="bottomRight" state="frozen"/>
      <selection pane="topRight" activeCell="I1" sqref="I1"/>
      <selection pane="bottomLeft" activeCell="A7" sqref="A7"/>
      <selection pane="bottomRight" activeCell="D35" sqref="D35"/>
    </sheetView>
  </sheetViews>
  <sheetFormatPr defaultColWidth="23.33203125" defaultRowHeight="15.5" outlineLevelCol="1"/>
  <cols>
    <col min="1" max="1" width="10.6640625" style="35" customWidth="1"/>
    <col min="2" max="2" width="23.83203125" style="35" customWidth="1"/>
    <col min="3" max="3" width="17.4140625" style="20" customWidth="1"/>
    <col min="4" max="4" width="22.4140625" style="20" customWidth="1"/>
    <col min="5" max="5" width="8.1640625" style="20" customWidth="1"/>
    <col min="6" max="6" width="16.4140625" style="20" customWidth="1"/>
    <col min="7" max="7" width="14.83203125" style="20" customWidth="1"/>
    <col min="8" max="8" width="25.33203125" style="20" customWidth="1"/>
    <col min="9" max="9" width="12.4140625" style="20" customWidth="1"/>
    <col min="10" max="10" width="12.4140625" style="38" customWidth="1"/>
    <col min="11" max="11" width="17.58203125" style="20" customWidth="1"/>
    <col min="12" max="12" width="15.6640625" customWidth="1"/>
    <col min="13" max="13" width="17.33203125" customWidth="1"/>
    <col min="14" max="14" width="16.33203125" customWidth="1"/>
    <col min="15" max="15" width="16.33203125" style="36" customWidth="1"/>
    <col min="16" max="16" width="17.33203125" style="33" customWidth="1"/>
    <col min="17" max="17" width="23.33203125" style="33" customWidth="1"/>
    <col min="18" max="18" width="17.1640625" customWidth="1"/>
    <col min="19" max="19" width="17.58203125" customWidth="1"/>
    <col min="20" max="21" width="23.33203125" customWidth="1"/>
    <col min="22" max="42" width="23.33203125" style="31" customWidth="1"/>
    <col min="43" max="43" width="23.33203125" style="20" customWidth="1"/>
    <col min="44" max="44" width="13.58203125" style="32" customWidth="1"/>
    <col min="45" max="45" width="13.5" style="32" customWidth="1"/>
    <col min="46" max="46" width="20.1640625" style="33" customWidth="1"/>
    <col min="47" max="47" width="17.6640625" style="33" customWidth="1"/>
    <col min="48" max="48" width="13.6640625" style="20" customWidth="1"/>
    <col min="49" max="49" width="23.33203125" style="20" customWidth="1"/>
    <col min="50" max="54" width="23.33203125" style="33" customWidth="1"/>
    <col min="55" max="82" width="23.33203125" style="37" customWidth="1"/>
    <col min="83" max="84" width="23.33203125" style="37" customWidth="1" outlineLevel="1"/>
    <col min="85" max="90" width="23.33203125" customWidth="1" outlineLevel="1"/>
    <col min="91" max="93" width="23.33203125" style="417" customWidth="1" outlineLevel="1"/>
    <col min="94" max="99" width="23.33203125" style="33" customWidth="1" outlineLevel="1"/>
    <col min="100" max="102" width="23.33203125" style="31" customWidth="1" outlineLevel="1"/>
    <col min="103" max="103" width="23.33203125" style="33" customWidth="1" outlineLevel="1"/>
    <col min="104" max="105" width="23.33203125" style="31" customWidth="1" outlineLevel="1"/>
    <col min="106" max="112" width="23.33203125" style="33" customWidth="1" outlineLevel="1"/>
    <col min="113" max="113" width="23.33203125" customWidth="1" outlineLevel="1"/>
    <col min="114" max="114" width="23.33203125" style="32" customWidth="1" outlineLevel="1"/>
    <col min="115" max="115" width="23.33203125" style="33" customWidth="1" outlineLevel="1"/>
    <col min="116" max="116" width="23.33203125" customWidth="1" outlineLevel="1"/>
    <col min="117" max="125" width="23.33203125" style="33" customWidth="1" outlineLevel="1"/>
    <col min="126" max="129" width="23.33203125" customWidth="1" outlineLevel="1"/>
    <col min="130" max="131" width="23.33203125" style="362" customWidth="1" outlineLevel="1"/>
    <col min="132" max="138" width="23.33203125" style="417" customWidth="1" outlineLevel="1"/>
    <col min="139" max="142" width="23.33203125" style="33" customWidth="1"/>
    <col min="143" max="143" width="23.33203125" customWidth="1"/>
    <col min="144" max="145" width="23.33203125" style="33" customWidth="1"/>
    <col min="146" max="146" width="23.33203125" style="37" customWidth="1"/>
    <col min="147" max="148" width="23.33203125" style="31" customWidth="1"/>
    <col min="149" max="16384" width="23.33203125" style="20"/>
  </cols>
  <sheetData>
    <row r="1" spans="1:150" s="19" customFormat="1" ht="16.5" hidden="1" customHeight="1" thickBot="1">
      <c r="A1" s="192"/>
      <c r="B1" s="203" t="s">
        <v>1851</v>
      </c>
      <c r="C1" s="203"/>
      <c r="D1" s="203"/>
      <c r="E1" s="201" t="s">
        <v>1849</v>
      </c>
      <c r="F1" s="182"/>
      <c r="G1" s="182"/>
      <c r="H1" s="182"/>
      <c r="I1" s="182"/>
      <c r="J1" s="182"/>
      <c r="K1" s="1076" t="s">
        <v>1850</v>
      </c>
      <c r="L1" s="1077"/>
      <c r="M1" s="69"/>
      <c r="N1" s="69"/>
      <c r="O1" s="69"/>
      <c r="P1" s="69"/>
      <c r="Q1" s="69"/>
      <c r="R1" s="69"/>
      <c r="S1" s="69"/>
      <c r="T1" s="197" t="s">
        <v>1582</v>
      </c>
      <c r="U1" s="197"/>
      <c r="V1" s="197"/>
      <c r="W1" s="197"/>
      <c r="X1" s="197"/>
      <c r="Y1" s="197"/>
      <c r="Z1" s="197"/>
      <c r="AA1" s="197"/>
      <c r="AB1" s="197"/>
      <c r="AC1" s="197"/>
      <c r="AD1" s="197"/>
      <c r="AE1" s="197"/>
      <c r="AF1" s="197"/>
      <c r="AG1" s="197"/>
      <c r="AH1" s="197"/>
      <c r="AI1" s="197"/>
      <c r="AJ1" s="197"/>
      <c r="AK1" s="197"/>
      <c r="AL1" s="197"/>
      <c r="AM1" s="197"/>
      <c r="AN1" s="197"/>
      <c r="AO1" s="197"/>
      <c r="AP1" s="197"/>
      <c r="AQ1" s="198" t="s">
        <v>1583</v>
      </c>
      <c r="AR1" s="198"/>
      <c r="AS1" s="198"/>
      <c r="AT1" s="198"/>
      <c r="AU1" s="198"/>
      <c r="AV1" s="198"/>
      <c r="AW1" s="198"/>
      <c r="AX1" s="198"/>
      <c r="AY1" s="198"/>
      <c r="AZ1" s="198"/>
      <c r="BA1" s="198"/>
      <c r="BB1" s="198"/>
      <c r="BC1" s="198"/>
      <c r="BD1" s="198"/>
      <c r="BE1" s="198"/>
      <c r="BF1" s="198"/>
      <c r="BG1" s="199" t="s">
        <v>1584</v>
      </c>
      <c r="BH1" s="199"/>
      <c r="BI1" s="199"/>
      <c r="BJ1" s="199"/>
      <c r="BK1" s="199"/>
      <c r="BL1" s="199"/>
      <c r="BM1" s="199"/>
      <c r="BN1" s="199"/>
      <c r="BO1" s="199"/>
      <c r="BP1" s="199"/>
      <c r="BQ1" s="273"/>
      <c r="BR1" s="273"/>
      <c r="BS1" s="273"/>
      <c r="BT1" s="1087" t="s">
        <v>2224</v>
      </c>
      <c r="BU1" s="1088"/>
      <c r="BV1" s="1088"/>
      <c r="BW1" s="1089"/>
      <c r="BX1" s="1090" t="s">
        <v>2306</v>
      </c>
      <c r="BY1" s="1091"/>
      <c r="BZ1" s="1091"/>
      <c r="CA1" s="697"/>
      <c r="CB1" s="697"/>
      <c r="CC1" s="697"/>
      <c r="CD1" s="697"/>
      <c r="CE1" s="70" t="s">
        <v>114</v>
      </c>
      <c r="CF1" s="70"/>
      <c r="CG1" s="70"/>
      <c r="CH1" s="70"/>
      <c r="CI1" s="70"/>
      <c r="CJ1" s="70"/>
      <c r="CK1" s="70"/>
      <c r="CL1" s="70"/>
      <c r="CM1" s="70"/>
      <c r="CN1" s="70"/>
      <c r="CO1" s="70"/>
      <c r="CP1" s="70"/>
      <c r="CQ1" s="70"/>
      <c r="CR1" s="70"/>
      <c r="CS1" s="71"/>
      <c r="CT1" s="70"/>
      <c r="CU1" s="70"/>
      <c r="CV1" s="70"/>
      <c r="CW1" s="71"/>
      <c r="CX1" s="71"/>
      <c r="CY1" s="70"/>
      <c r="CZ1" s="70"/>
      <c r="DA1" s="70"/>
      <c r="DB1" s="70"/>
      <c r="DC1" s="70"/>
      <c r="DD1" s="70"/>
      <c r="DE1" s="71"/>
      <c r="DF1" s="71"/>
      <c r="DG1" s="71"/>
      <c r="DH1" s="71"/>
      <c r="DI1" s="70"/>
      <c r="DJ1" s="70"/>
      <c r="DK1" s="70"/>
      <c r="DL1" s="70"/>
      <c r="DM1" s="71"/>
      <c r="DN1" s="71"/>
      <c r="DO1" s="71"/>
      <c r="DP1" s="71"/>
      <c r="DQ1" s="71"/>
      <c r="DR1" s="70"/>
      <c r="DS1" s="70"/>
      <c r="DT1" s="70"/>
      <c r="DU1" s="70"/>
      <c r="DV1" s="70"/>
      <c r="DW1" s="71"/>
      <c r="DX1" s="70"/>
      <c r="DY1" s="70"/>
      <c r="DZ1" s="70"/>
      <c r="EA1" s="70"/>
      <c r="EB1" s="70"/>
      <c r="EC1" s="70"/>
      <c r="ED1" s="70"/>
      <c r="EE1" s="70"/>
      <c r="EF1" s="70"/>
      <c r="EG1" s="70"/>
      <c r="EH1" s="70"/>
      <c r="EI1" s="152"/>
      <c r="EJ1" s="152"/>
      <c r="EK1" s="153"/>
      <c r="EL1" s="153"/>
      <c r="EM1" s="153"/>
      <c r="EN1" s="153"/>
      <c r="EO1" s="153"/>
      <c r="EP1" s="153"/>
      <c r="EQ1" s="153"/>
      <c r="ER1" s="153"/>
    </row>
    <row r="2" spans="1:150" s="19" customFormat="1" ht="21" customHeight="1" thickBot="1">
      <c r="A2" s="181" t="s">
        <v>0</v>
      </c>
      <c r="B2" s="202" t="s">
        <v>1</v>
      </c>
      <c r="C2" s="202" t="s">
        <v>2</v>
      </c>
      <c r="D2" s="202" t="s">
        <v>3</v>
      </c>
      <c r="E2" s="182" t="s">
        <v>4</v>
      </c>
      <c r="F2" s="182" t="s">
        <v>874</v>
      </c>
      <c r="G2" s="182" t="s">
        <v>5</v>
      </c>
      <c r="H2" s="182" t="s">
        <v>6</v>
      </c>
      <c r="I2" s="182" t="s">
        <v>47</v>
      </c>
      <c r="J2" s="182" t="s">
        <v>48</v>
      </c>
      <c r="K2" s="180" t="s">
        <v>51</v>
      </c>
      <c r="L2" s="180" t="s">
        <v>53</v>
      </c>
      <c r="M2" s="181" t="s">
        <v>54</v>
      </c>
      <c r="N2" s="181" t="s">
        <v>115</v>
      </c>
      <c r="O2" s="181" t="s">
        <v>116</v>
      </c>
      <c r="P2" s="181" t="s">
        <v>59</v>
      </c>
      <c r="Q2" s="181" t="s">
        <v>57</v>
      </c>
      <c r="R2" s="181" t="s">
        <v>61</v>
      </c>
      <c r="S2" s="181" t="s">
        <v>875</v>
      </c>
      <c r="T2" s="200" t="s">
        <v>62</v>
      </c>
      <c r="U2" s="200" t="s">
        <v>63</v>
      </c>
      <c r="V2" s="200" t="s">
        <v>64</v>
      </c>
      <c r="W2" s="200" t="s">
        <v>66</v>
      </c>
      <c r="X2" s="200" t="s">
        <v>876</v>
      </c>
      <c r="Y2" s="200" t="s">
        <v>67</v>
      </c>
      <c r="Z2" s="200" t="s">
        <v>68</v>
      </c>
      <c r="AA2" s="200" t="s">
        <v>69</v>
      </c>
      <c r="AB2" s="200" t="s">
        <v>70</v>
      </c>
      <c r="AC2" s="200" t="s">
        <v>1011</v>
      </c>
      <c r="AD2" s="200" t="s">
        <v>1012</v>
      </c>
      <c r="AE2" s="200" t="s">
        <v>1013</v>
      </c>
      <c r="AF2" s="200" t="s">
        <v>1014</v>
      </c>
      <c r="AG2" s="200" t="s">
        <v>1015</v>
      </c>
      <c r="AH2" s="200" t="s">
        <v>1016</v>
      </c>
      <c r="AI2" s="200" t="s">
        <v>1017</v>
      </c>
      <c r="AJ2" s="200" t="s">
        <v>1018</v>
      </c>
      <c r="AK2" s="200" t="s">
        <v>1019</v>
      </c>
      <c r="AL2" s="200" t="s">
        <v>1020</v>
      </c>
      <c r="AM2" s="200" t="s">
        <v>1568</v>
      </c>
      <c r="AN2" s="200" t="s">
        <v>1570</v>
      </c>
      <c r="AO2" s="200"/>
      <c r="AP2" s="200" t="s">
        <v>1713</v>
      </c>
      <c r="AQ2" s="184" t="s">
        <v>1788</v>
      </c>
      <c r="AR2" s="184" t="s">
        <v>1790</v>
      </c>
      <c r="AS2" s="184" t="s">
        <v>1791</v>
      </c>
      <c r="AT2" s="184" t="s">
        <v>1792</v>
      </c>
      <c r="AU2" s="184" t="s">
        <v>1793</v>
      </c>
      <c r="AV2" s="184" t="s">
        <v>1794</v>
      </c>
      <c r="AW2" s="184" t="s">
        <v>1795</v>
      </c>
      <c r="AX2" s="184" t="s">
        <v>1797</v>
      </c>
      <c r="AY2" s="184" t="s">
        <v>1799</v>
      </c>
      <c r="AZ2" s="184" t="s">
        <v>1800</v>
      </c>
      <c r="BA2" s="184" t="s">
        <v>1801</v>
      </c>
      <c r="BB2" s="184" t="s">
        <v>1802</v>
      </c>
      <c r="BC2" s="184" t="s">
        <v>1803</v>
      </c>
      <c r="BD2" s="184" t="s">
        <v>1805</v>
      </c>
      <c r="BE2" s="184" t="s">
        <v>1807</v>
      </c>
      <c r="BF2" s="184" t="s">
        <v>1809</v>
      </c>
      <c r="BG2" s="191" t="s">
        <v>1812</v>
      </c>
      <c r="BH2" s="191" t="s">
        <v>1815</v>
      </c>
      <c r="BI2" s="191" t="s">
        <v>1817</v>
      </c>
      <c r="BJ2" s="191" t="s">
        <v>1818</v>
      </c>
      <c r="BK2" s="191" t="s">
        <v>1819</v>
      </c>
      <c r="BL2" s="191" t="s">
        <v>1820</v>
      </c>
      <c r="BM2" s="191" t="s">
        <v>1954</v>
      </c>
      <c r="BN2" s="191" t="s">
        <v>1955</v>
      </c>
      <c r="BO2" s="191" t="s">
        <v>2018</v>
      </c>
      <c r="BP2" s="191" t="s">
        <v>2021</v>
      </c>
      <c r="BQ2" s="191" t="s">
        <v>2023</v>
      </c>
      <c r="BR2" s="191" t="s">
        <v>2183</v>
      </c>
      <c r="BS2" s="191" t="s">
        <v>2184</v>
      </c>
      <c r="BT2" s="485" t="s">
        <v>2185</v>
      </c>
      <c r="BU2" s="485" t="s">
        <v>2186</v>
      </c>
      <c r="BV2" s="485" t="s">
        <v>2187</v>
      </c>
      <c r="BW2" s="485" t="s">
        <v>2270</v>
      </c>
      <c r="BX2" s="510" t="s">
        <v>2271</v>
      </c>
      <c r="BY2" s="510" t="s">
        <v>2272</v>
      </c>
      <c r="BZ2" s="510" t="s">
        <v>2318</v>
      </c>
      <c r="CA2" s="698" t="s">
        <v>2698</v>
      </c>
      <c r="CB2" s="698" t="s">
        <v>2699</v>
      </c>
      <c r="CC2" s="698" t="s">
        <v>2700</v>
      </c>
      <c r="CD2" s="698" t="s">
        <v>2702</v>
      </c>
      <c r="CE2" s="1078" t="s">
        <v>1600</v>
      </c>
      <c r="CF2" s="1079"/>
      <c r="CG2" s="1080"/>
      <c r="CH2" s="1081" t="s">
        <v>1601</v>
      </c>
      <c r="CI2" s="1079"/>
      <c r="CJ2" s="1079"/>
      <c r="CK2" s="1079"/>
      <c r="CL2" s="1079"/>
      <c r="CM2" s="1079"/>
      <c r="CN2" s="1079"/>
      <c r="CO2" s="1079"/>
      <c r="CP2" s="1079"/>
      <c r="CQ2" s="1079"/>
      <c r="CR2" s="1079"/>
      <c r="CS2" s="1082" t="s">
        <v>2056</v>
      </c>
      <c r="CT2" s="1083" t="s">
        <v>1602</v>
      </c>
      <c r="CU2" s="1084"/>
      <c r="CV2" s="1082"/>
      <c r="CW2" s="1082" t="s">
        <v>77</v>
      </c>
      <c r="CX2" s="1107"/>
      <c r="CY2" s="1110" t="s">
        <v>2062</v>
      </c>
      <c r="CZ2" s="1111"/>
      <c r="DA2" s="1103" t="s">
        <v>2061</v>
      </c>
      <c r="DB2" s="1104"/>
      <c r="DC2" s="1109"/>
      <c r="DD2" s="383"/>
      <c r="DE2" s="1109" t="s">
        <v>2064</v>
      </c>
      <c r="DF2" s="1109" t="s">
        <v>1281</v>
      </c>
      <c r="DG2" s="1109"/>
      <c r="DH2" s="552"/>
      <c r="DI2" s="1098"/>
      <c r="DJ2" s="1099" t="s">
        <v>1519</v>
      </c>
      <c r="DK2" s="1100"/>
      <c r="DL2" s="1097"/>
      <c r="DM2" s="329" t="s">
        <v>1475</v>
      </c>
      <c r="DN2" s="330"/>
      <c r="DO2" s="330"/>
      <c r="DP2" s="330"/>
      <c r="DQ2" s="330"/>
      <c r="DR2" s="339"/>
      <c r="DS2" s="348" t="s">
        <v>1519</v>
      </c>
      <c r="DT2" s="344"/>
      <c r="DU2" s="330"/>
      <c r="DV2" s="330"/>
      <c r="DW2" s="330"/>
      <c r="DX2" s="330"/>
      <c r="DY2" s="330"/>
      <c r="DZ2" s="330"/>
      <c r="EA2" s="330"/>
      <c r="EB2" s="498"/>
      <c r="EC2" s="498"/>
      <c r="ED2" s="498"/>
      <c r="EE2" s="498"/>
      <c r="EF2" s="498"/>
      <c r="EG2" s="498"/>
      <c r="EH2" s="498"/>
      <c r="EI2" s="39" t="s">
        <v>7</v>
      </c>
      <c r="EJ2" s="34" t="s">
        <v>8</v>
      </c>
      <c r="EK2" s="34" t="s">
        <v>9</v>
      </c>
      <c r="EL2" s="34" t="s">
        <v>10</v>
      </c>
      <c r="EM2" s="34" t="s">
        <v>11</v>
      </c>
      <c r="EN2" s="34" t="s">
        <v>12</v>
      </c>
      <c r="EO2" s="34" t="s">
        <v>13</v>
      </c>
      <c r="EP2" s="34" t="s">
        <v>14</v>
      </c>
      <c r="EQ2" s="34" t="s">
        <v>15</v>
      </c>
      <c r="ER2" s="34"/>
    </row>
    <row r="3" spans="1:150" s="225" customFormat="1" ht="77.5" hidden="1" customHeight="1" thickBot="1">
      <c r="A3" s="516" t="s">
        <v>1857</v>
      </c>
      <c r="B3" s="517" t="s">
        <v>1858</v>
      </c>
      <c r="C3" s="517" t="s">
        <v>1859</v>
      </c>
      <c r="D3" s="517" t="s">
        <v>1860</v>
      </c>
      <c r="E3" s="518" t="s">
        <v>1861</v>
      </c>
      <c r="F3" s="518" t="s">
        <v>1862</v>
      </c>
      <c r="G3" s="518" t="s">
        <v>1863</v>
      </c>
      <c r="H3" s="518" t="s">
        <v>1864</v>
      </c>
      <c r="I3" s="518" t="s">
        <v>1904</v>
      </c>
      <c r="J3" s="518" t="s">
        <v>1903</v>
      </c>
      <c r="K3" s="519" t="s">
        <v>1865</v>
      </c>
      <c r="L3" s="519" t="s">
        <v>1866</v>
      </c>
      <c r="M3" s="516" t="s">
        <v>2024</v>
      </c>
      <c r="N3" s="516" t="s">
        <v>1572</v>
      </c>
      <c r="O3" s="516" t="s">
        <v>1868</v>
      </c>
      <c r="P3" s="516" t="s">
        <v>1870</v>
      </c>
      <c r="Q3" s="516" t="s">
        <v>1872</v>
      </c>
      <c r="R3" s="516" t="s">
        <v>1873</v>
      </c>
      <c r="S3" s="520" t="s">
        <v>1874</v>
      </c>
      <c r="T3" s="542" t="s">
        <v>1945</v>
      </c>
      <c r="U3" s="542" t="s">
        <v>1913</v>
      </c>
      <c r="V3" s="542" t="s">
        <v>1914</v>
      </c>
      <c r="W3" s="543" t="s">
        <v>2025</v>
      </c>
      <c r="X3" s="542" t="s">
        <v>1947</v>
      </c>
      <c r="Y3" s="543" t="s">
        <v>2026</v>
      </c>
      <c r="Z3" s="542" t="s">
        <v>2027</v>
      </c>
      <c r="AA3" s="543" t="s">
        <v>1975</v>
      </c>
      <c r="AB3" s="543" t="s">
        <v>1980</v>
      </c>
      <c r="AC3" s="543" t="s">
        <v>2028</v>
      </c>
      <c r="AD3" s="543" t="s">
        <v>2319</v>
      </c>
      <c r="AE3" s="543" t="s">
        <v>1927</v>
      </c>
      <c r="AF3" s="543" t="s">
        <v>2320</v>
      </c>
      <c r="AG3" s="543" t="s">
        <v>2030</v>
      </c>
      <c r="AH3" s="543" t="s">
        <v>2031</v>
      </c>
      <c r="AI3" s="543" t="s">
        <v>1918</v>
      </c>
      <c r="AJ3" s="544" t="s">
        <v>2275</v>
      </c>
      <c r="AK3" s="543" t="s">
        <v>1921</v>
      </c>
      <c r="AL3" s="543" t="s">
        <v>2276</v>
      </c>
      <c r="AM3" s="543" t="s">
        <v>2282</v>
      </c>
      <c r="AN3" s="543" t="s">
        <v>2283</v>
      </c>
      <c r="AO3" s="543"/>
      <c r="AP3" s="543" t="s">
        <v>1877</v>
      </c>
      <c r="AQ3" s="545" t="s">
        <v>1976</v>
      </c>
      <c r="AR3" s="545" t="s">
        <v>2033</v>
      </c>
      <c r="AS3" s="545" t="s">
        <v>2305</v>
      </c>
      <c r="AT3" s="545" t="s">
        <v>2036</v>
      </c>
      <c r="AU3" s="545" t="s">
        <v>2038</v>
      </c>
      <c r="AV3" s="545" t="s">
        <v>1922</v>
      </c>
      <c r="AW3" s="545" t="s">
        <v>1925</v>
      </c>
      <c r="AX3" s="545" t="s">
        <v>1926</v>
      </c>
      <c r="AY3" s="546" t="s">
        <v>1879</v>
      </c>
      <c r="AZ3" s="546" t="s">
        <v>1899</v>
      </c>
      <c r="BA3" s="546" t="s">
        <v>1882</v>
      </c>
      <c r="BB3" s="546" t="s">
        <v>1884</v>
      </c>
      <c r="BC3" s="546" t="s">
        <v>2329</v>
      </c>
      <c r="BD3" s="546" t="s">
        <v>2330</v>
      </c>
      <c r="BE3" s="546" t="s">
        <v>2192</v>
      </c>
      <c r="BF3" s="546" t="s">
        <v>1886</v>
      </c>
      <c r="BG3" s="547" t="s">
        <v>1888</v>
      </c>
      <c r="BH3" s="547" t="s">
        <v>1978</v>
      </c>
      <c r="BI3" s="547" t="s">
        <v>1890</v>
      </c>
      <c r="BJ3" s="547" t="s">
        <v>1891</v>
      </c>
      <c r="BK3" s="547" t="s">
        <v>1979</v>
      </c>
      <c r="BL3" s="548" t="s">
        <v>1900</v>
      </c>
      <c r="BM3" s="548" t="s">
        <v>1902</v>
      </c>
      <c r="BN3" s="548" t="s">
        <v>1894</v>
      </c>
      <c r="BO3" s="548" t="s">
        <v>2325</v>
      </c>
      <c r="BP3" s="548" t="s">
        <v>1895</v>
      </c>
      <c r="BQ3" s="548" t="s">
        <v>2040</v>
      </c>
      <c r="BR3" s="548" t="s">
        <v>2041</v>
      </c>
      <c r="BS3" s="548" t="s">
        <v>1896</v>
      </c>
      <c r="BT3" s="521" t="s">
        <v>2197</v>
      </c>
      <c r="BU3" s="521" t="s">
        <v>2198</v>
      </c>
      <c r="BV3" s="521" t="s">
        <v>2199</v>
      </c>
      <c r="BW3" s="521" t="s">
        <v>2195</v>
      </c>
      <c r="BX3" s="541"/>
      <c r="BY3" s="541"/>
      <c r="BZ3" s="541"/>
      <c r="CA3" s="699"/>
      <c r="CB3" s="699"/>
      <c r="CC3" s="699"/>
      <c r="CD3" s="699"/>
      <c r="CE3" s="1078"/>
      <c r="CF3" s="1079"/>
      <c r="CG3" s="1080"/>
      <c r="CH3" s="1081"/>
      <c r="CI3" s="1079"/>
      <c r="CJ3" s="1079"/>
      <c r="CK3" s="1079"/>
      <c r="CL3" s="1079"/>
      <c r="CM3" s="1079"/>
      <c r="CN3" s="1079"/>
      <c r="CO3" s="1079"/>
      <c r="CP3" s="1079"/>
      <c r="CQ3" s="1079"/>
      <c r="CR3" s="1079"/>
      <c r="CS3" s="1082"/>
      <c r="CT3" s="1085"/>
      <c r="CU3" s="1086"/>
      <c r="CV3" s="1082"/>
      <c r="CW3" s="1082" t="s">
        <v>77</v>
      </c>
      <c r="CX3" s="1108"/>
      <c r="CY3" s="1112"/>
      <c r="CZ3" s="1113"/>
      <c r="DA3" s="1105"/>
      <c r="DB3" s="1106"/>
      <c r="DC3" s="1109"/>
      <c r="DD3" s="549"/>
      <c r="DE3" s="1109" t="s">
        <v>2064</v>
      </c>
      <c r="DF3" s="1109"/>
      <c r="DG3" s="1109"/>
      <c r="DH3" s="552"/>
      <c r="DI3" s="1098"/>
      <c r="DJ3" s="1101"/>
      <c r="DK3" s="1102"/>
      <c r="DL3" s="1097"/>
      <c r="DM3" s="550" t="s">
        <v>2070</v>
      </c>
      <c r="DN3" s="331"/>
      <c r="DO3" s="331"/>
      <c r="DP3" s="550" t="s">
        <v>2069</v>
      </c>
      <c r="DQ3" s="551" t="s">
        <v>1267</v>
      </c>
      <c r="DR3" s="340"/>
      <c r="DS3" s="349"/>
      <c r="DT3" s="345"/>
      <c r="DU3" s="331"/>
      <c r="DV3" s="331"/>
      <c r="DW3" s="332"/>
      <c r="DX3" s="331"/>
      <c r="DY3" s="331"/>
      <c r="DZ3" s="331"/>
      <c r="EA3" s="331"/>
      <c r="EB3" s="499"/>
      <c r="EC3" s="499"/>
      <c r="ED3" s="499"/>
      <c r="EE3" s="499"/>
      <c r="EF3" s="499"/>
      <c r="EG3" s="499"/>
      <c r="EH3" s="499"/>
      <c r="EI3" s="223"/>
      <c r="EJ3" s="224"/>
      <c r="EK3" s="224"/>
      <c r="EL3" s="224"/>
      <c r="EM3" s="224"/>
      <c r="EN3" s="224"/>
      <c r="EO3" s="224"/>
      <c r="EP3" s="224"/>
      <c r="EQ3" s="224"/>
      <c r="ER3" s="224"/>
    </row>
    <row r="4" spans="1:150" s="233" customFormat="1" ht="71.5" customHeight="1" thickBot="1">
      <c r="A4" s="274" t="s">
        <v>1762</v>
      </c>
      <c r="B4" s="275" t="s">
        <v>1764</v>
      </c>
      <c r="C4" s="275" t="s">
        <v>1766</v>
      </c>
      <c r="D4" s="275" t="s">
        <v>1768</v>
      </c>
      <c r="E4" s="276" t="s">
        <v>21</v>
      </c>
      <c r="F4" s="276" t="s">
        <v>22</v>
      </c>
      <c r="G4" s="276" t="s">
        <v>1770</v>
      </c>
      <c r="H4" s="276" t="s">
        <v>1772</v>
      </c>
      <c r="I4" s="276" t="s">
        <v>24</v>
      </c>
      <c r="J4" s="276" t="s">
        <v>1487</v>
      </c>
      <c r="K4" s="277" t="s">
        <v>1774</v>
      </c>
      <c r="L4" s="277" t="s">
        <v>1776</v>
      </c>
      <c r="M4" s="274" t="s">
        <v>1988</v>
      </c>
      <c r="N4" s="274" t="s">
        <v>1569</v>
      </c>
      <c r="O4" s="274" t="s">
        <v>1571</v>
      </c>
      <c r="P4" s="274" t="s">
        <v>1778</v>
      </c>
      <c r="Q4" s="274" t="s">
        <v>1779</v>
      </c>
      <c r="R4" s="274" t="s">
        <v>1781</v>
      </c>
      <c r="S4" s="278" t="s">
        <v>1782</v>
      </c>
      <c r="T4" s="526" t="s">
        <v>1948</v>
      </c>
      <c r="U4" s="526" t="s">
        <v>1909</v>
      </c>
      <c r="V4" s="526" t="s">
        <v>1911</v>
      </c>
      <c r="W4" s="527" t="s">
        <v>1944</v>
      </c>
      <c r="X4" s="527" t="s">
        <v>1949</v>
      </c>
      <c r="Y4" s="527" t="s">
        <v>1995</v>
      </c>
      <c r="Z4" s="527" t="s">
        <v>1997</v>
      </c>
      <c r="AA4" s="527" t="s">
        <v>1999</v>
      </c>
      <c r="AB4" s="527" t="s">
        <v>1957</v>
      </c>
      <c r="AC4" s="527" t="s">
        <v>1958</v>
      </c>
      <c r="AD4" s="565" t="s">
        <v>2310</v>
      </c>
      <c r="AE4" s="527" t="s">
        <v>1930</v>
      </c>
      <c r="AF4" s="527" t="s">
        <v>2311</v>
      </c>
      <c r="AG4" s="527" t="s">
        <v>2004</v>
      </c>
      <c r="AH4" s="527" t="s">
        <v>1786</v>
      </c>
      <c r="AI4" s="528" t="s">
        <v>2258</v>
      </c>
      <c r="AJ4" s="528" t="s">
        <v>2261</v>
      </c>
      <c r="AK4" s="528" t="s">
        <v>2263</v>
      </c>
      <c r="AL4" s="528" t="s">
        <v>2264</v>
      </c>
      <c r="AM4" s="529" t="s">
        <v>2286</v>
      </c>
      <c r="AN4" s="526" t="s">
        <v>2760</v>
      </c>
      <c r="AO4" s="526" t="s">
        <v>2763</v>
      </c>
      <c r="AP4" s="529" t="s">
        <v>60</v>
      </c>
      <c r="AQ4" s="530" t="s">
        <v>1951</v>
      </c>
      <c r="AR4" s="530" t="s">
        <v>1952</v>
      </c>
      <c r="AS4" s="530" t="s">
        <v>2006</v>
      </c>
      <c r="AT4" s="530" t="s">
        <v>2007</v>
      </c>
      <c r="AU4" s="530" t="s">
        <v>2008</v>
      </c>
      <c r="AV4" s="530" t="s">
        <v>2010</v>
      </c>
      <c r="AW4" s="531" t="s">
        <v>1905</v>
      </c>
      <c r="AX4" s="530" t="s">
        <v>2013</v>
      </c>
      <c r="AY4" s="532" t="s">
        <v>1828</v>
      </c>
      <c r="AZ4" s="533" t="s">
        <v>1829</v>
      </c>
      <c r="BA4" s="534" t="s">
        <v>2298</v>
      </c>
      <c r="BB4" s="534" t="s">
        <v>2299</v>
      </c>
      <c r="BC4" s="259" t="s">
        <v>2312</v>
      </c>
      <c r="BD4" s="259" t="s">
        <v>2314</v>
      </c>
      <c r="BE4" s="535" t="s">
        <v>2296</v>
      </c>
      <c r="BF4" s="534" t="s">
        <v>65</v>
      </c>
      <c r="BG4" s="536" t="s">
        <v>1931</v>
      </c>
      <c r="BH4" s="536" t="s">
        <v>1961</v>
      </c>
      <c r="BI4" s="537" t="s">
        <v>1932</v>
      </c>
      <c r="BJ4" s="537" t="s">
        <v>1933</v>
      </c>
      <c r="BK4" s="537" t="s">
        <v>1963</v>
      </c>
      <c r="BL4" s="537" t="s">
        <v>1810</v>
      </c>
      <c r="BM4" s="537" t="s">
        <v>1813</v>
      </c>
      <c r="BN4" s="537" t="s">
        <v>1816</v>
      </c>
      <c r="BO4" s="537" t="s">
        <v>2316</v>
      </c>
      <c r="BP4" s="538" t="s">
        <v>2017</v>
      </c>
      <c r="BQ4" s="538" t="s">
        <v>2019</v>
      </c>
      <c r="BR4" s="539" t="s">
        <v>2022</v>
      </c>
      <c r="BS4" s="539" t="s">
        <v>72</v>
      </c>
      <c r="BT4" s="540" t="s">
        <v>2179</v>
      </c>
      <c r="BU4" s="540" t="s">
        <v>2180</v>
      </c>
      <c r="BV4" s="540" t="s">
        <v>2181</v>
      </c>
      <c r="BW4" s="540" t="s">
        <v>2182</v>
      </c>
      <c r="BX4" s="541" t="s">
        <v>2267</v>
      </c>
      <c r="BY4" s="541" t="s">
        <v>2268</v>
      </c>
      <c r="BZ4" s="541" t="s">
        <v>2269</v>
      </c>
      <c r="CA4" s="700" t="s">
        <v>2689</v>
      </c>
      <c r="CB4" s="700" t="s">
        <v>2690</v>
      </c>
      <c r="CC4" s="700" t="s">
        <v>2691</v>
      </c>
      <c r="CD4" s="700" t="s">
        <v>2692</v>
      </c>
      <c r="CE4" s="288" t="s">
        <v>2046</v>
      </c>
      <c r="CF4" s="284" t="s">
        <v>2047</v>
      </c>
      <c r="CG4" s="289" t="s">
        <v>2048</v>
      </c>
      <c r="CH4" s="286" t="s">
        <v>2049</v>
      </c>
      <c r="CI4" s="283" t="s">
        <v>2050</v>
      </c>
      <c r="CJ4" s="283" t="s">
        <v>2051</v>
      </c>
      <c r="CK4" s="283" t="s">
        <v>2055</v>
      </c>
      <c r="CL4" s="283" t="s">
        <v>2002</v>
      </c>
      <c r="CM4" s="283" t="s">
        <v>2773</v>
      </c>
      <c r="CN4" s="283" t="s">
        <v>2772</v>
      </c>
      <c r="CO4" s="283" t="s">
        <v>3255</v>
      </c>
      <c r="CP4" s="284" t="s">
        <v>117</v>
      </c>
      <c r="CQ4" s="284" t="s">
        <v>118</v>
      </c>
      <c r="CR4" s="284" t="s">
        <v>119</v>
      </c>
      <c r="CS4" s="297" t="s">
        <v>120</v>
      </c>
      <c r="CT4" s="283" t="s">
        <v>1481</v>
      </c>
      <c r="CU4" s="297" t="s">
        <v>121</v>
      </c>
      <c r="CV4" s="283" t="s">
        <v>122</v>
      </c>
      <c r="CW4" s="296" t="s">
        <v>2059</v>
      </c>
      <c r="CX4" s="295" t="s">
        <v>123</v>
      </c>
      <c r="CY4" s="288" t="s">
        <v>124</v>
      </c>
      <c r="CZ4" s="307" t="s">
        <v>2065</v>
      </c>
      <c r="DA4" s="304" t="s">
        <v>125</v>
      </c>
      <c r="DB4" s="295" t="s">
        <v>126</v>
      </c>
      <c r="DC4" s="309" t="s">
        <v>1852</v>
      </c>
      <c r="DD4" s="309" t="s">
        <v>2112</v>
      </c>
      <c r="DE4" s="311" t="s">
        <v>2063</v>
      </c>
      <c r="DF4" s="310" t="s">
        <v>1855</v>
      </c>
      <c r="DG4" s="310" t="s">
        <v>1856</v>
      </c>
      <c r="DH4" s="310" t="s">
        <v>2338</v>
      </c>
      <c r="DI4" s="316" t="s">
        <v>128</v>
      </c>
      <c r="DJ4" s="322" t="s">
        <v>127</v>
      </c>
      <c r="DK4" s="323" t="s">
        <v>2111</v>
      </c>
      <c r="DL4" s="319" t="s">
        <v>1965</v>
      </c>
      <c r="DM4" s="328" t="s">
        <v>78</v>
      </c>
      <c r="DN4" s="328" t="s">
        <v>1503</v>
      </c>
      <c r="DO4" s="328" t="s">
        <v>1504</v>
      </c>
      <c r="DP4" s="328" t="s">
        <v>1502</v>
      </c>
      <c r="DQ4" s="337" t="s">
        <v>2071</v>
      </c>
      <c r="DR4" s="338" t="s">
        <v>129</v>
      </c>
      <c r="DS4" s="350" t="s">
        <v>1966</v>
      </c>
      <c r="DT4" s="343" t="s">
        <v>130</v>
      </c>
      <c r="DU4" s="328" t="s">
        <v>131</v>
      </c>
      <c r="DV4" s="328" t="s">
        <v>132</v>
      </c>
      <c r="DW4" s="328" t="s">
        <v>2067</v>
      </c>
      <c r="DX4" s="328" t="s">
        <v>133</v>
      </c>
      <c r="DY4" s="328" t="s">
        <v>2074</v>
      </c>
      <c r="DZ4" s="328" t="s">
        <v>2095</v>
      </c>
      <c r="EA4" s="328" t="s">
        <v>2133</v>
      </c>
      <c r="EB4" s="482" t="s">
        <v>2249</v>
      </c>
      <c r="EC4" s="540" t="s">
        <v>3119</v>
      </c>
      <c r="ED4" s="540" t="s">
        <v>3120</v>
      </c>
      <c r="EE4" s="540" t="s">
        <v>3121</v>
      </c>
      <c r="EF4" s="567" t="s">
        <v>2342</v>
      </c>
      <c r="EG4" s="567" t="s">
        <v>2770</v>
      </c>
      <c r="EH4" s="567" t="s">
        <v>2771</v>
      </c>
      <c r="EI4" s="231" t="s">
        <v>27</v>
      </c>
      <c r="EJ4" s="232" t="s">
        <v>28</v>
      </c>
      <c r="EK4" s="232" t="s">
        <v>135</v>
      </c>
      <c r="EL4" s="232" t="s">
        <v>29</v>
      </c>
      <c r="EM4" s="232" t="s">
        <v>30</v>
      </c>
      <c r="EN4" s="232" t="s">
        <v>31</v>
      </c>
      <c r="EO4" s="232" t="s">
        <v>32</v>
      </c>
      <c r="EP4" s="232" t="s">
        <v>33</v>
      </c>
      <c r="EQ4" s="232" t="s">
        <v>34</v>
      </c>
      <c r="ER4" s="232" t="s">
        <v>35</v>
      </c>
    </row>
    <row r="5" spans="1:150" s="243" customFormat="1" ht="39.75" customHeight="1" thickBot="1">
      <c r="A5" s="234" t="s">
        <v>16</v>
      </c>
      <c r="B5" s="235" t="s">
        <v>16</v>
      </c>
      <c r="C5" s="235" t="s">
        <v>16</v>
      </c>
      <c r="D5" s="235" t="s">
        <v>18</v>
      </c>
      <c r="E5" s="236" t="s">
        <v>16</v>
      </c>
      <c r="F5" s="236" t="s">
        <v>16</v>
      </c>
      <c r="G5" s="236" t="s">
        <v>1942</v>
      </c>
      <c r="H5" s="236" t="s">
        <v>16</v>
      </c>
      <c r="I5" s="236" t="s">
        <v>17</v>
      </c>
      <c r="J5" s="236" t="s">
        <v>17</v>
      </c>
      <c r="K5" s="237" t="s">
        <v>19</v>
      </c>
      <c r="L5" s="237" t="s">
        <v>19</v>
      </c>
      <c r="M5" s="234" t="s">
        <v>17</v>
      </c>
      <c r="N5" s="234" t="s">
        <v>17</v>
      </c>
      <c r="O5" s="234" t="s">
        <v>17</v>
      </c>
      <c r="P5" s="234" t="s">
        <v>17</v>
      </c>
      <c r="Q5" s="234" t="s">
        <v>1780</v>
      </c>
      <c r="R5" s="234" t="s">
        <v>17</v>
      </c>
      <c r="S5" s="234" t="s">
        <v>17</v>
      </c>
      <c r="T5" s="238" t="s">
        <v>17</v>
      </c>
      <c r="U5" s="238" t="s">
        <v>17</v>
      </c>
      <c r="V5" s="238" t="s">
        <v>17</v>
      </c>
      <c r="W5" s="238" t="s">
        <v>17</v>
      </c>
      <c r="X5" s="238" t="s">
        <v>17</v>
      </c>
      <c r="Y5" s="238" t="s">
        <v>17</v>
      </c>
      <c r="Z5" s="238" t="s">
        <v>17</v>
      </c>
      <c r="AA5" s="238" t="s">
        <v>2000</v>
      </c>
      <c r="AB5" s="238" t="s">
        <v>2000</v>
      </c>
      <c r="AC5" s="238" t="s">
        <v>2000</v>
      </c>
      <c r="AD5" s="238" t="s">
        <v>17</v>
      </c>
      <c r="AE5" s="238" t="s">
        <v>17</v>
      </c>
      <c r="AF5" s="238" t="s">
        <v>2569</v>
      </c>
      <c r="AG5" s="238" t="s">
        <v>17</v>
      </c>
      <c r="AH5" s="238" t="s">
        <v>17</v>
      </c>
      <c r="AI5" s="238" t="s">
        <v>17</v>
      </c>
      <c r="AJ5" s="238" t="s">
        <v>17</v>
      </c>
      <c r="AK5" s="238" t="s">
        <v>17</v>
      </c>
      <c r="AL5" s="238" t="s">
        <v>17</v>
      </c>
      <c r="AM5" s="238" t="s">
        <v>17</v>
      </c>
      <c r="AN5" s="238" t="s">
        <v>17</v>
      </c>
      <c r="AO5" s="238" t="s">
        <v>17</v>
      </c>
      <c r="AP5" s="238" t="s">
        <v>18</v>
      </c>
      <c r="AQ5" s="239" t="s">
        <v>17</v>
      </c>
      <c r="AR5" s="239" t="s">
        <v>17</v>
      </c>
      <c r="AS5" s="239" t="s">
        <v>18</v>
      </c>
      <c r="AT5" s="239" t="s">
        <v>17</v>
      </c>
      <c r="AU5" s="239" t="s">
        <v>17</v>
      </c>
      <c r="AV5" s="239" t="s">
        <v>17</v>
      </c>
      <c r="AW5" s="239" t="s">
        <v>2000</v>
      </c>
      <c r="AX5" s="239" t="s">
        <v>17</v>
      </c>
      <c r="AY5" s="239" t="s">
        <v>1912</v>
      </c>
      <c r="AZ5" s="239" t="s">
        <v>1908</v>
      </c>
      <c r="BA5" s="239" t="s">
        <v>17</v>
      </c>
      <c r="BB5" s="239" t="s">
        <v>17</v>
      </c>
      <c r="BC5" s="239" t="s">
        <v>17</v>
      </c>
      <c r="BD5" s="239" t="s">
        <v>17</v>
      </c>
      <c r="BE5" s="239" t="s">
        <v>17</v>
      </c>
      <c r="BF5" s="239" t="s">
        <v>18</v>
      </c>
      <c r="BG5" s="240" t="s">
        <v>17</v>
      </c>
      <c r="BH5" s="240" t="s">
        <v>17</v>
      </c>
      <c r="BI5" s="240" t="s">
        <v>17</v>
      </c>
      <c r="BJ5" s="240" t="s">
        <v>17</v>
      </c>
      <c r="BK5" s="240" t="s">
        <v>17</v>
      </c>
      <c r="BL5" s="240" t="s">
        <v>17</v>
      </c>
      <c r="BM5" s="240" t="s">
        <v>17</v>
      </c>
      <c r="BN5" s="240" t="s">
        <v>17</v>
      </c>
      <c r="BO5" s="240" t="s">
        <v>17</v>
      </c>
      <c r="BP5" s="240" t="s">
        <v>1907</v>
      </c>
      <c r="BQ5" s="240" t="s">
        <v>17</v>
      </c>
      <c r="BR5" s="240" t="s">
        <v>52</v>
      </c>
      <c r="BS5" s="279" t="s">
        <v>18</v>
      </c>
      <c r="BT5" s="485" t="s">
        <v>52</v>
      </c>
      <c r="BU5" s="485" t="s">
        <v>52</v>
      </c>
      <c r="BV5" s="485" t="s">
        <v>17</v>
      </c>
      <c r="BW5" s="485" t="s">
        <v>52</v>
      </c>
      <c r="BX5" s="515" t="s">
        <v>17</v>
      </c>
      <c r="BY5" s="515" t="s">
        <v>17</v>
      </c>
      <c r="BZ5" s="515" t="s">
        <v>17</v>
      </c>
      <c r="CA5" s="701" t="s">
        <v>17</v>
      </c>
      <c r="CB5" s="701" t="s">
        <v>17</v>
      </c>
      <c r="CC5" s="701" t="s">
        <v>2693</v>
      </c>
      <c r="CD5" s="701" t="s">
        <v>18</v>
      </c>
      <c r="CE5" s="1094"/>
      <c r="CF5" s="1095"/>
      <c r="CG5" s="1096"/>
      <c r="CH5" s="287" t="s">
        <v>17</v>
      </c>
      <c r="CI5" s="285" t="s">
        <v>17</v>
      </c>
      <c r="CJ5" s="285" t="s">
        <v>2000</v>
      </c>
      <c r="CK5" s="285" t="s">
        <v>1906</v>
      </c>
      <c r="CL5" s="285" t="s">
        <v>1906</v>
      </c>
      <c r="CM5" s="285" t="s">
        <v>17</v>
      </c>
      <c r="CN5" s="285" t="s">
        <v>17</v>
      </c>
      <c r="CO5" s="285" t="s">
        <v>17</v>
      </c>
      <c r="CP5" s="285" t="s">
        <v>52</v>
      </c>
      <c r="CQ5" s="285" t="s">
        <v>52</v>
      </c>
      <c r="CR5" s="285" t="s">
        <v>52</v>
      </c>
      <c r="CS5" s="293" t="s">
        <v>17</v>
      </c>
      <c r="CT5" s="285" t="s">
        <v>52</v>
      </c>
      <c r="CU5" s="299" t="s">
        <v>17</v>
      </c>
      <c r="CV5" s="299"/>
      <c r="CW5" s="299"/>
      <c r="CX5" s="302"/>
      <c r="CY5" s="1094" t="s">
        <v>1603</v>
      </c>
      <c r="CZ5" s="1096"/>
      <c r="DA5" s="305" t="s">
        <v>17</v>
      </c>
      <c r="DB5" s="302" t="s">
        <v>17</v>
      </c>
      <c r="DC5" s="312" t="s">
        <v>17</v>
      </c>
      <c r="DD5" s="312" t="s">
        <v>52</v>
      </c>
      <c r="DE5" s="313" t="s">
        <v>17</v>
      </c>
      <c r="DF5" s="314" t="s">
        <v>17</v>
      </c>
      <c r="DG5" s="314" t="s">
        <v>17</v>
      </c>
      <c r="DH5" s="566" t="s">
        <v>17</v>
      </c>
      <c r="DI5" s="317" t="s">
        <v>17</v>
      </c>
      <c r="DJ5" s="324" t="s">
        <v>17</v>
      </c>
      <c r="DK5" s="325" t="s">
        <v>52</v>
      </c>
      <c r="DL5" s="320" t="s">
        <v>52</v>
      </c>
      <c r="DM5" s="333" t="s">
        <v>17</v>
      </c>
      <c r="DN5" s="334" t="s">
        <v>17</v>
      </c>
      <c r="DO5" s="334" t="s">
        <v>17</v>
      </c>
      <c r="DP5" s="334" t="s">
        <v>17</v>
      </c>
      <c r="DQ5" s="334"/>
      <c r="DR5" s="341" t="s">
        <v>52</v>
      </c>
      <c r="DS5" s="351" t="s">
        <v>52</v>
      </c>
      <c r="DT5" s="346" t="s">
        <v>52</v>
      </c>
      <c r="DU5" s="334" t="s">
        <v>52</v>
      </c>
      <c r="DV5" s="334" t="s">
        <v>52</v>
      </c>
      <c r="DW5" s="334" t="s">
        <v>17</v>
      </c>
      <c r="DX5" s="334" t="s">
        <v>17</v>
      </c>
      <c r="DY5" s="334" t="s">
        <v>17</v>
      </c>
      <c r="DZ5" s="334" t="s">
        <v>17</v>
      </c>
      <c r="EA5" s="398"/>
      <c r="EB5" s="485" t="s">
        <v>52</v>
      </c>
      <c r="EC5" s="988"/>
      <c r="ED5" s="988"/>
      <c r="EE5" s="988"/>
      <c r="EF5" s="568" t="s">
        <v>17</v>
      </c>
      <c r="EG5" s="568" t="s">
        <v>17</v>
      </c>
      <c r="EH5" s="568" t="s">
        <v>17</v>
      </c>
      <c r="EI5" s="241"/>
      <c r="EJ5" s="242"/>
      <c r="EK5" s="242"/>
      <c r="EL5" s="242"/>
      <c r="EM5" s="242"/>
      <c r="EN5" s="242"/>
      <c r="EO5" s="242"/>
      <c r="EP5" s="242"/>
      <c r="EQ5" s="242"/>
      <c r="ER5" s="242"/>
      <c r="ES5" s="1092" t="s">
        <v>2656</v>
      </c>
      <c r="ET5" s="1093"/>
    </row>
    <row r="6" spans="1:150" s="209" customFormat="1" ht="21.75" customHeight="1" thickTop="1" thickBot="1">
      <c r="A6" s="204" t="s">
        <v>20</v>
      </c>
      <c r="B6" s="185" t="s">
        <v>1764</v>
      </c>
      <c r="C6" s="185" t="s">
        <v>1766</v>
      </c>
      <c r="D6" s="185" t="s">
        <v>26</v>
      </c>
      <c r="E6" s="186" t="s">
        <v>21</v>
      </c>
      <c r="F6" s="186" t="s">
        <v>22</v>
      </c>
      <c r="G6" s="186" t="s">
        <v>134</v>
      </c>
      <c r="H6" s="186" t="s">
        <v>23</v>
      </c>
      <c r="I6" s="186" t="s">
        <v>24</v>
      </c>
      <c r="J6" s="186" t="s">
        <v>25</v>
      </c>
      <c r="K6" s="187" t="s">
        <v>1774</v>
      </c>
      <c r="L6" s="187" t="s">
        <v>1776</v>
      </c>
      <c r="M6" s="204" t="s">
        <v>2042</v>
      </c>
      <c r="N6" s="204" t="s">
        <v>1831</v>
      </c>
      <c r="O6" s="204" t="s">
        <v>1832</v>
      </c>
      <c r="P6" s="204" t="s">
        <v>49</v>
      </c>
      <c r="Q6" s="204" t="s">
        <v>1984</v>
      </c>
      <c r="R6" s="204" t="s">
        <v>1833</v>
      </c>
      <c r="S6" s="204" t="s">
        <v>1834</v>
      </c>
      <c r="T6" s="205" t="s">
        <v>1985</v>
      </c>
      <c r="U6" s="205" t="s">
        <v>1835</v>
      </c>
      <c r="V6" s="205" t="s">
        <v>1836</v>
      </c>
      <c r="W6" s="183" t="s">
        <v>1986</v>
      </c>
      <c r="X6" s="183" t="s">
        <v>1839</v>
      </c>
      <c r="Y6" s="183" t="s">
        <v>1837</v>
      </c>
      <c r="Z6" s="183" t="s">
        <v>1838</v>
      </c>
      <c r="AA6" s="183" t="s">
        <v>1934</v>
      </c>
      <c r="AB6" s="183" t="s">
        <v>1840</v>
      </c>
      <c r="AC6" s="183" t="s">
        <v>1841</v>
      </c>
      <c r="AD6" s="183" t="s">
        <v>2333</v>
      </c>
      <c r="AE6" s="183" t="s">
        <v>1935</v>
      </c>
      <c r="AF6" s="183" t="s">
        <v>2334</v>
      </c>
      <c r="AG6" s="183" t="s">
        <v>2043</v>
      </c>
      <c r="AH6" s="183" t="s">
        <v>1842</v>
      </c>
      <c r="AI6" s="183" t="s">
        <v>2280</v>
      </c>
      <c r="AJ6" s="183" t="s">
        <v>2278</v>
      </c>
      <c r="AK6" s="183" t="s">
        <v>2279</v>
      </c>
      <c r="AL6" s="183" t="s">
        <v>2281</v>
      </c>
      <c r="AM6" s="183" t="s">
        <v>2759</v>
      </c>
      <c r="AN6" s="183" t="s">
        <v>2761</v>
      </c>
      <c r="AO6" s="183" t="s">
        <v>2762</v>
      </c>
      <c r="AP6" s="183" t="s">
        <v>1273</v>
      </c>
      <c r="AQ6" s="188" t="s">
        <v>1987</v>
      </c>
      <c r="AR6" s="188" t="s">
        <v>1824</v>
      </c>
      <c r="AS6" s="188" t="s">
        <v>2044</v>
      </c>
      <c r="AT6" s="188" t="s">
        <v>1822</v>
      </c>
      <c r="AU6" s="188" t="s">
        <v>1823</v>
      </c>
      <c r="AV6" s="188" t="s">
        <v>1825</v>
      </c>
      <c r="AW6" s="193" t="s">
        <v>1826</v>
      </c>
      <c r="AX6" s="194" t="s">
        <v>1827</v>
      </c>
      <c r="AY6" s="195" t="s">
        <v>1830</v>
      </c>
      <c r="AZ6" s="196" t="s">
        <v>1829</v>
      </c>
      <c r="BA6" s="189" t="s">
        <v>1936</v>
      </c>
      <c r="BB6" s="189" t="s">
        <v>1937</v>
      </c>
      <c r="BC6" s="189" t="s">
        <v>2312</v>
      </c>
      <c r="BD6" s="189" t="s">
        <v>2337</v>
      </c>
      <c r="BE6" s="481" t="s">
        <v>2339</v>
      </c>
      <c r="BF6" s="189" t="s">
        <v>1274</v>
      </c>
      <c r="BG6" s="189" t="s">
        <v>1938</v>
      </c>
      <c r="BH6" s="190" t="s">
        <v>1981</v>
      </c>
      <c r="BI6" s="190" t="s">
        <v>1982</v>
      </c>
      <c r="BJ6" s="190" t="s">
        <v>1939</v>
      </c>
      <c r="BK6" s="190" t="s">
        <v>1983</v>
      </c>
      <c r="BL6" s="190" t="s">
        <v>1843</v>
      </c>
      <c r="BM6" s="190" t="s">
        <v>1844</v>
      </c>
      <c r="BN6" s="190" t="s">
        <v>1845</v>
      </c>
      <c r="BO6" s="190" t="s">
        <v>2341</v>
      </c>
      <c r="BP6" s="190" t="s">
        <v>71</v>
      </c>
      <c r="BQ6" s="190" t="s">
        <v>1846</v>
      </c>
      <c r="BR6" s="190" t="s">
        <v>2045</v>
      </c>
      <c r="BS6" s="190" t="s">
        <v>1847</v>
      </c>
      <c r="BT6" s="484" t="s">
        <v>2188</v>
      </c>
      <c r="BU6" s="484" t="s">
        <v>2189</v>
      </c>
      <c r="BV6" s="484" t="s">
        <v>2190</v>
      </c>
      <c r="BW6" s="484" t="s">
        <v>2191</v>
      </c>
      <c r="BX6" s="483" t="s">
        <v>2267</v>
      </c>
      <c r="BY6" s="483" t="s">
        <v>2268</v>
      </c>
      <c r="BZ6" s="483" t="s">
        <v>2269</v>
      </c>
      <c r="CA6" s="703" t="s">
        <v>2694</v>
      </c>
      <c r="CB6" s="703" t="s">
        <v>2695</v>
      </c>
      <c r="CC6" s="703" t="s">
        <v>2696</v>
      </c>
      <c r="CD6" s="703" t="s">
        <v>2697</v>
      </c>
      <c r="CE6" s="290" t="s">
        <v>2331</v>
      </c>
      <c r="CF6" s="291" t="s">
        <v>2332</v>
      </c>
      <c r="CG6" s="292" t="s">
        <v>2048</v>
      </c>
      <c r="CH6" s="280" t="s">
        <v>2052</v>
      </c>
      <c r="CI6" s="280" t="s">
        <v>2053</v>
      </c>
      <c r="CJ6" s="280" t="s">
        <v>2054</v>
      </c>
      <c r="CK6" s="280" t="s">
        <v>2335</v>
      </c>
      <c r="CL6" s="280" t="s">
        <v>2336</v>
      </c>
      <c r="CM6" s="280" t="s">
        <v>2757</v>
      </c>
      <c r="CN6" s="280" t="s">
        <v>2758</v>
      </c>
      <c r="CO6" s="1069" t="s">
        <v>3256</v>
      </c>
      <c r="CP6" s="281" t="s">
        <v>1268</v>
      </c>
      <c r="CQ6" s="282" t="s">
        <v>1269</v>
      </c>
      <c r="CR6" s="294" t="s">
        <v>1270</v>
      </c>
      <c r="CS6" s="298" t="s">
        <v>2058</v>
      </c>
      <c r="CT6" s="300" t="s">
        <v>2099</v>
      </c>
      <c r="CU6" s="298" t="s">
        <v>1282</v>
      </c>
      <c r="CV6" s="301" t="s">
        <v>2057</v>
      </c>
      <c r="CW6" s="353" t="s">
        <v>77</v>
      </c>
      <c r="CX6" s="303" t="s">
        <v>1271</v>
      </c>
      <c r="CY6" s="290" t="s">
        <v>1522</v>
      </c>
      <c r="CZ6" s="292" t="s">
        <v>2060</v>
      </c>
      <c r="DA6" s="306" t="s">
        <v>1272</v>
      </c>
      <c r="DB6" s="308" t="s">
        <v>126</v>
      </c>
      <c r="DC6" s="315" t="s">
        <v>1853</v>
      </c>
      <c r="DD6" s="315" t="s">
        <v>2112</v>
      </c>
      <c r="DE6" s="354" t="s">
        <v>2064</v>
      </c>
      <c r="DF6" s="315" t="s">
        <v>1854</v>
      </c>
      <c r="DG6" s="315" t="s">
        <v>2340</v>
      </c>
      <c r="DH6" s="315" t="s">
        <v>2768</v>
      </c>
      <c r="DI6" s="318" t="s">
        <v>128</v>
      </c>
      <c r="DJ6" s="326" t="s">
        <v>127</v>
      </c>
      <c r="DK6" s="327" t="s">
        <v>1523</v>
      </c>
      <c r="DL6" s="321" t="s">
        <v>1493</v>
      </c>
      <c r="DM6" s="335" t="s">
        <v>1494</v>
      </c>
      <c r="DN6" s="336" t="s">
        <v>1503</v>
      </c>
      <c r="DO6" s="336" t="s">
        <v>1504</v>
      </c>
      <c r="DP6" s="335" t="s">
        <v>1505</v>
      </c>
      <c r="DQ6" s="355" t="s">
        <v>2068</v>
      </c>
      <c r="DR6" s="342" t="s">
        <v>1275</v>
      </c>
      <c r="DS6" s="352" t="s">
        <v>1276</v>
      </c>
      <c r="DT6" s="347" t="s">
        <v>1277</v>
      </c>
      <c r="DU6" s="336" t="s">
        <v>1278</v>
      </c>
      <c r="DV6" s="336" t="s">
        <v>132</v>
      </c>
      <c r="DW6" s="336" t="s">
        <v>2066</v>
      </c>
      <c r="DX6" s="336" t="s">
        <v>1279</v>
      </c>
      <c r="DY6" s="336" t="s">
        <v>2073</v>
      </c>
      <c r="DZ6" s="373" t="s">
        <v>2095</v>
      </c>
      <c r="EA6" s="373" t="s">
        <v>2133</v>
      </c>
      <c r="EB6" s="484" t="s">
        <v>2248</v>
      </c>
      <c r="EC6" s="989" t="s">
        <v>3122</v>
      </c>
      <c r="ED6" s="989" t="s">
        <v>3123</v>
      </c>
      <c r="EE6" s="989" t="s">
        <v>3121</v>
      </c>
      <c r="EF6" s="569" t="s">
        <v>2343</v>
      </c>
      <c r="EG6" s="569" t="s">
        <v>2344</v>
      </c>
      <c r="EH6" s="569" t="s">
        <v>2769</v>
      </c>
      <c r="EI6" s="206" t="s">
        <v>27</v>
      </c>
      <c r="EJ6" s="206" t="s">
        <v>28</v>
      </c>
      <c r="EK6" s="206" t="s">
        <v>135</v>
      </c>
      <c r="EL6" s="206" t="s">
        <v>29</v>
      </c>
      <c r="EM6" s="206" t="s">
        <v>30</v>
      </c>
      <c r="EN6" s="206" t="s">
        <v>31</v>
      </c>
      <c r="EO6" s="206" t="s">
        <v>32</v>
      </c>
      <c r="EP6" s="206" t="s">
        <v>33</v>
      </c>
      <c r="EQ6" s="207" t="s">
        <v>34</v>
      </c>
      <c r="ER6" s="208" t="s">
        <v>35</v>
      </c>
      <c r="ES6" s="638" t="s">
        <v>2604</v>
      </c>
      <c r="ET6" s="638" t="s">
        <v>2605</v>
      </c>
    </row>
    <row r="7" spans="1:150">
      <c r="A7" s="962" t="s">
        <v>2977</v>
      </c>
      <c r="B7" s="962" t="s">
        <v>919</v>
      </c>
      <c r="C7" s="963" t="s">
        <v>141</v>
      </c>
      <c r="D7" s="963" t="s">
        <v>3116</v>
      </c>
      <c r="E7" s="963" t="s">
        <v>37</v>
      </c>
      <c r="F7" s="963" t="s">
        <v>195</v>
      </c>
      <c r="G7" s="964" t="s">
        <v>3081</v>
      </c>
      <c r="H7" s="963" t="s">
        <v>2231</v>
      </c>
      <c r="I7" s="965">
        <v>49</v>
      </c>
      <c r="J7" s="965">
        <v>203</v>
      </c>
      <c r="K7" s="966">
        <v>44652</v>
      </c>
      <c r="L7" s="967">
        <v>44865</v>
      </c>
      <c r="M7" s="965"/>
      <c r="N7" s="965"/>
      <c r="O7" s="965"/>
      <c r="P7" s="965"/>
      <c r="Q7" s="968" t="s">
        <v>41</v>
      </c>
      <c r="R7" s="965">
        <v>1</v>
      </c>
      <c r="S7" s="965">
        <v>1</v>
      </c>
      <c r="T7" s="445">
        <v>4</v>
      </c>
      <c r="U7" s="965"/>
      <c r="V7" s="965"/>
      <c r="W7" s="965"/>
      <c r="X7" s="965"/>
      <c r="Y7" s="965"/>
      <c r="Z7" s="965"/>
      <c r="AA7" s="965"/>
      <c r="AB7" s="965"/>
      <c r="AC7" s="965"/>
      <c r="AD7" s="965"/>
      <c r="AE7" s="965"/>
      <c r="AF7" s="965"/>
      <c r="AG7" s="965"/>
      <c r="AH7" s="965"/>
      <c r="AI7" s="965"/>
      <c r="AJ7" s="965"/>
      <c r="AK7" s="965"/>
      <c r="AL7" s="965"/>
      <c r="AM7" s="965">
        <v>1</v>
      </c>
      <c r="AN7" s="965"/>
      <c r="AO7" s="445"/>
      <c r="AP7" s="969"/>
      <c r="AQ7" s="965">
        <v>7</v>
      </c>
      <c r="AR7" s="965"/>
      <c r="AS7" s="970"/>
      <c r="AT7" s="965"/>
      <c r="AU7" s="965"/>
      <c r="AV7" s="965"/>
      <c r="AW7" s="965"/>
      <c r="AX7" s="965"/>
      <c r="AY7" s="964" t="s">
        <v>41</v>
      </c>
      <c r="AZ7" s="969" t="s">
        <v>137</v>
      </c>
      <c r="BA7" s="965"/>
      <c r="BB7" s="965"/>
      <c r="BC7" s="965"/>
      <c r="BD7" s="445"/>
      <c r="BE7" s="445">
        <v>4</v>
      </c>
      <c r="BF7" s="964"/>
      <c r="BG7" s="965">
        <v>2</v>
      </c>
      <c r="BH7" s="965"/>
      <c r="BI7" s="965"/>
      <c r="BJ7" s="965">
        <v>2</v>
      </c>
      <c r="BK7" s="965"/>
      <c r="BL7" s="965">
        <v>1</v>
      </c>
      <c r="BM7" s="965"/>
      <c r="BN7" s="965"/>
      <c r="BO7" s="965"/>
      <c r="BP7" s="964" t="s">
        <v>41</v>
      </c>
      <c r="BQ7" s="971"/>
      <c r="BR7" s="970"/>
      <c r="BS7" s="964"/>
      <c r="BT7" s="420"/>
      <c r="BU7" s="420"/>
      <c r="BV7" s="422"/>
      <c r="BW7" s="420"/>
      <c r="BX7" s="445"/>
      <c r="BY7" s="445"/>
      <c r="BZ7" s="445"/>
      <c r="CA7" s="445"/>
      <c r="CB7" s="445"/>
      <c r="CC7" s="702"/>
      <c r="CD7" s="445"/>
      <c r="CE7" s="972" t="str">
        <f>IFERROR(WWWW[[#This Row],['#_Water sources passed]]/WWWW[[#This Row],['#_Water sources tested for fecal coliform ]],"no test")</f>
        <v>no test</v>
      </c>
      <c r="CF7" s="970" t="str">
        <f>IFERROR(WWWW[[#This Row],['#_Household passed]]/WWWW[[#This Row],['#_Household water samples tested for fecal coliform]],"no test")</f>
        <v>no test</v>
      </c>
      <c r="CG7" s="971" t="str">
        <f>IF(AND(WWWW[[#This Row],[% of water sources passed]]="no test",WWWW[[#This Row],[% Household passed]]="no test"),"No Test","Tested")</f>
        <v>No Test</v>
      </c>
      <c r="CH7" s="971">
        <f>WWWW[[#This Row],['#_Constructed/existing protected hand dug well]]-WWWW[[#This Row],['#_Non-functional protected hand dug well]]</f>
        <v>4</v>
      </c>
      <c r="CI7" s="971">
        <f>(WWWW[[#This Row],['#_Constructed/Existing tube wells/boreholes/handpumps_WASH_agency]]+WWWW[[#This Row],['#_Non-Cluster partner water tube-wells/boreholes/handpumps]])-WWWW[[#This Row],['#_Non-functional tube wells/boreholes/handpumps]]</f>
        <v>0</v>
      </c>
      <c r="CJ7" s="971">
        <f>WWWW[[#This Row],['#_Constructed/Existingwater storage tank with gravity fed reticulation system]]-WWWW[[#This Row],['#_Non-functional storage tank gravity fed reticulation system]]</f>
        <v>0</v>
      </c>
      <c r="CK7" s="971">
        <f>(WWWW[[#This Row],['#_Water_Liters_supplied_by_Water boating or water trucking]]/90)/15</f>
        <v>0</v>
      </c>
      <c r="CL7" s="971">
        <f>WWWW[[#This Row],['#_Water_Liters_from_Constructed/Existing water distribution system from river or natural spring]]/90/15</f>
        <v>0</v>
      </c>
      <c r="CM7" s="421">
        <f>IF(WWWW[[#This Row],['#_of water points in TLS/CFS]]*500&gt;WWWW[[#This Row],[Total PoP ]],WWWW[[#This Row],[Total PoP ]],WWWW[[#This Row],['#_of water points in TLS/CFS]]*500)</f>
        <v>0</v>
      </c>
      <c r="CN7" s="421">
        <f>IF(WWWW[[#This Row],['#_of water points in THF]]*500&gt;WWWW[[#This Row],[Total PoP ]],WWWW[[#This Row],[Total PoP ]],WWWW[[#This Row],['#_of water points in THF]]*500)</f>
        <v>0</v>
      </c>
      <c r="CO7" s="421"/>
      <c r="CP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 s="970">
        <f>IF(WWWW[[#This Row],[Location Type 1]]="Village",WWWW[[#This Row],[Access to safe drinking water for Village]],WWWW[[#This Row],[Access to safe drinking water for Camp]])</f>
        <v>1</v>
      </c>
      <c r="CS7" s="968">
        <f>WWWW[[#This Row],[%Equitable and continuous access to sufficient quantity of safe drinking water]]*WWWW[[#This Row],[Total PoP ]]</f>
        <v>203</v>
      </c>
      <c r="CT7" s="970">
        <f>IF((WWWW[[#This Row],['#_Constructed/Existing protected/fenced ponds]]*250)/WWWW[[#This Row],[Total PoP ]]&gt;1,1,(WWWW[[#This Row],['#_Constructed/Existing protected/fenced ponds]]*250)/WWWW[[#This Row],[Total PoP ]])</f>
        <v>0</v>
      </c>
      <c r="CU7" s="968">
        <f>WWWW[[#This Row],[% Access to unimproved water points]]*WWWW[[#This Row],[Total PoP ]]</f>
        <v>0</v>
      </c>
      <c r="CV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X7" s="968">
        <f>WWWW[[#This Row],[HRP1]]/500</f>
        <v>0.40600000000000003</v>
      </c>
      <c r="CY7" s="973">
        <f>1-WWWW[[#This Row],[% Equitable and continuous access to sufficient quantity of domestic water]]</f>
        <v>0</v>
      </c>
      <c r="CZ7" s="968">
        <f>WWWW[[#This Row],[%equitable and continuous access to sufficient quantity of safe drinking and domestic water''s GAP]]*WWWW[[#This Row],[Total PoP ]]</f>
        <v>0</v>
      </c>
      <c r="DA7" s="971">
        <f>IF(WWWW[[#This Row],[Total required water points]]-WWWW[[#This Row],['#Water points coverage]]&lt;0,0,WWWW[[#This Row],[Total required water points]]-WWWW[[#This Row],['#Water points coverage]])</f>
        <v>0.59399999999999997</v>
      </c>
      <c r="DB7" s="971">
        <f>ROUND(IF(WWWW[[#This Row],[Total PoP ]]&lt;500,1,WWWW[[#This Row],[Total PoP ]]/500),0)</f>
        <v>1</v>
      </c>
      <c r="DC7" s="971">
        <f>(WWWW[[#This Row],['#_Constructed latrines_by_WASHAgencies]]+WWWW[[#This Row],['#_Non Cluster partner latrines]])-WWWW[[#This Row],['#_Non-functional latrines]]</f>
        <v>7</v>
      </c>
      <c r="DD7" s="619">
        <f>WWWW[[#This Row],[HRP2]]/WWWW[[#This Row],[Total PoP ]]</f>
        <v>0.70935960591133007</v>
      </c>
      <c r="DE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 s="421">
        <f>IF(WWWW[[#This Row],['# of functional latrines in THF supported by WASH partners during the reporting period2]]="",0,WWWW[[#This Row],['# of functional latrines in THF supported by WASH partners during the reporting period2]]*50)</f>
        <v>0</v>
      </c>
      <c r="DI7" s="971">
        <f>ROUND(IF(WWWW[[#This Row],[Location Type 1]]="camp",WWWW[[#This Row],[Total PoP ]]/20,IF(WWWW[[#This Row],[Location Type 1]]="Temporary Location",WWWW[[#This Row],[Total PoP ]]/50,(WWWW[[#This Row],[Total PoP ]]/6))),0)</f>
        <v>10</v>
      </c>
      <c r="DJ7" s="971">
        <f>IF(WWWW[[#This Row],[Total required Latrines]]-(WWWW[[#This Row],['#_Constructed latrines_by_WASHAgencies]]+WWWW[[#This Row],['#_Non Cluster partner latrines]])&lt;0,0,WWWW[[#This Row],[Total required Latrines]]-(WWWW[[#This Row],['#_Constructed latrines_by_WASHAgencies]]+WWWW[[#This Row],['#_Non Cluster partner latrines]]))</f>
        <v>3</v>
      </c>
      <c r="DK7" s="973">
        <f>1-WWWW[[#This Row],[% people access to functioning Latrine]]</f>
        <v>0.29064039408866993</v>
      </c>
      <c r="DL7" s="972">
        <f>IF(OR(WWWW[[#This Row],['#_Non-functional latrines]]="",WWWW[[#This Row],['#_Non-functional latrines]]=0),0,WWWW[[#This Row],['#_Non-functional latrines]]/(WWWW[[#This Row],['#_Constructed latrines_by_WASHAgencies]]+WWWW[[#This Row],['#_Non Cluster partner latrines]]))</f>
        <v>0</v>
      </c>
      <c r="DM7" s="968">
        <f>IF(500*(WWWW[[#This Row],['#_male hygiene promoters]]+WWWW[[#This Row],['#_female hygiene promoters]])&gt;WWWW[[#This Row],[Total PoP ]],WWWW[[#This Row],[Total PoP ]],500*(WWWW[[#This Row],['#_male hygiene promoters]]+WWWW[[#This Row],['#_female hygiene promoters]]))</f>
        <v>203</v>
      </c>
      <c r="DN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 s="971">
        <f>IF(WWWW[[#This Row],['# People with access to soap]]&gt;WWWW[[#This Row],['# People with access to Sanity Pads]],WWWW[[#This Row],['# People with access to soap]],WWWW[[#This Row],['# People with access to Sanity Pads]])</f>
        <v>0</v>
      </c>
      <c r="DQ7" s="971">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R7" s="973">
        <f>IF(WWWW[[#This Row],[HRP3]]/WWWW[[#This Row],[Total PoP ]]&gt;1,1,WWWW[[#This Row],[HRP3]]/WWWW[[#This Row],[Total PoP ]])</f>
        <v>1</v>
      </c>
      <c r="DS7" s="972">
        <f>1-WWWW[[#This Row],[Hygiene Coverage%]]</f>
        <v>0</v>
      </c>
      <c r="DT7" s="970">
        <f>WWWW[[#This Row],['# people reached by regular dedicated hygiene promotion_5]]/WWWW[[#This Row],[Total PoP ]]</f>
        <v>1</v>
      </c>
      <c r="DU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 s="971">
        <f>WWWW[[#This Row],['#_Constructed/Existing hand washing stations]]-WWWW[[#This Row],['#_Non-Functional_hand_washing_stations]]</f>
        <v>2</v>
      </c>
      <c r="DX7" s="968">
        <f>IF(WWWW[[#This Row],['# Functional hand washing stations during reporting period]]*20&gt;WWWW[[#This Row],[Total HH]],WWWW[[#This Row],[Total HH]],WWWW[[#This Row],['# Functional hand washing stations during reporting period]]*20)</f>
        <v>40</v>
      </c>
      <c r="DY7" s="968">
        <f>IF(WWWW[[#This Row],[Is sufficient soap available for TLS? (Yes/No)]]="yes",WWWW[[#This Row],['#_Constructed/Existing hand washing stations at TLS/CFS/THF]],0)</f>
        <v>1</v>
      </c>
      <c r="DZ7" s="425">
        <f>IF(WWWW[[#This Row],['# Functional hand washing stations during reporting period]]*100&gt;WWWW[[#This Row],[Total PoP ]],WWWW[[#This Row],[Total PoP ]],WWWW[[#This Row],['# Functional hand washing stations during reporting period]]*100)</f>
        <v>200</v>
      </c>
      <c r="EA7" s="425" t="str">
        <f>IF(OR(WWWW[[#This Row],['#_students at TLS_CFS]]="",WWWW[[#This Row],['#_students at TLS_CFS]]=0),"No","Yes")</f>
        <v>No</v>
      </c>
      <c r="EB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 s="570">
        <f>WWWW[[#This Row],[%_of_affected_people_surveyed_who_report_feeling_satistfied_with_the_latrine_design_and_sanitation_service]]*WWWW[[#This Row],[Total PoP ]]</f>
        <v>0</v>
      </c>
      <c r="ED7" s="570">
        <f>WWWW[[#This Row],[%_of_affected_people_surveyed_who_report_feeling_satistfied_with_the_water_point_design_and_water_service]]*WWWW[[#This Row],[Total PoP ]]</f>
        <v>0</v>
      </c>
      <c r="EE7" s="570">
        <f>WWWW[[#This Row],[%_of_complaints_received_that_result_in_timely_corrective_action_and_feedback_to_the_community]]*WWWW[[#This Row],[Total PoP ]]</f>
        <v>0</v>
      </c>
      <c r="EF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 s="964">
        <f>VLOOKUP(WWWW[[#This Row],[Site Name]],SiteDB6[[Site Name]:[CCCM Management]],6,FALSE)</f>
        <v>0</v>
      </c>
      <c r="EJ7" s="964">
        <f>VLOOKUP(WWWW[[#This Row],[Site Name]],SiteDB6[[Site Name]:[CCCM Focal Agency]],7,FALSE)</f>
        <v>0</v>
      </c>
      <c r="EK7" s="964" t="str">
        <f>VLOOKUP(WWWW[[#This Row],[Site Name]],SiteDB6[[Site Name]:[Location Type 1]],9,FALSE)</f>
        <v>Camp</v>
      </c>
      <c r="EL7" s="964" t="str">
        <f>VLOOKUP(WWWW[[#This Row],[Site Name]],SiteDB6[[Site Name]:[Type of Accommodation]],10,FALSE)</f>
        <v>Camp like setting</v>
      </c>
      <c r="EM7" s="964" t="str">
        <f>VLOOKUP(WWWW[[#This Row],[Site Name]],SiteDB6[[Site Name]:[Ethnic or GCA/NGCA]],11,FALSE)</f>
        <v>GCA</v>
      </c>
      <c r="EN7" s="964">
        <f>VLOOKUP(WWWW[[#This Row],[Site Name]],SiteDB6[[Site Name]:[Lat]],12,FALSE)</f>
        <v>0</v>
      </c>
      <c r="EO7" s="964">
        <f>VLOOKUP(WWWW[[#This Row],[Site Name]],SiteDB6[[Site Name]:[Long]],13,FALSE)</f>
        <v>0</v>
      </c>
      <c r="EP7" s="964">
        <f>VLOOKUP(WWWW[[#This Row],[Site Name]],SiteDB6[[Site Name]:[Pcode]],3,FALSE)</f>
        <v>0</v>
      </c>
      <c r="EQ7" s="969" t="str">
        <f t="shared" ref="EQ7:EQ11" si="0">IF(C7="none","Notcovered","Covered")</f>
        <v>Covered</v>
      </c>
      <c r="ER7" s="969" t="s">
        <v>3147</v>
      </c>
      <c r="ES7" s="964">
        <f>VLOOKUP(WWWW[[#This Row],[Site Name]],SiteDB6[[Site Name]:[Pop
(Kachin/Shan-CCCM as of March 2023)]],16,FALSE)</f>
        <v>0</v>
      </c>
      <c r="ET7" s="964">
        <f>VLOOKUP(WWWW[[#This Row],[Site Name]],SiteDB6[[Site Name]:[Pop
(Kachin/Shan-CCCM as of March 2023)]],17,FALSE)</f>
        <v>0</v>
      </c>
    </row>
    <row r="8" spans="1:150" hidden="1">
      <c r="A8" s="962" t="s">
        <v>2977</v>
      </c>
      <c r="B8" s="962" t="s">
        <v>36</v>
      </c>
      <c r="C8" s="963" t="s">
        <v>36</v>
      </c>
      <c r="D8" s="963" t="s">
        <v>241</v>
      </c>
      <c r="E8" s="963" t="s">
        <v>37</v>
      </c>
      <c r="F8" s="963" t="s">
        <v>159</v>
      </c>
      <c r="G8" s="964" t="str">
        <f>VLOOKUP(WWWW[[#This Row],[Site Name]],SiteDB6[[Site Name]:[Location Type]],8,FALSE)</f>
        <v>Camp</v>
      </c>
      <c r="H8" s="963" t="s">
        <v>233</v>
      </c>
      <c r="I8" s="965">
        <v>53</v>
      </c>
      <c r="J8" s="965">
        <v>278</v>
      </c>
      <c r="K8" s="966">
        <v>44973</v>
      </c>
      <c r="L8" s="967">
        <v>45337</v>
      </c>
      <c r="M8" s="965"/>
      <c r="N8" s="965">
        <v>3</v>
      </c>
      <c r="O8" s="965"/>
      <c r="P8" s="965"/>
      <c r="Q8" s="968" t="s">
        <v>41</v>
      </c>
      <c r="R8" s="965">
        <v>2</v>
      </c>
      <c r="S8" s="965">
        <v>8</v>
      </c>
      <c r="T8" s="445">
        <v>1</v>
      </c>
      <c r="U8" s="965"/>
      <c r="V8" s="965"/>
      <c r="W8" s="965"/>
      <c r="X8" s="965"/>
      <c r="Y8" s="965"/>
      <c r="Z8" s="965"/>
      <c r="AA8" s="965"/>
      <c r="AB8" s="965"/>
      <c r="AC8" s="965"/>
      <c r="AD8" s="965"/>
      <c r="AE8" s="965"/>
      <c r="AF8" s="965"/>
      <c r="AG8" s="965"/>
      <c r="AH8" s="965"/>
      <c r="AI8" s="965"/>
      <c r="AJ8" s="965"/>
      <c r="AK8" s="965"/>
      <c r="AL8" s="965"/>
      <c r="AM8" s="965">
        <v>5</v>
      </c>
      <c r="AN8" s="965"/>
      <c r="AO8" s="445"/>
      <c r="AP8" s="969"/>
      <c r="AQ8" s="965">
        <v>22</v>
      </c>
      <c r="AR8" s="965"/>
      <c r="AS8" s="970"/>
      <c r="AT8" s="965"/>
      <c r="AU8" s="965"/>
      <c r="AV8" s="965"/>
      <c r="AW8" s="965"/>
      <c r="AX8" s="965"/>
      <c r="AY8" s="964" t="s">
        <v>41</v>
      </c>
      <c r="AZ8" s="969" t="s">
        <v>137</v>
      </c>
      <c r="BA8" s="965">
        <v>1</v>
      </c>
      <c r="BB8" s="965"/>
      <c r="BC8" s="965"/>
      <c r="BD8" s="445"/>
      <c r="BE8" s="445"/>
      <c r="BF8" s="964"/>
      <c r="BG8" s="965">
        <v>7</v>
      </c>
      <c r="BH8" s="965"/>
      <c r="BI8" s="965"/>
      <c r="BJ8" s="965">
        <v>3</v>
      </c>
      <c r="BK8" s="965"/>
      <c r="BL8" s="965"/>
      <c r="BM8" s="965">
        <v>2</v>
      </c>
      <c r="BN8" s="965"/>
      <c r="BO8" s="965"/>
      <c r="BP8" s="964" t="s">
        <v>41</v>
      </c>
      <c r="BQ8" s="971">
        <v>1</v>
      </c>
      <c r="BR8" s="970"/>
      <c r="BS8" s="964"/>
      <c r="BT8" s="420"/>
      <c r="BU8" s="420"/>
      <c r="BV8" s="422"/>
      <c r="BW8" s="420"/>
      <c r="BX8" s="445"/>
      <c r="BY8" s="445"/>
      <c r="BZ8" s="445"/>
      <c r="CA8" s="445"/>
      <c r="CB8" s="445"/>
      <c r="CC8" s="702"/>
      <c r="CD8" s="445"/>
      <c r="CE8" s="972" t="str">
        <f>IFERROR(WWWW[[#This Row],['#_Water sources passed]]/WWWW[[#This Row],['#_Water sources tested for fecal coliform ]],"no test")</f>
        <v>no test</v>
      </c>
      <c r="CF8" s="970" t="str">
        <f>IFERROR(WWWW[[#This Row],['#_Household passed]]/WWWW[[#This Row],['#_Household water samples tested for fecal coliform]],"no test")</f>
        <v>no test</v>
      </c>
      <c r="CG8" s="971" t="str">
        <f>IF(AND(WWWW[[#This Row],[% of water sources passed]]="no test",WWWW[[#This Row],[% Household passed]]="no test"),"No Test","Tested")</f>
        <v>No Test</v>
      </c>
      <c r="CH8" s="971">
        <f>WWWW[[#This Row],['#_Constructed/existing protected hand dug well]]-WWWW[[#This Row],['#_Non-functional protected hand dug well]]</f>
        <v>1</v>
      </c>
      <c r="CI8" s="971">
        <f>(WWWW[[#This Row],['#_Constructed/Existing tube wells/boreholes/handpumps_WASH_agency]]+WWWW[[#This Row],['#_Non-Cluster partner water tube-wells/boreholes/handpumps]])-WWWW[[#This Row],['#_Non-functional tube wells/boreholes/handpumps]]</f>
        <v>0</v>
      </c>
      <c r="CJ8" s="971">
        <f>WWWW[[#This Row],['#_Constructed/Existingwater storage tank with gravity fed reticulation system]]-WWWW[[#This Row],['#_Non-functional storage tank gravity fed reticulation system]]</f>
        <v>0</v>
      </c>
      <c r="CK8" s="971">
        <f>(WWWW[[#This Row],['#_Water_Liters_supplied_by_Water boating or water trucking]]/90)/15</f>
        <v>0</v>
      </c>
      <c r="CL8" s="971">
        <f>WWWW[[#This Row],['#_Water_Liters_from_Constructed/Existing water distribution system from river or natural spring]]/90/15</f>
        <v>0</v>
      </c>
      <c r="CM8" s="421">
        <f>IF(WWWW[[#This Row],['#_of water points in TLS/CFS]]*500&gt;WWWW[[#This Row],[Total PoP ]],WWWW[[#This Row],[Total PoP ]],WWWW[[#This Row],['#_of water points in TLS/CFS]]*500)</f>
        <v>0</v>
      </c>
      <c r="CN8" s="421">
        <f>IF(WWWW[[#This Row],['#_of water points in THF]]*500&gt;WWWW[[#This Row],[Total PoP ]],WWWW[[#This Row],[Total PoP ]],WWWW[[#This Row],['#_of water points in THF]]*500)</f>
        <v>0</v>
      </c>
      <c r="CO8" s="421"/>
      <c r="CP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0.89928057553956831</v>
      </c>
      <c r="CR8" s="970">
        <f>IF(WWWW[[#This Row],[Location Type 1]]="Village",WWWW[[#This Row],[Access to safe drinking water for Village]],WWWW[[#This Row],[Access to safe drinking water for Camp]])</f>
        <v>1</v>
      </c>
      <c r="CS8" s="968">
        <f>WWWW[[#This Row],[%Equitable and continuous access to sufficient quantity of safe drinking water]]*WWWW[[#This Row],[Total PoP ]]</f>
        <v>278</v>
      </c>
      <c r="CT8" s="970">
        <f>IF((WWWW[[#This Row],['#_Constructed/Existing protected/fenced ponds]]*250)/WWWW[[#This Row],[Total PoP ]]&gt;1,1,(WWWW[[#This Row],['#_Constructed/Existing protected/fenced ponds]]*250)/WWWW[[#This Row],[Total PoP ]])</f>
        <v>0</v>
      </c>
      <c r="CU8" s="968">
        <f>WWWW[[#This Row],[% Access to unimproved water points]]*WWWW[[#This Row],[Total PoP ]]</f>
        <v>0</v>
      </c>
      <c r="CV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278</v>
      </c>
      <c r="CX8" s="968">
        <f>WWWW[[#This Row],[HRP1]]/500</f>
        <v>0.55600000000000005</v>
      </c>
      <c r="CY8" s="973">
        <f>1-WWWW[[#This Row],[% Equitable and continuous access to sufficient quantity of domestic water]]</f>
        <v>0</v>
      </c>
      <c r="CZ8" s="968">
        <f>WWWW[[#This Row],[%equitable and continuous access to sufficient quantity of safe drinking and domestic water''s GAP]]*WWWW[[#This Row],[Total PoP ]]</f>
        <v>0</v>
      </c>
      <c r="DA8" s="971">
        <f>IF(WWWW[[#This Row],[Total required water points]]-WWWW[[#This Row],['#Water points coverage]]&lt;0,0,WWWW[[#This Row],[Total required water points]]-WWWW[[#This Row],['#Water points coverage]])</f>
        <v>0.44399999999999995</v>
      </c>
      <c r="DB8" s="971">
        <f>ROUND(IF(WWWW[[#This Row],[Total PoP ]]&lt;500,1,WWWW[[#This Row],[Total PoP ]]/500),0)</f>
        <v>1</v>
      </c>
      <c r="DC8" s="971">
        <f>(WWWW[[#This Row],['#_Constructed latrines_by_WASHAgencies]]+WWWW[[#This Row],['#_Non Cluster partner latrines]])-WWWW[[#This Row],['#_Non-functional latrines]]</f>
        <v>22</v>
      </c>
      <c r="DD8" s="619">
        <f>WWWW[[#This Row],[HRP2]]/WWWW[[#This Row],[Total PoP ]]</f>
        <v>1</v>
      </c>
      <c r="DE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278</v>
      </c>
      <c r="DF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 s="421">
        <f>IF(WWWW[[#This Row],['# of functional latrines in THF supported by WASH partners during the reporting period2]]="",0,WWWW[[#This Row],['# of functional latrines in THF supported by WASH partners during the reporting period2]]*50)</f>
        <v>0</v>
      </c>
      <c r="DI8" s="971">
        <f>ROUND(IF(WWWW[[#This Row],[Location Type 1]]="camp",WWWW[[#This Row],[Total PoP ]]/20,IF(WWWW[[#This Row],[Location Type 1]]="Temporary Location",WWWW[[#This Row],[Total PoP ]]/50,(WWWW[[#This Row],[Total PoP ]]/6))),0)</f>
        <v>14</v>
      </c>
      <c r="DJ8" s="971">
        <f>IF(WWWW[[#This Row],[Total required Latrines]]-(WWWW[[#This Row],['#_Constructed latrines_by_WASHAgencies]]+WWWW[[#This Row],['#_Non Cluster partner latrines]])&lt;0,0,WWWW[[#This Row],[Total required Latrines]]-(WWWW[[#This Row],['#_Constructed latrines_by_WASHAgencies]]+WWWW[[#This Row],['#_Non Cluster partner latrines]]))</f>
        <v>0</v>
      </c>
      <c r="DK8" s="973">
        <f>1-WWWW[[#This Row],[% people access to functioning Latrine]]</f>
        <v>0</v>
      </c>
      <c r="DL8" s="972">
        <f>IF(OR(WWWW[[#This Row],['#_Non-functional latrines]]="",WWWW[[#This Row],['#_Non-functional latrines]]=0),0,WWWW[[#This Row],['#_Non-functional latrines]]/(WWWW[[#This Row],['#_Constructed latrines_by_WASHAgencies]]+WWWW[[#This Row],['#_Non Cluster partner latrines]]))</f>
        <v>0</v>
      </c>
      <c r="DM8" s="968">
        <f>IF(500*(WWWW[[#This Row],['#_male hygiene promoters]]+WWWW[[#This Row],['#_female hygiene promoters]])&gt;WWWW[[#This Row],[Total PoP ]],WWWW[[#This Row],[Total PoP ]],500*(WWWW[[#This Row],['#_male hygiene promoters]]+WWWW[[#This Row],['#_female hygiene promoters]]))</f>
        <v>278</v>
      </c>
      <c r="DN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 s="971">
        <f>IF(WWWW[[#This Row],['# People with access to soap]]&gt;WWWW[[#This Row],['# People with access to Sanity Pads]],WWWW[[#This Row],['# People with access to soap]],WWWW[[#This Row],['# People with access to Sanity Pads]])</f>
        <v>0</v>
      </c>
      <c r="DQ8" s="971">
        <f>IF(WWWW[[#This Row],['# people reached by regular dedicated hygiene promotion_5]]&gt;WWWW[[#This Row],['# People received regular supply of hygiene items_6]],WWWW[[#This Row],['# people reached by regular dedicated hygiene promotion_5]],WWWW[[#This Row],['# People received regular supply of hygiene items_6]])</f>
        <v>278</v>
      </c>
      <c r="DR8" s="973">
        <f>IF(WWWW[[#This Row],[HRP3]]/WWWW[[#This Row],[Total PoP ]]&gt;1,1,WWWW[[#This Row],[HRP3]]/WWWW[[#This Row],[Total PoP ]])</f>
        <v>1</v>
      </c>
      <c r="DS8" s="972">
        <f>1-WWWW[[#This Row],[Hygiene Coverage%]]</f>
        <v>0</v>
      </c>
      <c r="DT8" s="970">
        <f>WWWW[[#This Row],['# people reached by regular dedicated hygiene promotion_5]]/WWWW[[#This Row],[Total PoP ]]</f>
        <v>1</v>
      </c>
      <c r="DU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 s="971">
        <f>WWWW[[#This Row],['#_Constructed/Existing hand washing stations]]-WWWW[[#This Row],['#_Non-Functional_hand_washing_stations]]</f>
        <v>7</v>
      </c>
      <c r="DX8" s="968">
        <f>IF(WWWW[[#This Row],['# Functional hand washing stations during reporting period]]*20&gt;WWWW[[#This Row],[Total HH]],WWWW[[#This Row],[Total HH]],WWWW[[#This Row],['# Functional hand washing stations during reporting period]]*20)</f>
        <v>53</v>
      </c>
      <c r="DY8" s="968">
        <f>IF(WWWW[[#This Row],[Is sufficient soap available for TLS? (Yes/No)]]="yes",WWWW[[#This Row],['#_Constructed/Existing hand washing stations at TLS/CFS/THF]],0)</f>
        <v>5</v>
      </c>
      <c r="DZ8" s="425">
        <f>IF(WWWW[[#This Row],['# Functional hand washing stations during reporting period]]*100&gt;WWWW[[#This Row],[Total PoP ]],WWWW[[#This Row],[Total PoP ]],WWWW[[#This Row],['# Functional hand washing stations during reporting period]]*100)</f>
        <v>278</v>
      </c>
      <c r="EA8" s="425" t="str">
        <f>IF(OR(WWWW[[#This Row],['#_students at TLS_CFS]]="",WWWW[[#This Row],['#_students at TLS_CFS]]=0),"No","Yes")</f>
        <v>No</v>
      </c>
      <c r="EB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 s="570">
        <f>WWWW[[#This Row],[%_of_affected_people_surveyed_who_report_feeling_satistfied_with_the_latrine_design_and_sanitation_service]]*WWWW[[#This Row],[Total PoP ]]</f>
        <v>0</v>
      </c>
      <c r="ED8" s="570">
        <f>WWWW[[#This Row],[%_of_affected_people_surveyed_who_report_feeling_satistfied_with_the_water_point_design_and_water_service]]*WWWW[[#This Row],[Total PoP ]]</f>
        <v>0</v>
      </c>
      <c r="EE8" s="570">
        <f>WWWW[[#This Row],[%_of_complaints_received_that_result_in_timely_corrective_action_and_feedback_to_the_community]]*WWWW[[#This Row],[Total PoP ]]</f>
        <v>0</v>
      </c>
      <c r="EF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 s="964" t="str">
        <f>VLOOKUP(WWWW[[#This Row],[Site Name]],SiteDB6[[Site Name]:[CCCM Management]],6,FALSE)</f>
        <v>Yes</v>
      </c>
      <c r="EJ8" s="964" t="str">
        <f>VLOOKUP(WWWW[[#This Row],[Site Name]],SiteDB6[[Site Name]:[CCCM Focal Agency]],7,FALSE)</f>
        <v>KMSS-MYT</v>
      </c>
      <c r="EK8" s="964" t="str">
        <f>VLOOKUP(WWWW[[#This Row],[Site Name]],SiteDB6[[Site Name]:[Location Type 1]],9,FALSE)</f>
        <v>Camp</v>
      </c>
      <c r="EL8" s="964" t="str">
        <f>VLOOKUP(WWWW[[#This Row],[Site Name]],SiteDB6[[Site Name]:[Type of Accommodation]],10,FALSE)</f>
        <v>Camp</v>
      </c>
      <c r="EM8" s="964" t="str">
        <f>VLOOKUP(WWWW[[#This Row],[Site Name]],SiteDB6[[Site Name]:[Ethnic or GCA/NGCA]],11,FALSE)</f>
        <v>GCA</v>
      </c>
      <c r="EN8" s="964">
        <f>VLOOKUP(WWWW[[#This Row],[Site Name]],SiteDB6[[Site Name]:[Lat]],12,FALSE)</f>
        <v>25.403476999999999</v>
      </c>
      <c r="EO8" s="964">
        <f>VLOOKUP(WWWW[[#This Row],[Site Name]],SiteDB6[[Site Name]:[Long]],13,FALSE)</f>
        <v>97.373361000000003</v>
      </c>
      <c r="EP8" s="964" t="str">
        <f>VLOOKUP(WWWW[[#This Row],[Site Name]],SiteDB6[[Site Name]:[Pcode]],3,FALSE)</f>
        <v>MMR001CMP019</v>
      </c>
      <c r="EQ8" s="969" t="str">
        <f t="shared" si="0"/>
        <v>Covered</v>
      </c>
      <c r="ER8" s="969" t="s">
        <v>3147</v>
      </c>
      <c r="ES8" s="964">
        <f>VLOOKUP(WWWW[[#This Row],[Site Name]],SiteDB6[[Site Name]:[Pop
(Kachin/Shan-CCCM as of March 2023)]],16,FALSE)</f>
        <v>63</v>
      </c>
      <c r="ET8" s="964">
        <f>VLOOKUP(WWWW[[#This Row],[Site Name]],SiteDB6[[Site Name]:[Pop
(Kachin/Shan-CCCM as of March 2023)]],17,FALSE)</f>
        <v>337</v>
      </c>
    </row>
    <row r="9" spans="1:150" hidden="1">
      <c r="A9" s="962" t="s">
        <v>2977</v>
      </c>
      <c r="B9" s="962" t="s">
        <v>36</v>
      </c>
      <c r="C9" s="963" t="s">
        <v>36</v>
      </c>
      <c r="D9" s="963" t="s">
        <v>241</v>
      </c>
      <c r="E9" s="963" t="s">
        <v>37</v>
      </c>
      <c r="F9" s="963" t="s">
        <v>159</v>
      </c>
      <c r="G9" s="964" t="str">
        <f>VLOOKUP(WWWW[[#This Row],[Site Name]],SiteDB6[[Site Name]:[Location Type]],8,FALSE)</f>
        <v>Camp</v>
      </c>
      <c r="H9" s="963" t="s">
        <v>828</v>
      </c>
      <c r="I9" s="965">
        <v>18</v>
      </c>
      <c r="J9" s="965">
        <v>62</v>
      </c>
      <c r="K9" s="966">
        <v>44973</v>
      </c>
      <c r="L9" s="967">
        <v>45337</v>
      </c>
      <c r="M9" s="965">
        <v>489</v>
      </c>
      <c r="N9" s="965">
        <v>2</v>
      </c>
      <c r="O9" s="965"/>
      <c r="P9" s="965"/>
      <c r="Q9" s="968" t="s">
        <v>41</v>
      </c>
      <c r="R9" s="965">
        <v>1</v>
      </c>
      <c r="S9" s="965">
        <v>2</v>
      </c>
      <c r="T9" s="445">
        <v>1</v>
      </c>
      <c r="U9" s="965"/>
      <c r="V9" s="965"/>
      <c r="W9" s="965">
        <v>1</v>
      </c>
      <c r="X9" s="965"/>
      <c r="Y9" s="965"/>
      <c r="Z9" s="965"/>
      <c r="AA9" s="965"/>
      <c r="AB9" s="965"/>
      <c r="AC9" s="965"/>
      <c r="AD9" s="965"/>
      <c r="AE9" s="965"/>
      <c r="AF9" s="965"/>
      <c r="AG9" s="965"/>
      <c r="AH9" s="965"/>
      <c r="AI9" s="965"/>
      <c r="AJ9" s="965"/>
      <c r="AK9" s="965"/>
      <c r="AL9" s="965"/>
      <c r="AM9" s="965">
        <v>4</v>
      </c>
      <c r="AN9" s="965"/>
      <c r="AO9" s="445"/>
      <c r="AP9" s="969"/>
      <c r="AQ9" s="965">
        <v>4</v>
      </c>
      <c r="AR9" s="965"/>
      <c r="AS9" s="970"/>
      <c r="AT9" s="965"/>
      <c r="AU9" s="965"/>
      <c r="AV9" s="965"/>
      <c r="AW9" s="965"/>
      <c r="AX9" s="965"/>
      <c r="AY9" s="964" t="s">
        <v>41</v>
      </c>
      <c r="AZ9" s="969" t="s">
        <v>137</v>
      </c>
      <c r="BA9" s="965"/>
      <c r="BB9" s="965"/>
      <c r="BC9" s="965"/>
      <c r="BD9" s="445"/>
      <c r="BE9" s="445"/>
      <c r="BF9" s="964"/>
      <c r="BG9" s="965">
        <v>2</v>
      </c>
      <c r="BH9" s="965"/>
      <c r="BI9" s="965"/>
      <c r="BJ9" s="965">
        <v>1</v>
      </c>
      <c r="BK9" s="965"/>
      <c r="BL9" s="965"/>
      <c r="BM9" s="965">
        <v>1</v>
      </c>
      <c r="BN9" s="965"/>
      <c r="BO9" s="965"/>
      <c r="BP9" s="964" t="s">
        <v>41</v>
      </c>
      <c r="BQ9" s="971">
        <v>1</v>
      </c>
      <c r="BR9" s="970"/>
      <c r="BS9" s="964"/>
      <c r="BT9" s="420"/>
      <c r="BU9" s="420"/>
      <c r="BV9" s="422"/>
      <c r="BW9" s="420"/>
      <c r="BX9" s="445"/>
      <c r="BY9" s="445"/>
      <c r="BZ9" s="445"/>
      <c r="CA9" s="445"/>
      <c r="CB9" s="445"/>
      <c r="CC9" s="702"/>
      <c r="CD9" s="445"/>
      <c r="CE9" s="972" t="str">
        <f>IFERROR(WWWW[[#This Row],['#_Water sources passed]]/WWWW[[#This Row],['#_Water sources tested for fecal coliform ]],"no test")</f>
        <v>no test</v>
      </c>
      <c r="CF9" s="970" t="str">
        <f>IFERROR(WWWW[[#This Row],['#_Household passed]]/WWWW[[#This Row],['#_Household water samples tested for fecal coliform]],"no test")</f>
        <v>no test</v>
      </c>
      <c r="CG9" s="971" t="str">
        <f>IF(AND(WWWW[[#This Row],[% of water sources passed]]="no test",WWWW[[#This Row],[% Household passed]]="no test"),"No Test","Tested")</f>
        <v>No Test</v>
      </c>
      <c r="CH9" s="971">
        <f>WWWW[[#This Row],['#_Constructed/existing protected hand dug well]]-WWWW[[#This Row],['#_Non-functional protected hand dug well]]</f>
        <v>1</v>
      </c>
      <c r="CI9" s="971">
        <f>(WWWW[[#This Row],['#_Constructed/Existing tube wells/boreholes/handpumps_WASH_agency]]+WWWW[[#This Row],['#_Non-Cluster partner water tube-wells/boreholes/handpumps]])-WWWW[[#This Row],['#_Non-functional tube wells/boreholes/handpumps]]</f>
        <v>1</v>
      </c>
      <c r="CJ9" s="971">
        <f>WWWW[[#This Row],['#_Constructed/Existingwater storage tank with gravity fed reticulation system]]-WWWW[[#This Row],['#_Non-functional storage tank gravity fed reticulation system]]</f>
        <v>0</v>
      </c>
      <c r="CK9" s="971">
        <f>(WWWW[[#This Row],['#_Water_Liters_supplied_by_Water boating or water trucking]]/90)/15</f>
        <v>0</v>
      </c>
      <c r="CL9" s="971">
        <f>WWWW[[#This Row],['#_Water_Liters_from_Constructed/Existing water distribution system from river or natural spring]]/90/15</f>
        <v>0</v>
      </c>
      <c r="CM9" s="421">
        <f>IF(WWWW[[#This Row],['#_of water points in TLS/CFS]]*500&gt;WWWW[[#This Row],[Total PoP ]],WWWW[[#This Row],[Total PoP ]],WWWW[[#This Row],['#_of water points in TLS/CFS]]*500)</f>
        <v>0</v>
      </c>
      <c r="CN9" s="421">
        <f>IF(WWWW[[#This Row],['#_of water points in THF]]*500&gt;WWWW[[#This Row],[Total PoP ]],WWWW[[#This Row],[Total PoP ]],WWWW[[#This Row],['#_of water points in THF]]*500)</f>
        <v>0</v>
      </c>
      <c r="CO9" s="421"/>
      <c r="CP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 s="970">
        <f>IF(WWWW[[#This Row],[Location Type 1]]="Village",WWWW[[#This Row],[Access to safe drinking water for Village]],WWWW[[#This Row],[Access to safe drinking water for Camp]])</f>
        <v>1</v>
      </c>
      <c r="CS9" s="968">
        <f>WWWW[[#This Row],[%Equitable and continuous access to sufficient quantity of safe drinking water]]*WWWW[[#This Row],[Total PoP ]]</f>
        <v>62</v>
      </c>
      <c r="CT9" s="970">
        <f>IF((WWWW[[#This Row],['#_Constructed/Existing protected/fenced ponds]]*250)/WWWW[[#This Row],[Total PoP ]]&gt;1,1,(WWWW[[#This Row],['#_Constructed/Existing protected/fenced ponds]]*250)/WWWW[[#This Row],[Total PoP ]])</f>
        <v>0</v>
      </c>
      <c r="CU9" s="968">
        <f>WWWW[[#This Row],[% Access to unimproved water points]]*WWWW[[#This Row],[Total PoP ]]</f>
        <v>0</v>
      </c>
      <c r="CV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v>
      </c>
      <c r="CX9" s="968">
        <f>WWWW[[#This Row],[HRP1]]/500</f>
        <v>0.124</v>
      </c>
      <c r="CY9" s="973">
        <f>1-WWWW[[#This Row],[% Equitable and continuous access to sufficient quantity of domestic water]]</f>
        <v>0</v>
      </c>
      <c r="CZ9" s="968">
        <f>WWWW[[#This Row],[%equitable and continuous access to sufficient quantity of safe drinking and domestic water''s GAP]]*WWWW[[#This Row],[Total PoP ]]</f>
        <v>0</v>
      </c>
      <c r="DA9" s="971">
        <f>IF(WWWW[[#This Row],[Total required water points]]-WWWW[[#This Row],['#Water points coverage]]&lt;0,0,WWWW[[#This Row],[Total required water points]]-WWWW[[#This Row],['#Water points coverage]])</f>
        <v>0.876</v>
      </c>
      <c r="DB9" s="971">
        <f>ROUND(IF(WWWW[[#This Row],[Total PoP ]]&lt;500,1,WWWW[[#This Row],[Total PoP ]]/500),0)</f>
        <v>1</v>
      </c>
      <c r="DC9" s="971">
        <f>(WWWW[[#This Row],['#_Constructed latrines_by_WASHAgencies]]+WWWW[[#This Row],['#_Non Cluster partner latrines]])-WWWW[[#This Row],['#_Non-functional latrines]]</f>
        <v>4</v>
      </c>
      <c r="DD9" s="619">
        <f>WWWW[[#This Row],[HRP2]]/WWWW[[#This Row],[Total PoP ]]</f>
        <v>1</v>
      </c>
      <c r="DE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62</v>
      </c>
      <c r="DF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 s="421">
        <f>IF(WWWW[[#This Row],['# of functional latrines in THF supported by WASH partners during the reporting period2]]="",0,WWWW[[#This Row],['# of functional latrines in THF supported by WASH partners during the reporting period2]]*50)</f>
        <v>0</v>
      </c>
      <c r="DI9" s="971">
        <f>ROUND(IF(WWWW[[#This Row],[Location Type 1]]="camp",WWWW[[#This Row],[Total PoP ]]/20,IF(WWWW[[#This Row],[Location Type 1]]="Temporary Location",WWWW[[#This Row],[Total PoP ]]/50,(WWWW[[#This Row],[Total PoP ]]/6))),0)</f>
        <v>3</v>
      </c>
      <c r="DJ9" s="971">
        <f>IF(WWWW[[#This Row],[Total required Latrines]]-(WWWW[[#This Row],['#_Constructed latrines_by_WASHAgencies]]+WWWW[[#This Row],['#_Non Cluster partner latrines]])&lt;0,0,WWWW[[#This Row],[Total required Latrines]]-(WWWW[[#This Row],['#_Constructed latrines_by_WASHAgencies]]+WWWW[[#This Row],['#_Non Cluster partner latrines]]))</f>
        <v>0</v>
      </c>
      <c r="DK9" s="973">
        <f>1-WWWW[[#This Row],[% people access to functioning Latrine]]</f>
        <v>0</v>
      </c>
      <c r="DL9" s="972">
        <f>IF(OR(WWWW[[#This Row],['#_Non-functional latrines]]="",WWWW[[#This Row],['#_Non-functional latrines]]=0),0,WWWW[[#This Row],['#_Non-functional latrines]]/(WWWW[[#This Row],['#_Constructed latrines_by_WASHAgencies]]+WWWW[[#This Row],['#_Non Cluster partner latrines]]))</f>
        <v>0</v>
      </c>
      <c r="DM9" s="968">
        <f>IF(500*(WWWW[[#This Row],['#_male hygiene promoters]]+WWWW[[#This Row],['#_female hygiene promoters]])&gt;WWWW[[#This Row],[Total PoP ]],WWWW[[#This Row],[Total PoP ]],500*(WWWW[[#This Row],['#_male hygiene promoters]]+WWWW[[#This Row],['#_female hygiene promoters]]))</f>
        <v>62</v>
      </c>
      <c r="DN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 s="971">
        <f>IF(WWWW[[#This Row],['# People with access to soap]]&gt;WWWW[[#This Row],['# People with access to Sanity Pads]],WWWW[[#This Row],['# People with access to soap]],WWWW[[#This Row],['# People with access to Sanity Pads]])</f>
        <v>0</v>
      </c>
      <c r="DQ9" s="971">
        <f>IF(WWWW[[#This Row],['# people reached by regular dedicated hygiene promotion_5]]&gt;WWWW[[#This Row],['# People received regular supply of hygiene items_6]],WWWW[[#This Row],['# people reached by regular dedicated hygiene promotion_5]],WWWW[[#This Row],['# People received regular supply of hygiene items_6]])</f>
        <v>62</v>
      </c>
      <c r="DR9" s="973">
        <f>IF(WWWW[[#This Row],[HRP3]]/WWWW[[#This Row],[Total PoP ]]&gt;1,1,WWWW[[#This Row],[HRP3]]/WWWW[[#This Row],[Total PoP ]])</f>
        <v>1</v>
      </c>
      <c r="DS9" s="972">
        <f>1-WWWW[[#This Row],[Hygiene Coverage%]]</f>
        <v>0</v>
      </c>
      <c r="DT9" s="970">
        <f>WWWW[[#This Row],['# people reached by regular dedicated hygiene promotion_5]]/WWWW[[#This Row],[Total PoP ]]</f>
        <v>1</v>
      </c>
      <c r="DU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 s="971">
        <f>WWWW[[#This Row],['#_Constructed/Existing hand washing stations]]-WWWW[[#This Row],['#_Non-Functional_hand_washing_stations]]</f>
        <v>2</v>
      </c>
      <c r="DX9" s="968">
        <f>IF(WWWW[[#This Row],['# Functional hand washing stations during reporting period]]*20&gt;WWWW[[#This Row],[Total HH]],WWWW[[#This Row],[Total HH]],WWWW[[#This Row],['# Functional hand washing stations during reporting period]]*20)</f>
        <v>18</v>
      </c>
      <c r="DY9" s="968">
        <f>IF(WWWW[[#This Row],[Is sufficient soap available for TLS? (Yes/No)]]="yes",WWWW[[#This Row],['#_Constructed/Existing hand washing stations at TLS/CFS/THF]],0)</f>
        <v>4</v>
      </c>
      <c r="DZ9" s="425">
        <f>IF(WWWW[[#This Row],['# Functional hand washing stations during reporting period]]*100&gt;WWWW[[#This Row],[Total PoP ]],WWWW[[#This Row],[Total PoP ]],WWWW[[#This Row],['# Functional hand washing stations during reporting period]]*100)</f>
        <v>62</v>
      </c>
      <c r="EA9" s="425" t="str">
        <f>IF(OR(WWWW[[#This Row],['#_students at TLS_CFS]]="",WWWW[[#This Row],['#_students at TLS_CFS]]=0),"No","Yes")</f>
        <v>Yes</v>
      </c>
      <c r="EB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 s="570">
        <f>WWWW[[#This Row],[%_of_affected_people_surveyed_who_report_feeling_satistfied_with_the_latrine_design_and_sanitation_service]]*WWWW[[#This Row],[Total PoP ]]</f>
        <v>0</v>
      </c>
      <c r="ED9" s="570">
        <f>WWWW[[#This Row],[%_of_affected_people_surveyed_who_report_feeling_satistfied_with_the_water_point_design_and_water_service]]*WWWW[[#This Row],[Total PoP ]]</f>
        <v>0</v>
      </c>
      <c r="EE9" s="570">
        <f>WWWW[[#This Row],[%_of_complaints_received_that_result_in_timely_corrective_action_and_feedback_to_the_community]]*WWWW[[#This Row],[Total PoP ]]</f>
        <v>0</v>
      </c>
      <c r="EF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 s="964">
        <f>VLOOKUP(WWWW[[#This Row],[Site Name]],SiteDB6[[Site Name]:[CCCM Management]],6,FALSE)</f>
        <v>0</v>
      </c>
      <c r="EJ9" s="964" t="str">
        <f>VLOOKUP(WWWW[[#This Row],[Site Name]],SiteDB6[[Site Name]:[CCCM Focal Agency]],7,FALSE)</f>
        <v>KMSS-MYT</v>
      </c>
      <c r="EK9" s="964" t="str">
        <f>VLOOKUP(WWWW[[#This Row],[Site Name]],SiteDB6[[Site Name]:[Location Type 1]],9,FALSE)</f>
        <v>Camp</v>
      </c>
      <c r="EL9" s="964" t="str">
        <f>VLOOKUP(WWWW[[#This Row],[Site Name]],SiteDB6[[Site Name]:[Type of Accommodation]],10,FALSE)</f>
        <v>Camp</v>
      </c>
      <c r="EM9" s="964" t="str">
        <f>VLOOKUP(WWWW[[#This Row],[Site Name]],SiteDB6[[Site Name]:[Ethnic or GCA/NGCA]],11,FALSE)</f>
        <v>GCA</v>
      </c>
      <c r="EN9" s="964">
        <f>VLOOKUP(WWWW[[#This Row],[Site Name]],SiteDB6[[Site Name]:[Lat]],12,FALSE)</f>
        <v>25.244700000000002</v>
      </c>
      <c r="EO9" s="964">
        <f>VLOOKUP(WWWW[[#This Row],[Site Name]],SiteDB6[[Site Name]:[Long]],13,FALSE)</f>
        <v>97.2209</v>
      </c>
      <c r="EP9" s="964" t="str">
        <f>VLOOKUP(WWWW[[#This Row],[Site Name]],SiteDB6[[Site Name]:[Pcode]],3,FALSE)</f>
        <v>MMR001CMP256</v>
      </c>
      <c r="EQ9" s="969" t="str">
        <f t="shared" si="0"/>
        <v>Covered</v>
      </c>
      <c r="ER9" s="969" t="s">
        <v>3147</v>
      </c>
      <c r="ES9" s="964">
        <f>VLOOKUP(WWWW[[#This Row],[Site Name]],SiteDB6[[Site Name]:[Pop
(Kachin/Shan-CCCM as of March 2023)]],16,FALSE)</f>
        <v>18</v>
      </c>
      <c r="ET9" s="964">
        <f>VLOOKUP(WWWW[[#This Row],[Site Name]],SiteDB6[[Site Name]:[Pop
(Kachin/Shan-CCCM as of March 2023)]],17,FALSE)</f>
        <v>61</v>
      </c>
    </row>
    <row r="10" spans="1:150" hidden="1">
      <c r="A10" s="962" t="s">
        <v>2977</v>
      </c>
      <c r="B10" s="963" t="s">
        <v>141</v>
      </c>
      <c r="C10" s="963" t="s">
        <v>141</v>
      </c>
      <c r="D10" s="963" t="s">
        <v>241</v>
      </c>
      <c r="E10" s="963" t="s">
        <v>37</v>
      </c>
      <c r="F10" s="963" t="s">
        <v>146</v>
      </c>
      <c r="G10" s="964" t="str">
        <f>VLOOKUP(WWWW[[#This Row],[Site Name]],SiteDB6[[Site Name]:[Location Type]],8,FALSE)</f>
        <v>Camp</v>
      </c>
      <c r="H10" s="963" t="s">
        <v>147</v>
      </c>
      <c r="I10" s="965">
        <v>178</v>
      </c>
      <c r="J10" s="965">
        <v>1075</v>
      </c>
      <c r="K10" s="966">
        <v>44811</v>
      </c>
      <c r="L10" s="967">
        <v>45175</v>
      </c>
      <c r="M10" s="965"/>
      <c r="N10" s="965">
        <v>2</v>
      </c>
      <c r="O10" s="965"/>
      <c r="P10" s="965"/>
      <c r="Q10" s="968" t="s">
        <v>41</v>
      </c>
      <c r="R10" s="965">
        <v>3</v>
      </c>
      <c r="S10" s="965">
        <v>1</v>
      </c>
      <c r="T10" s="445"/>
      <c r="U10" s="965"/>
      <c r="V10" s="965"/>
      <c r="W10" s="965"/>
      <c r="X10" s="965"/>
      <c r="Y10" s="965"/>
      <c r="Z10" s="965"/>
      <c r="AA10" s="965"/>
      <c r="AB10" s="965"/>
      <c r="AC10" s="965"/>
      <c r="AD10" s="965"/>
      <c r="AE10" s="965"/>
      <c r="AF10" s="965"/>
      <c r="AG10" s="965"/>
      <c r="AH10" s="965"/>
      <c r="AI10" s="965"/>
      <c r="AJ10" s="965"/>
      <c r="AK10" s="965"/>
      <c r="AL10" s="965"/>
      <c r="AM10" s="965"/>
      <c r="AN10" s="965"/>
      <c r="AO10" s="445"/>
      <c r="AP10" s="969"/>
      <c r="AQ10" s="965">
        <v>32</v>
      </c>
      <c r="AR10" s="965"/>
      <c r="AS10" s="970"/>
      <c r="AT10" s="965"/>
      <c r="AU10" s="965"/>
      <c r="AV10" s="965"/>
      <c r="AW10" s="965"/>
      <c r="AX10" s="965">
        <v>32</v>
      </c>
      <c r="AY10" s="964" t="s">
        <v>41</v>
      </c>
      <c r="AZ10" s="969" t="s">
        <v>137</v>
      </c>
      <c r="BA10" s="965"/>
      <c r="BB10" s="965"/>
      <c r="BC10" s="965">
        <v>5</v>
      </c>
      <c r="BD10" s="445"/>
      <c r="BE10" s="445"/>
      <c r="BF10" s="964"/>
      <c r="BG10" s="965">
        <v>8</v>
      </c>
      <c r="BH10" s="965"/>
      <c r="BI10" s="965"/>
      <c r="BJ10" s="965">
        <v>3</v>
      </c>
      <c r="BK10" s="965"/>
      <c r="BL10" s="965">
        <v>2</v>
      </c>
      <c r="BM10" s="965"/>
      <c r="BN10" s="965"/>
      <c r="BO10" s="965"/>
      <c r="BP10" s="964"/>
      <c r="BQ10" s="971"/>
      <c r="BR10" s="970"/>
      <c r="BS10" s="964"/>
      <c r="BT10" s="420"/>
      <c r="BU10" s="420"/>
      <c r="BV10" s="422"/>
      <c r="BW10" s="420"/>
      <c r="BX10" s="445"/>
      <c r="BY10" s="445"/>
      <c r="BZ10" s="445"/>
      <c r="CA10" s="445"/>
      <c r="CB10" s="445"/>
      <c r="CC10" s="702"/>
      <c r="CD10" s="445"/>
      <c r="CE10" s="972" t="str">
        <f>IFERROR(WWWW[[#This Row],['#_Water sources passed]]/WWWW[[#This Row],['#_Water sources tested for fecal coliform ]],"no test")</f>
        <v>no test</v>
      </c>
      <c r="CF10" s="970" t="str">
        <f>IFERROR(WWWW[[#This Row],['#_Household passed]]/WWWW[[#This Row],['#_Household water samples tested for fecal coliform]],"no test")</f>
        <v>no test</v>
      </c>
      <c r="CG10" s="971" t="str">
        <f>IF(AND(WWWW[[#This Row],[% of water sources passed]]="no test",WWWW[[#This Row],[% Household passed]]="no test"),"No Test","Tested")</f>
        <v>No Test</v>
      </c>
      <c r="CH10" s="971">
        <f>WWWW[[#This Row],['#_Constructed/existing protected hand dug well]]-WWWW[[#This Row],['#_Non-functional protected hand dug well]]</f>
        <v>0</v>
      </c>
      <c r="CI10" s="971">
        <f>(WWWW[[#This Row],['#_Constructed/Existing tube wells/boreholes/handpumps_WASH_agency]]+WWWW[[#This Row],['#_Non-Cluster partner water tube-wells/boreholes/handpumps]])-WWWW[[#This Row],['#_Non-functional tube wells/boreholes/handpumps]]</f>
        <v>0</v>
      </c>
      <c r="CJ10" s="971">
        <f>WWWW[[#This Row],['#_Constructed/Existingwater storage tank with gravity fed reticulation system]]-WWWW[[#This Row],['#_Non-functional storage tank gravity fed reticulation system]]</f>
        <v>0</v>
      </c>
      <c r="CK10" s="971">
        <f>(WWWW[[#This Row],['#_Water_Liters_supplied_by_Water boating or water trucking]]/90)/15</f>
        <v>0</v>
      </c>
      <c r="CL10" s="971">
        <f>WWWW[[#This Row],['#_Water_Liters_from_Constructed/Existing water distribution system from river or natural spring]]/90/15</f>
        <v>0</v>
      </c>
      <c r="CM10" s="421">
        <f>IF(WWWW[[#This Row],['#_of water points in TLS/CFS]]*500&gt;WWWW[[#This Row],[Total PoP ]],WWWW[[#This Row],[Total PoP ]],WWWW[[#This Row],['#_of water points in TLS/CFS]]*500)</f>
        <v>0</v>
      </c>
      <c r="CN10" s="421">
        <f>IF(WWWW[[#This Row],['#_of water points in THF]]*500&gt;WWWW[[#This Row],[Total PoP ]],WWWW[[#This Row],[Total PoP ]],WWWW[[#This Row],['#_of water points in THF]]*500)</f>
        <v>0</v>
      </c>
      <c r="CO10" s="421"/>
      <c r="CP1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0" s="970">
        <f>IF(WWWW[[#This Row],[Location Type 1]]="Village",WWWW[[#This Row],[Access to safe drinking water for Village]],WWWW[[#This Row],[Access to safe drinking water for Camp]])</f>
        <v>0</v>
      </c>
      <c r="CS10" s="968">
        <f>WWWW[[#This Row],[%Equitable and continuous access to sufficient quantity of safe drinking water]]*WWWW[[#This Row],[Total PoP ]]</f>
        <v>0</v>
      </c>
      <c r="CT10" s="970">
        <f>IF((WWWW[[#This Row],['#_Constructed/Existing protected/fenced ponds]]*250)/WWWW[[#This Row],[Total PoP ]]&gt;1,1,(WWWW[[#This Row],['#_Constructed/Existing protected/fenced ponds]]*250)/WWWW[[#This Row],[Total PoP ]])</f>
        <v>0</v>
      </c>
      <c r="CU10" s="968">
        <f>WWWW[[#This Row],[% Access to unimproved water points]]*WWWW[[#This Row],[Total PoP ]]</f>
        <v>0</v>
      </c>
      <c r="CV1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0" s="968">
        <f>WWWW[[#This Row],[HRP1]]/500</f>
        <v>0</v>
      </c>
      <c r="CY10" s="973">
        <f>1-WWWW[[#This Row],[% Equitable and continuous access to sufficient quantity of domestic water]]</f>
        <v>1</v>
      </c>
      <c r="CZ10" s="968">
        <f>WWWW[[#This Row],[%equitable and continuous access to sufficient quantity of safe drinking and domestic water''s GAP]]*WWWW[[#This Row],[Total PoP ]]</f>
        <v>1075</v>
      </c>
      <c r="DA10" s="971">
        <f>IF(WWWW[[#This Row],[Total required water points]]-WWWW[[#This Row],['#Water points coverage]]&lt;0,0,WWWW[[#This Row],[Total required water points]]-WWWW[[#This Row],['#Water points coverage]])</f>
        <v>2</v>
      </c>
      <c r="DB10" s="971">
        <f>ROUND(IF(WWWW[[#This Row],[Total PoP ]]&lt;500,1,WWWW[[#This Row],[Total PoP ]]/500),0)</f>
        <v>2</v>
      </c>
      <c r="DC10" s="971">
        <f>(WWWW[[#This Row],['#_Constructed latrines_by_WASHAgencies]]+WWWW[[#This Row],['#_Non Cluster partner latrines]])-WWWW[[#This Row],['#_Non-functional latrines]]</f>
        <v>32</v>
      </c>
      <c r="DD10" s="619">
        <f>WWWW[[#This Row],[HRP2]]/WWWW[[#This Row],[Total PoP ]]</f>
        <v>0.59534883720930232</v>
      </c>
      <c r="DE1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640</v>
      </c>
      <c r="DF1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 s="421">
        <f>IF(WWWW[[#This Row],['# of functional latrines in THF supported by WASH partners during the reporting period2]]="",0,WWWW[[#This Row],['# of functional latrines in THF supported by WASH partners during the reporting period2]]*50)</f>
        <v>0</v>
      </c>
      <c r="DI10" s="971">
        <f>ROUND(IF(WWWW[[#This Row],[Location Type 1]]="camp",WWWW[[#This Row],[Total PoP ]]/20,IF(WWWW[[#This Row],[Location Type 1]]="Temporary Location",WWWW[[#This Row],[Total PoP ]]/50,(WWWW[[#This Row],[Total PoP ]]/6))),0)</f>
        <v>54</v>
      </c>
      <c r="DJ10" s="971">
        <f>IF(WWWW[[#This Row],[Total required Latrines]]-(WWWW[[#This Row],['#_Constructed latrines_by_WASHAgencies]]+WWWW[[#This Row],['#_Non Cluster partner latrines]])&lt;0,0,WWWW[[#This Row],[Total required Latrines]]-(WWWW[[#This Row],['#_Constructed latrines_by_WASHAgencies]]+WWWW[[#This Row],['#_Non Cluster partner latrines]]))</f>
        <v>22</v>
      </c>
      <c r="DK10" s="973">
        <f>1-WWWW[[#This Row],[% people access to functioning Latrine]]</f>
        <v>0.40465116279069768</v>
      </c>
      <c r="DL10" s="972">
        <f>IF(OR(WWWW[[#This Row],['#_Non-functional latrines]]="",WWWW[[#This Row],['#_Non-functional latrines]]=0),0,WWWW[[#This Row],['#_Non-functional latrines]]/(WWWW[[#This Row],['#_Constructed latrines_by_WASHAgencies]]+WWWW[[#This Row],['#_Non Cluster partner latrines]]))</f>
        <v>0</v>
      </c>
      <c r="DM10" s="968">
        <f>IF(500*(WWWW[[#This Row],['#_male hygiene promoters]]+WWWW[[#This Row],['#_female hygiene promoters]])&gt;WWWW[[#This Row],[Total PoP ]],WWWW[[#This Row],[Total PoP ]],500*(WWWW[[#This Row],['#_male hygiene promoters]]+WWWW[[#This Row],['#_female hygiene promoters]]))</f>
        <v>1000</v>
      </c>
      <c r="DN1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 s="971">
        <f>IF(WWWW[[#This Row],['# People with access to soap]]&gt;WWWW[[#This Row],['# People with access to Sanity Pads]],WWWW[[#This Row],['# People with access to soap]],WWWW[[#This Row],['# People with access to Sanity Pads]])</f>
        <v>0</v>
      </c>
      <c r="DQ10" s="971">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10" s="973">
        <f>IF(WWWW[[#This Row],[HRP3]]/WWWW[[#This Row],[Total PoP ]]&gt;1,1,WWWW[[#This Row],[HRP3]]/WWWW[[#This Row],[Total PoP ]])</f>
        <v>0.93023255813953487</v>
      </c>
      <c r="DS10" s="972">
        <f>1-WWWW[[#This Row],[Hygiene Coverage%]]</f>
        <v>6.9767441860465129E-2</v>
      </c>
      <c r="DT10" s="970">
        <f>WWWW[[#This Row],['# people reached by regular dedicated hygiene promotion_5]]/WWWW[[#This Row],[Total PoP ]]</f>
        <v>0.93023255813953487</v>
      </c>
      <c r="DU1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 s="971">
        <f>WWWW[[#This Row],['#_Constructed/Existing hand washing stations]]-WWWW[[#This Row],['#_Non-Functional_hand_washing_stations]]</f>
        <v>8</v>
      </c>
      <c r="DX10" s="968">
        <f>IF(WWWW[[#This Row],['# Functional hand washing stations during reporting period]]*20&gt;WWWW[[#This Row],[Total HH]],WWWW[[#This Row],[Total HH]],WWWW[[#This Row],['# Functional hand washing stations during reporting period]]*20)</f>
        <v>160</v>
      </c>
      <c r="DY10" s="968">
        <f>IF(WWWW[[#This Row],[Is sufficient soap available for TLS? (Yes/No)]]="yes",WWWW[[#This Row],['#_Constructed/Existing hand washing stations at TLS/CFS/THF]],0)</f>
        <v>0</v>
      </c>
      <c r="DZ10" s="425">
        <f>IF(WWWW[[#This Row],['# Functional hand washing stations during reporting period]]*100&gt;WWWW[[#This Row],[Total PoP ]],WWWW[[#This Row],[Total PoP ]],WWWW[[#This Row],['# Functional hand washing stations during reporting period]]*100)</f>
        <v>800</v>
      </c>
      <c r="EA10" s="425" t="str">
        <f>IF(OR(WWWW[[#This Row],['#_students at TLS_CFS]]="",WWWW[[#This Row],['#_students at TLS_CFS]]=0),"No","Yes")</f>
        <v>No</v>
      </c>
      <c r="EB1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 s="570">
        <f>WWWW[[#This Row],[%_of_affected_people_surveyed_who_report_feeling_satistfied_with_the_latrine_design_and_sanitation_service]]*WWWW[[#This Row],[Total PoP ]]</f>
        <v>0</v>
      </c>
      <c r="ED10" s="570">
        <f>WWWW[[#This Row],[%_of_affected_people_surveyed_who_report_feeling_satistfied_with_the_water_point_design_and_water_service]]*WWWW[[#This Row],[Total PoP ]]</f>
        <v>0</v>
      </c>
      <c r="EE10" s="570">
        <f>WWWW[[#This Row],[%_of_complaints_received_that_result_in_timely_corrective_action_and_feedback_to_the_community]]*WWWW[[#This Row],[Total PoP ]]</f>
        <v>0</v>
      </c>
      <c r="EF1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 s="964" t="str">
        <f>VLOOKUP(WWWW[[#This Row],[Site Name]],SiteDB6[[Site Name]:[CCCM Management]],6,FALSE)</f>
        <v>Yes</v>
      </c>
      <c r="EJ10" s="964" t="str">
        <f>VLOOKUP(WWWW[[#This Row],[Site Name]],SiteDB6[[Site Name]:[CCCM Focal Agency]],7,FALSE)</f>
        <v>KBC-MYT</v>
      </c>
      <c r="EK10" s="964" t="str">
        <f>VLOOKUP(WWWW[[#This Row],[Site Name]],SiteDB6[[Site Name]:[Location Type 1]],9,FALSE)</f>
        <v>Camp</v>
      </c>
      <c r="EL10" s="964" t="str">
        <f>VLOOKUP(WWWW[[#This Row],[Site Name]],SiteDB6[[Site Name]:[Type of Accommodation]],10,FALSE)</f>
        <v>Camp</v>
      </c>
      <c r="EM10" s="964" t="str">
        <f>VLOOKUP(WWWW[[#This Row],[Site Name]],SiteDB6[[Site Name]:[Ethnic or GCA/NGCA]],11,FALSE)</f>
        <v>NGCA</v>
      </c>
      <c r="EN10" s="964">
        <f>VLOOKUP(WWWW[[#This Row],[Site Name]],SiteDB6[[Site Name]:[Lat]],12,FALSE)</f>
        <v>25.754110000000001</v>
      </c>
      <c r="EO10" s="964">
        <f>VLOOKUP(WWWW[[#This Row],[Site Name]],SiteDB6[[Site Name]:[Long]],13,FALSE)</f>
        <v>98.475719999999995</v>
      </c>
      <c r="EP10" s="964" t="str">
        <f>VLOOKUP(WWWW[[#This Row],[Site Name]],SiteDB6[[Site Name]:[Pcode]],3,FALSE)</f>
        <v>MMR001CMP043</v>
      </c>
      <c r="EQ10" s="969" t="str">
        <f t="shared" si="0"/>
        <v>Covered</v>
      </c>
      <c r="ER10" s="969" t="s">
        <v>3147</v>
      </c>
      <c r="ES10" s="964">
        <f>VLOOKUP(WWWW[[#This Row],[Site Name]],SiteDB6[[Site Name]:[Pop
(Kachin/Shan-CCCM as of March 2023)]],16,FALSE)</f>
        <v>178</v>
      </c>
      <c r="ET10" s="964">
        <f>VLOOKUP(WWWW[[#This Row],[Site Name]],SiteDB6[[Site Name]:[Pop
(Kachin/Shan-CCCM as of March 2023)]],17,FALSE)</f>
        <v>1075</v>
      </c>
    </row>
    <row r="11" spans="1:150" hidden="1">
      <c r="A11" s="962" t="s">
        <v>2977</v>
      </c>
      <c r="B11" s="963" t="s">
        <v>141</v>
      </c>
      <c r="C11" s="963" t="s">
        <v>141</v>
      </c>
      <c r="D11" s="963" t="s">
        <v>241</v>
      </c>
      <c r="E11" s="963" t="s">
        <v>37</v>
      </c>
      <c r="F11" s="963" t="s">
        <v>148</v>
      </c>
      <c r="G11" s="964" t="str">
        <f>VLOOKUP(WWWW[[#This Row],[Site Name]],SiteDB6[[Site Name]:[Location Type]],8,FALSE)</f>
        <v>Camp</v>
      </c>
      <c r="H11" s="963" t="s">
        <v>149</v>
      </c>
      <c r="I11" s="965">
        <v>25</v>
      </c>
      <c r="J11" s="965">
        <v>128</v>
      </c>
      <c r="K11" s="966">
        <v>44811</v>
      </c>
      <c r="L11" s="967">
        <v>45175</v>
      </c>
      <c r="M11" s="965"/>
      <c r="N11" s="965">
        <v>1</v>
      </c>
      <c r="O11" s="965"/>
      <c r="P11" s="965"/>
      <c r="Q11" s="968" t="s">
        <v>41</v>
      </c>
      <c r="R11" s="965">
        <v>3</v>
      </c>
      <c r="S11" s="965">
        <v>3</v>
      </c>
      <c r="T11" s="445"/>
      <c r="U11" s="965"/>
      <c r="V11" s="965"/>
      <c r="W11" s="965">
        <v>1</v>
      </c>
      <c r="X11" s="965"/>
      <c r="Y11" s="965"/>
      <c r="Z11" s="965"/>
      <c r="AA11" s="965"/>
      <c r="AB11" s="965"/>
      <c r="AC11" s="965"/>
      <c r="AD11" s="965"/>
      <c r="AE11" s="965"/>
      <c r="AF11" s="965"/>
      <c r="AG11" s="965"/>
      <c r="AH11" s="965"/>
      <c r="AI11" s="965"/>
      <c r="AJ11" s="965"/>
      <c r="AK11" s="965"/>
      <c r="AL11" s="965"/>
      <c r="AM11" s="965"/>
      <c r="AN11" s="965"/>
      <c r="AO11" s="445"/>
      <c r="AP11" s="969"/>
      <c r="AQ11" s="965">
        <v>4</v>
      </c>
      <c r="AR11" s="965"/>
      <c r="AS11" s="970"/>
      <c r="AT11" s="965"/>
      <c r="AU11" s="965"/>
      <c r="AV11" s="965"/>
      <c r="AW11" s="965"/>
      <c r="AX11" s="965">
        <v>4</v>
      </c>
      <c r="AY11" s="964" t="s">
        <v>41</v>
      </c>
      <c r="AZ11" s="969" t="s">
        <v>137</v>
      </c>
      <c r="BA11" s="965"/>
      <c r="BB11" s="965"/>
      <c r="BC11" s="965"/>
      <c r="BD11" s="445"/>
      <c r="BE11" s="445"/>
      <c r="BF11" s="964"/>
      <c r="BG11" s="965">
        <v>1</v>
      </c>
      <c r="BH11" s="965"/>
      <c r="BI11" s="965"/>
      <c r="BJ11" s="965">
        <v>1</v>
      </c>
      <c r="BK11" s="965"/>
      <c r="BL11" s="965"/>
      <c r="BM11" s="965"/>
      <c r="BN11" s="965"/>
      <c r="BO11" s="965"/>
      <c r="BP11" s="964"/>
      <c r="BQ11" s="971"/>
      <c r="BR11" s="970"/>
      <c r="BS11" s="964"/>
      <c r="BT11" s="420"/>
      <c r="BU11" s="420"/>
      <c r="BV11" s="422"/>
      <c r="BW11" s="420"/>
      <c r="BX11" s="445"/>
      <c r="BY11" s="445"/>
      <c r="BZ11" s="445"/>
      <c r="CA11" s="445"/>
      <c r="CB11" s="445"/>
      <c r="CC11" s="702"/>
      <c r="CD11" s="445"/>
      <c r="CE11" s="972" t="str">
        <f>IFERROR(WWWW[[#This Row],['#_Water sources passed]]/WWWW[[#This Row],['#_Water sources tested for fecal coliform ]],"no test")</f>
        <v>no test</v>
      </c>
      <c r="CF11" s="970" t="str">
        <f>IFERROR(WWWW[[#This Row],['#_Household passed]]/WWWW[[#This Row],['#_Household water samples tested for fecal coliform]],"no test")</f>
        <v>no test</v>
      </c>
      <c r="CG11" s="971" t="str">
        <f>IF(AND(WWWW[[#This Row],[% of water sources passed]]="no test",WWWW[[#This Row],[% Household passed]]="no test"),"No Test","Tested")</f>
        <v>No Test</v>
      </c>
      <c r="CH11" s="971">
        <f>WWWW[[#This Row],['#_Constructed/existing protected hand dug well]]-WWWW[[#This Row],['#_Non-functional protected hand dug well]]</f>
        <v>0</v>
      </c>
      <c r="CI11" s="971">
        <f>(WWWW[[#This Row],['#_Constructed/Existing tube wells/boreholes/handpumps_WASH_agency]]+WWWW[[#This Row],['#_Non-Cluster partner water tube-wells/boreholes/handpumps]])-WWWW[[#This Row],['#_Non-functional tube wells/boreholes/handpumps]]</f>
        <v>1</v>
      </c>
      <c r="CJ11" s="971">
        <f>WWWW[[#This Row],['#_Constructed/Existingwater storage tank with gravity fed reticulation system]]-WWWW[[#This Row],['#_Non-functional storage tank gravity fed reticulation system]]</f>
        <v>0</v>
      </c>
      <c r="CK11" s="971">
        <f>(WWWW[[#This Row],['#_Water_Liters_supplied_by_Water boating or water trucking]]/90)/15</f>
        <v>0</v>
      </c>
      <c r="CL11" s="971">
        <f>WWWW[[#This Row],['#_Water_Liters_from_Constructed/Existing water distribution system from river or natural spring]]/90/15</f>
        <v>0</v>
      </c>
      <c r="CM11" s="421">
        <f>IF(WWWW[[#This Row],['#_of water points in TLS/CFS]]*500&gt;WWWW[[#This Row],[Total PoP ]],WWWW[[#This Row],[Total PoP ]],WWWW[[#This Row],['#_of water points in TLS/CFS]]*500)</f>
        <v>0</v>
      </c>
      <c r="CN11" s="421">
        <f>IF(WWWW[[#This Row],['#_of water points in THF]]*500&gt;WWWW[[#This Row],[Total PoP ]],WWWW[[#This Row],[Total PoP ]],WWWW[[#This Row],['#_of water points in THF]]*500)</f>
        <v>0</v>
      </c>
      <c r="CO11" s="421"/>
      <c r="CP1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 s="970">
        <f>IF(WWWW[[#This Row],[Location Type 1]]="Village",WWWW[[#This Row],[Access to safe drinking water for Village]],WWWW[[#This Row],[Access to safe drinking water for Camp]])</f>
        <v>1</v>
      </c>
      <c r="CS11" s="968">
        <f>WWWW[[#This Row],[%Equitable and continuous access to sufficient quantity of safe drinking water]]*WWWW[[#This Row],[Total PoP ]]</f>
        <v>128</v>
      </c>
      <c r="CT11" s="970">
        <f>IF((WWWW[[#This Row],['#_Constructed/Existing protected/fenced ponds]]*250)/WWWW[[#This Row],[Total PoP ]]&gt;1,1,(WWWW[[#This Row],['#_Constructed/Existing protected/fenced ponds]]*250)/WWWW[[#This Row],[Total PoP ]])</f>
        <v>0</v>
      </c>
      <c r="CU11" s="968">
        <f>WWWW[[#This Row],[% Access to unimproved water points]]*WWWW[[#This Row],[Total PoP ]]</f>
        <v>0</v>
      </c>
      <c r="CV1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128</v>
      </c>
      <c r="CX11" s="968">
        <f>WWWW[[#This Row],[HRP1]]/500</f>
        <v>0.25600000000000001</v>
      </c>
      <c r="CY11" s="973">
        <f>1-WWWW[[#This Row],[% Equitable and continuous access to sufficient quantity of domestic water]]</f>
        <v>0</v>
      </c>
      <c r="CZ11" s="968">
        <f>WWWW[[#This Row],[%equitable and continuous access to sufficient quantity of safe drinking and domestic water''s GAP]]*WWWW[[#This Row],[Total PoP ]]</f>
        <v>0</v>
      </c>
      <c r="DA11" s="971">
        <f>IF(WWWW[[#This Row],[Total required water points]]-WWWW[[#This Row],['#Water points coverage]]&lt;0,0,WWWW[[#This Row],[Total required water points]]-WWWW[[#This Row],['#Water points coverage]])</f>
        <v>0.74399999999999999</v>
      </c>
      <c r="DB11" s="971">
        <f>ROUND(IF(WWWW[[#This Row],[Total PoP ]]&lt;500,1,WWWW[[#This Row],[Total PoP ]]/500),0)</f>
        <v>1</v>
      </c>
      <c r="DC11" s="971">
        <f>(WWWW[[#This Row],['#_Constructed latrines_by_WASHAgencies]]+WWWW[[#This Row],['#_Non Cluster partner latrines]])-WWWW[[#This Row],['#_Non-functional latrines]]</f>
        <v>4</v>
      </c>
      <c r="DD11" s="619">
        <f>WWWW[[#This Row],[HRP2]]/WWWW[[#This Row],[Total PoP ]]</f>
        <v>0.625</v>
      </c>
      <c r="DE1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1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 s="421">
        <f>IF(WWWW[[#This Row],['# of functional latrines in THF supported by WASH partners during the reporting period2]]="",0,WWWW[[#This Row],['# of functional latrines in THF supported by WASH partners during the reporting period2]]*50)</f>
        <v>0</v>
      </c>
      <c r="DI11" s="971">
        <f>ROUND(IF(WWWW[[#This Row],[Location Type 1]]="camp",WWWW[[#This Row],[Total PoP ]]/20,IF(WWWW[[#This Row],[Location Type 1]]="Temporary Location",WWWW[[#This Row],[Total PoP ]]/50,(WWWW[[#This Row],[Total PoP ]]/6))),0)</f>
        <v>6</v>
      </c>
      <c r="DJ11" s="971">
        <f>IF(WWWW[[#This Row],[Total required Latrines]]-(WWWW[[#This Row],['#_Constructed latrines_by_WASHAgencies]]+WWWW[[#This Row],['#_Non Cluster partner latrines]])&lt;0,0,WWWW[[#This Row],[Total required Latrines]]-(WWWW[[#This Row],['#_Constructed latrines_by_WASHAgencies]]+WWWW[[#This Row],['#_Non Cluster partner latrines]]))</f>
        <v>2</v>
      </c>
      <c r="DK11" s="973">
        <f>1-WWWW[[#This Row],[% people access to functioning Latrine]]</f>
        <v>0.375</v>
      </c>
      <c r="DL11" s="972">
        <f>IF(OR(WWWW[[#This Row],['#_Non-functional latrines]]="",WWWW[[#This Row],['#_Non-functional latrines]]=0),0,WWWW[[#This Row],['#_Non-functional latrines]]/(WWWW[[#This Row],['#_Constructed latrines_by_WASHAgencies]]+WWWW[[#This Row],['#_Non Cluster partner latrines]]))</f>
        <v>0</v>
      </c>
      <c r="DM11" s="968">
        <f>IF(500*(WWWW[[#This Row],['#_male hygiene promoters]]+WWWW[[#This Row],['#_female hygiene promoters]])&gt;WWWW[[#This Row],[Total PoP ]],WWWW[[#This Row],[Total PoP ]],500*(WWWW[[#This Row],['#_male hygiene promoters]]+WWWW[[#This Row],['#_female hygiene promoters]]))</f>
        <v>0</v>
      </c>
      <c r="DN1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 s="971">
        <f>IF(WWWW[[#This Row],['# People with access to soap]]&gt;WWWW[[#This Row],['# People with access to Sanity Pads]],WWWW[[#This Row],['# People with access to soap]],WWWW[[#This Row],['# People with access to Sanity Pads]])</f>
        <v>0</v>
      </c>
      <c r="DQ1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 s="973">
        <f>IF(WWWW[[#This Row],[HRP3]]/WWWW[[#This Row],[Total PoP ]]&gt;1,1,WWWW[[#This Row],[HRP3]]/WWWW[[#This Row],[Total PoP ]])</f>
        <v>0</v>
      </c>
      <c r="DS11" s="972">
        <f>1-WWWW[[#This Row],[Hygiene Coverage%]]</f>
        <v>1</v>
      </c>
      <c r="DT11" s="970">
        <f>WWWW[[#This Row],['# people reached by regular dedicated hygiene promotion_5]]/WWWW[[#This Row],[Total PoP ]]</f>
        <v>0</v>
      </c>
      <c r="DU1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 s="971">
        <f>WWWW[[#This Row],['#_Constructed/Existing hand washing stations]]-WWWW[[#This Row],['#_Non-Functional_hand_washing_stations]]</f>
        <v>1</v>
      </c>
      <c r="DX11" s="968">
        <f>IF(WWWW[[#This Row],['# Functional hand washing stations during reporting period]]*20&gt;WWWW[[#This Row],[Total HH]],WWWW[[#This Row],[Total HH]],WWWW[[#This Row],['# Functional hand washing stations during reporting period]]*20)</f>
        <v>20</v>
      </c>
      <c r="DY11" s="968">
        <f>IF(WWWW[[#This Row],[Is sufficient soap available for TLS? (Yes/No)]]="yes",WWWW[[#This Row],['#_Constructed/Existing hand washing stations at TLS/CFS/THF]],0)</f>
        <v>0</v>
      </c>
      <c r="DZ11" s="425">
        <f>IF(WWWW[[#This Row],['# Functional hand washing stations during reporting period]]*100&gt;WWWW[[#This Row],[Total PoP ]],WWWW[[#This Row],[Total PoP ]],WWWW[[#This Row],['# Functional hand washing stations during reporting period]]*100)</f>
        <v>100</v>
      </c>
      <c r="EA11" s="425" t="str">
        <f>IF(OR(WWWW[[#This Row],['#_students at TLS_CFS]]="",WWWW[[#This Row],['#_students at TLS_CFS]]=0),"No","Yes")</f>
        <v>No</v>
      </c>
      <c r="EB1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 s="570">
        <f>WWWW[[#This Row],[%_of_affected_people_surveyed_who_report_feeling_satistfied_with_the_latrine_design_and_sanitation_service]]*WWWW[[#This Row],[Total PoP ]]</f>
        <v>0</v>
      </c>
      <c r="ED11" s="570">
        <f>WWWW[[#This Row],[%_of_affected_people_surveyed_who_report_feeling_satistfied_with_the_water_point_design_and_water_service]]*WWWW[[#This Row],[Total PoP ]]</f>
        <v>0</v>
      </c>
      <c r="EE11" s="570">
        <f>WWWW[[#This Row],[%_of_complaints_received_that_result_in_timely_corrective_action_and_feedback_to_the_community]]*WWWW[[#This Row],[Total PoP ]]</f>
        <v>0</v>
      </c>
      <c r="EF1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 s="964" t="str">
        <f>VLOOKUP(WWWW[[#This Row],[Site Name]],SiteDB6[[Site Name]:[CCCM Management]],6,FALSE)</f>
        <v>Yes</v>
      </c>
      <c r="EJ11" s="964" t="str">
        <f>VLOOKUP(WWWW[[#This Row],[Site Name]],SiteDB6[[Site Name]:[CCCM Focal Agency]],7,FALSE)</f>
        <v>KBC-MYT</v>
      </c>
      <c r="EK11" s="964" t="str">
        <f>VLOOKUP(WWWW[[#This Row],[Site Name]],SiteDB6[[Site Name]:[Location Type 1]],9,FALSE)</f>
        <v>Camp</v>
      </c>
      <c r="EL11" s="964" t="str">
        <f>VLOOKUP(WWWW[[#This Row],[Site Name]],SiteDB6[[Site Name]:[Type of Accommodation]],10,FALSE)</f>
        <v>Camp</v>
      </c>
      <c r="EM11" s="964" t="str">
        <f>VLOOKUP(WWWW[[#This Row],[Site Name]],SiteDB6[[Site Name]:[Ethnic or GCA/NGCA]],11,FALSE)</f>
        <v>GCA</v>
      </c>
      <c r="EN11" s="964">
        <f>VLOOKUP(WWWW[[#This Row],[Site Name]],SiteDB6[[Site Name]:[Lat]],12,FALSE)</f>
        <v>25.51352</v>
      </c>
      <c r="EO11" s="964">
        <f>VLOOKUP(WWWW[[#This Row],[Site Name]],SiteDB6[[Site Name]:[Long]],13,FALSE)</f>
        <v>96.705960000000005</v>
      </c>
      <c r="EP11" s="964" t="str">
        <f>VLOOKUP(WWWW[[#This Row],[Site Name]],SiteDB6[[Site Name]:[Pcode]],3,FALSE)</f>
        <v>MMR001CMP148</v>
      </c>
      <c r="EQ11" s="969" t="str">
        <f t="shared" si="0"/>
        <v>Covered</v>
      </c>
      <c r="ER11" s="969" t="s">
        <v>3147</v>
      </c>
      <c r="ES11" s="964">
        <f>VLOOKUP(WWWW[[#This Row],[Site Name]],SiteDB6[[Site Name]:[Pop
(Kachin/Shan-CCCM as of March 2023)]],16,FALSE)</f>
        <v>26</v>
      </c>
      <c r="ET11" s="964">
        <f>VLOOKUP(WWWW[[#This Row],[Site Name]],SiteDB6[[Site Name]:[Pop
(Kachin/Shan-CCCM as of March 2023)]],17,FALSE)</f>
        <v>125</v>
      </c>
    </row>
    <row r="12" spans="1:150" hidden="1">
      <c r="A12" s="962" t="s">
        <v>2977</v>
      </c>
      <c r="B12" s="962" t="s">
        <v>242</v>
      </c>
      <c r="C12" s="963" t="s">
        <v>242</v>
      </c>
      <c r="D12" s="963" t="s">
        <v>3207</v>
      </c>
      <c r="E12" s="963" t="s">
        <v>37</v>
      </c>
      <c r="F12" s="963" t="s">
        <v>148</v>
      </c>
      <c r="G12" s="964" t="str">
        <f>VLOOKUP(WWWW[[#This Row],[Site Name]],SiteDB6[[Site Name]:[Location Type]],8,FALSE)</f>
        <v>Camp</v>
      </c>
      <c r="H12" s="963" t="s">
        <v>248</v>
      </c>
      <c r="I12" s="965">
        <v>96</v>
      </c>
      <c r="J12" s="965">
        <v>446</v>
      </c>
      <c r="K12" s="966">
        <v>44927</v>
      </c>
      <c r="L12" s="967">
        <v>45291</v>
      </c>
      <c r="M12" s="965">
        <v>50</v>
      </c>
      <c r="N12" s="965"/>
      <c r="O12" s="965">
        <v>1</v>
      </c>
      <c r="P12" s="965">
        <v>1</v>
      </c>
      <c r="Q12" s="968" t="s">
        <v>136</v>
      </c>
      <c r="R12" s="965">
        <v>5</v>
      </c>
      <c r="S12" s="965">
        <v>5</v>
      </c>
      <c r="T12" s="445">
        <v>3</v>
      </c>
      <c r="U12" s="965"/>
      <c r="V12" s="965"/>
      <c r="W12" s="965"/>
      <c r="X12" s="965"/>
      <c r="Y12" s="965"/>
      <c r="Z12" s="965"/>
      <c r="AA12" s="965">
        <v>4</v>
      </c>
      <c r="AB12" s="965"/>
      <c r="AC12" s="965">
        <v>5.6781180000000004</v>
      </c>
      <c r="AD12" s="965"/>
      <c r="AE12" s="965"/>
      <c r="AF12" s="965"/>
      <c r="AG12" s="965"/>
      <c r="AH12" s="965">
        <v>1</v>
      </c>
      <c r="AI12" s="965"/>
      <c r="AJ12" s="965"/>
      <c r="AK12" s="965"/>
      <c r="AL12" s="965"/>
      <c r="AM12" s="965"/>
      <c r="AN12" s="965"/>
      <c r="AO12" s="445"/>
      <c r="AP12" s="969"/>
      <c r="AQ12" s="965">
        <v>4</v>
      </c>
      <c r="AR12" s="965">
        <v>14</v>
      </c>
      <c r="AS12" s="970" t="s">
        <v>3223</v>
      </c>
      <c r="AT12" s="965"/>
      <c r="AU12" s="965"/>
      <c r="AV12" s="965"/>
      <c r="AW12" s="965"/>
      <c r="AX12" s="965"/>
      <c r="AY12" s="964" t="s">
        <v>41</v>
      </c>
      <c r="AZ12" s="969" t="s">
        <v>136</v>
      </c>
      <c r="BA12" s="965"/>
      <c r="BB12" s="965"/>
      <c r="BC12" s="965"/>
      <c r="BD12" s="445"/>
      <c r="BE12" s="445">
        <v>8</v>
      </c>
      <c r="BF12" s="964" t="s">
        <v>3219</v>
      </c>
      <c r="BG12" s="965">
        <v>4</v>
      </c>
      <c r="BH12" s="965">
        <v>3</v>
      </c>
      <c r="BI12" s="965">
        <v>1</v>
      </c>
      <c r="BJ12" s="965">
        <v>1</v>
      </c>
      <c r="BK12" s="965">
        <v>1</v>
      </c>
      <c r="BL12" s="965">
        <v>1</v>
      </c>
      <c r="BM12" s="965"/>
      <c r="BN12" s="965">
        <v>96</v>
      </c>
      <c r="BO12" s="965">
        <v>99</v>
      </c>
      <c r="BP12" s="964"/>
      <c r="BQ12" s="971">
        <v>1</v>
      </c>
      <c r="BR12" s="970"/>
      <c r="BS12" s="964" t="s">
        <v>3224</v>
      </c>
      <c r="BT12" s="420">
        <v>1</v>
      </c>
      <c r="BU12" s="420">
        <v>1</v>
      </c>
      <c r="BV12" s="422">
        <v>30</v>
      </c>
      <c r="BW12" s="420">
        <v>0.7</v>
      </c>
      <c r="BX12" s="445"/>
      <c r="BY12" s="445"/>
      <c r="BZ12" s="445"/>
      <c r="CA12" s="445"/>
      <c r="CB12" s="445"/>
      <c r="CC12" s="702"/>
      <c r="CD12" s="445"/>
      <c r="CE12" s="972" t="str">
        <f>IFERROR(WWWW[[#This Row],['#_Water sources passed]]/WWWW[[#This Row],['#_Water sources tested for fecal coliform ]],"no test")</f>
        <v>no test</v>
      </c>
      <c r="CF12" s="970" t="str">
        <f>IFERROR(WWWW[[#This Row],['#_Household passed]]/WWWW[[#This Row],['#_Household water samples tested for fecal coliform]],"no test")</f>
        <v>no test</v>
      </c>
      <c r="CG12" s="971" t="str">
        <f>IF(AND(WWWW[[#This Row],[% of water sources passed]]="no test",WWWW[[#This Row],[% Household passed]]="no test"),"No Test","Tested")</f>
        <v>No Test</v>
      </c>
      <c r="CH12" s="971">
        <f>WWWW[[#This Row],['#_Constructed/existing protected hand dug well]]-WWWW[[#This Row],['#_Non-functional protected hand dug well]]</f>
        <v>3</v>
      </c>
      <c r="CI12" s="971">
        <f>(WWWW[[#This Row],['#_Constructed/Existing tube wells/boreholes/handpumps_WASH_agency]]+WWWW[[#This Row],['#_Non-Cluster partner water tube-wells/boreholes/handpumps]])-WWWW[[#This Row],['#_Non-functional tube wells/boreholes/handpumps]]</f>
        <v>0</v>
      </c>
      <c r="CJ12" s="971">
        <f>WWWW[[#This Row],['#_Constructed/Existingwater storage tank with gravity fed reticulation system]]-WWWW[[#This Row],['#_Non-functional storage tank gravity fed reticulation system]]</f>
        <v>4</v>
      </c>
      <c r="CK12" s="971">
        <f>(WWWW[[#This Row],['#_Water_Liters_supplied_by_Water boating or water trucking]]/90)/15</f>
        <v>0</v>
      </c>
      <c r="CL12" s="971">
        <f>WWWW[[#This Row],['#_Water_Liters_from_Constructed/Existing water distribution system from river or natural spring]]/90/15</f>
        <v>0</v>
      </c>
      <c r="CM12" s="421">
        <f>IF(WWWW[[#This Row],['#_of water points in TLS/CFS]]*500&gt;WWWW[[#This Row],[Total PoP ]],WWWW[[#This Row],[Total PoP ]],WWWW[[#This Row],['#_of water points in TLS/CFS]]*500)</f>
        <v>0</v>
      </c>
      <c r="CN12" s="421">
        <f>IF(WWWW[[#This Row],['#_of water points in THF]]*500&gt;WWWW[[#This Row],[Total PoP ]],WWWW[[#This Row],[Total PoP ]],WWWW[[#This Row],['#_of water points in THF]]*500)</f>
        <v>0</v>
      </c>
      <c r="CO12" s="421"/>
      <c r="CP1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 s="970">
        <f>IF(WWWW[[#This Row],[Location Type 1]]="Village",WWWW[[#This Row],[Access to safe drinking water for Village]],WWWW[[#This Row],[Access to safe drinking water for Camp]])</f>
        <v>1</v>
      </c>
      <c r="CS12" s="968">
        <f>WWWW[[#This Row],[%Equitable and continuous access to sufficient quantity of safe drinking water]]*WWWW[[#This Row],[Total PoP ]]</f>
        <v>446</v>
      </c>
      <c r="CT12" s="970">
        <f>IF((WWWW[[#This Row],['#_Constructed/Existing protected/fenced ponds]]*250)/WWWW[[#This Row],[Total PoP ]]&gt;1,1,(WWWW[[#This Row],['#_Constructed/Existing protected/fenced ponds]]*250)/WWWW[[#This Row],[Total PoP ]])</f>
        <v>0</v>
      </c>
      <c r="CU12" s="968">
        <f>WWWW[[#This Row],[% Access to unimproved water points]]*WWWW[[#This Row],[Total PoP ]]</f>
        <v>0</v>
      </c>
      <c r="CV1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446</v>
      </c>
      <c r="CX12" s="968">
        <f>WWWW[[#This Row],[HRP1]]/500</f>
        <v>0.89200000000000002</v>
      </c>
      <c r="CY12" s="973">
        <f>1-WWWW[[#This Row],[% Equitable and continuous access to sufficient quantity of domestic water]]</f>
        <v>0</v>
      </c>
      <c r="CZ12" s="968">
        <f>WWWW[[#This Row],[%equitable and continuous access to sufficient quantity of safe drinking and domestic water''s GAP]]*WWWW[[#This Row],[Total PoP ]]</f>
        <v>0</v>
      </c>
      <c r="DA12" s="971">
        <f>IF(WWWW[[#This Row],[Total required water points]]-WWWW[[#This Row],['#Water points coverage]]&lt;0,0,WWWW[[#This Row],[Total required water points]]-WWWW[[#This Row],['#Water points coverage]])</f>
        <v>0.10799999999999998</v>
      </c>
      <c r="DB12" s="971">
        <f>ROUND(IF(WWWW[[#This Row],[Total PoP ]]&lt;500,1,WWWW[[#This Row],[Total PoP ]]/500),0)</f>
        <v>1</v>
      </c>
      <c r="DC12" s="971">
        <f>(WWWW[[#This Row],['#_Constructed latrines_by_WASHAgencies]]+WWWW[[#This Row],['#_Non Cluster partner latrines]])-WWWW[[#This Row],['#_Non-functional latrines]]</f>
        <v>18</v>
      </c>
      <c r="DD12" s="619">
        <f>WWWW[[#This Row],[HRP2]]/WWWW[[#This Row],[Total PoP ]]</f>
        <v>0.82511210762331844</v>
      </c>
      <c r="DE1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368</v>
      </c>
      <c r="DF1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 s="421">
        <f>IF(WWWW[[#This Row],['# of functional latrines in THF supported by WASH partners during the reporting period2]]="",0,WWWW[[#This Row],['# of functional latrines in THF supported by WASH partners during the reporting period2]]*50)</f>
        <v>0</v>
      </c>
      <c r="DI12" s="971">
        <f>ROUND(IF(WWWW[[#This Row],[Location Type 1]]="camp",WWWW[[#This Row],[Total PoP ]]/20,IF(WWWW[[#This Row],[Location Type 1]]="Temporary Location",WWWW[[#This Row],[Total PoP ]]/50,(WWWW[[#This Row],[Total PoP ]]/6))),0)</f>
        <v>22</v>
      </c>
      <c r="DJ12" s="971">
        <f>IF(WWWW[[#This Row],[Total required Latrines]]-(WWWW[[#This Row],['#_Constructed latrines_by_WASHAgencies]]+WWWW[[#This Row],['#_Non Cluster partner latrines]])&lt;0,0,WWWW[[#This Row],[Total required Latrines]]-(WWWW[[#This Row],['#_Constructed latrines_by_WASHAgencies]]+WWWW[[#This Row],['#_Non Cluster partner latrines]]))</f>
        <v>4</v>
      </c>
      <c r="DK12" s="973">
        <f>1-WWWW[[#This Row],[% people access to functioning Latrine]]</f>
        <v>0.17488789237668156</v>
      </c>
      <c r="DL12" s="972">
        <f>IF(OR(WWWW[[#This Row],['#_Non-functional latrines]]="",WWWW[[#This Row],['#_Non-functional latrines]]=0),0,WWWW[[#This Row],['#_Non-functional latrines]]/(WWWW[[#This Row],['#_Constructed latrines_by_WASHAgencies]]+WWWW[[#This Row],['#_Non Cluster partner latrines]]))</f>
        <v>0</v>
      </c>
      <c r="DM12" s="968">
        <f>IF(500*(WWWW[[#This Row],['#_male hygiene promoters]]+WWWW[[#This Row],['#_female hygiene promoters]])&gt;WWWW[[#This Row],[Total PoP ]],WWWW[[#This Row],[Total PoP ]],500*(WWWW[[#This Row],['#_male hygiene promoters]]+WWWW[[#This Row],['#_female hygiene promoters]]))</f>
        <v>446</v>
      </c>
      <c r="DN1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446</v>
      </c>
      <c r="DO1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99</v>
      </c>
      <c r="DP12" s="971">
        <f>IF(WWWW[[#This Row],['# People with access to soap]]&gt;WWWW[[#This Row],['# People with access to Sanity Pads]],WWWW[[#This Row],['# People with access to soap]],WWWW[[#This Row],['# People with access to Sanity Pads]])</f>
        <v>446</v>
      </c>
      <c r="DQ12" s="971">
        <f>IF(WWWW[[#This Row],['# people reached by regular dedicated hygiene promotion_5]]&gt;WWWW[[#This Row],['# People received regular supply of hygiene items_6]],WWWW[[#This Row],['# people reached by regular dedicated hygiene promotion_5]],WWWW[[#This Row],['# People received regular supply of hygiene items_6]])</f>
        <v>446</v>
      </c>
      <c r="DR12" s="973">
        <f>IF(WWWW[[#This Row],[HRP3]]/WWWW[[#This Row],[Total PoP ]]&gt;1,1,WWWW[[#This Row],[HRP3]]/WWWW[[#This Row],[Total PoP ]])</f>
        <v>1</v>
      </c>
      <c r="DS12" s="972">
        <f>1-WWWW[[#This Row],[Hygiene Coverage%]]</f>
        <v>0</v>
      </c>
      <c r="DT12" s="970">
        <f>WWWW[[#This Row],['# people reached by regular dedicated hygiene promotion_5]]/WWWW[[#This Row],[Total PoP ]]</f>
        <v>1</v>
      </c>
      <c r="DU1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2" s="971">
        <f>WWWW[[#This Row],['#_Constructed/Existing hand washing stations]]-WWWW[[#This Row],['#_Non-Functional_hand_washing_stations]]</f>
        <v>1</v>
      </c>
      <c r="DX12" s="968">
        <f>IF(WWWW[[#This Row],['# Functional hand washing stations during reporting period]]*20&gt;WWWW[[#This Row],[Total HH]],WWWW[[#This Row],[Total HH]],WWWW[[#This Row],['# Functional hand washing stations during reporting period]]*20)</f>
        <v>20</v>
      </c>
      <c r="DY12" s="968">
        <f>IF(WWWW[[#This Row],[Is sufficient soap available for TLS? (Yes/No)]]="yes",WWWW[[#This Row],['#_Constructed/Existing hand washing stations at TLS/CFS/THF]],0)</f>
        <v>0</v>
      </c>
      <c r="DZ12" s="425">
        <f>IF(WWWW[[#This Row],['# Functional hand washing stations during reporting period]]*100&gt;WWWW[[#This Row],[Total PoP ]],WWWW[[#This Row],[Total PoP ]],WWWW[[#This Row],['# Functional hand washing stations during reporting period]]*100)</f>
        <v>100</v>
      </c>
      <c r="EA12" s="425" t="str">
        <f>IF(OR(WWWW[[#This Row],['#_students at TLS_CFS]]="",WWWW[[#This Row],['#_students at TLS_CFS]]=0),"No","Yes")</f>
        <v>Yes</v>
      </c>
      <c r="EB12" s="619">
        <f>IF(WWWW[[#This Row],['#_of_affected_people_surveyed_who_report_feeling_informed_about_the_different_WASH_services_available_to_them]]="","",WWWW[[#This Row],['#_of_affected_people_surveyed_who_report_feeling_informed_about_the_different_WASH_services_available_to_them]]/WWWW[[#This Row],[Total PoP ]])</f>
        <v>6.726457399103139E-2</v>
      </c>
      <c r="EC12" s="570">
        <f>WWWW[[#This Row],[%_of_affected_people_surveyed_who_report_feeling_satistfied_with_the_latrine_design_and_sanitation_service]]*WWWW[[#This Row],[Total PoP ]]</f>
        <v>446</v>
      </c>
      <c r="ED12" s="570">
        <f>WWWW[[#This Row],[%_of_affected_people_surveyed_who_report_feeling_satistfied_with_the_water_point_design_and_water_service]]*WWWW[[#This Row],[Total PoP ]]</f>
        <v>446</v>
      </c>
      <c r="EE12" s="570">
        <f>WWWW[[#This Row],[%_of_complaints_received_that_result_in_timely_corrective_action_and_feedback_to_the_community]]*WWWW[[#This Row],[Total PoP ]]</f>
        <v>312.2</v>
      </c>
      <c r="EF1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446</v>
      </c>
      <c r="EG1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 s="964" t="str">
        <f>VLOOKUP(WWWW[[#This Row],[Site Name]],SiteDB6[[Site Name]:[CCCM Management]],6,FALSE)</f>
        <v>Yes</v>
      </c>
      <c r="EJ12" s="964" t="str">
        <f>VLOOKUP(WWWW[[#This Row],[Site Name]],SiteDB6[[Site Name]:[CCCM Focal Agency]],7,FALSE)</f>
        <v>Shalom</v>
      </c>
      <c r="EK12" s="964" t="str">
        <f>VLOOKUP(WWWW[[#This Row],[Site Name]],SiteDB6[[Site Name]:[Location Type 1]],9,FALSE)</f>
        <v>Camp</v>
      </c>
      <c r="EL12" s="964" t="str">
        <f>VLOOKUP(WWWW[[#This Row],[Site Name]],SiteDB6[[Site Name]:[Type of Accommodation]],10,FALSE)</f>
        <v>Camp</v>
      </c>
      <c r="EM12" s="964" t="str">
        <f>VLOOKUP(WWWW[[#This Row],[Site Name]],SiteDB6[[Site Name]:[Ethnic or GCA/NGCA]],11,FALSE)</f>
        <v>GCA</v>
      </c>
      <c r="EN12" s="964">
        <f>VLOOKUP(WWWW[[#This Row],[Site Name]],SiteDB6[[Site Name]:[Lat]],12,FALSE)</f>
        <v>25.635300000000001</v>
      </c>
      <c r="EO12" s="964">
        <f>VLOOKUP(WWWW[[#This Row],[Site Name]],SiteDB6[[Site Name]:[Long]],13,FALSE)</f>
        <v>96.345569999999995</v>
      </c>
      <c r="EP12" s="964" t="str">
        <f>VLOOKUP(WWWW[[#This Row],[Site Name]],SiteDB6[[Site Name]:[Pcode]],3,FALSE)</f>
        <v>MMR001CMP176</v>
      </c>
      <c r="EQ12" s="969" t="str">
        <f t="shared" ref="EQ12:EQ75" si="1">IF(C12="none","Notcovered","Covered")</f>
        <v>Covered</v>
      </c>
      <c r="ER12" s="969" t="s">
        <v>3147</v>
      </c>
      <c r="ES12" s="964">
        <f>VLOOKUP(WWWW[[#This Row],[Site Name]],SiteDB6[[Site Name]:[Pop
(Kachin/Shan-CCCM as of March 2023)]],16,FALSE)</f>
        <v>95</v>
      </c>
      <c r="ET12" s="964">
        <f>VLOOKUP(WWWW[[#This Row],[Site Name]],SiteDB6[[Site Name]:[Pop
(Kachin/Shan-CCCM as of March 2023)]],17,FALSE)</f>
        <v>442</v>
      </c>
    </row>
    <row r="13" spans="1:150" hidden="1">
      <c r="A13" s="962" t="s">
        <v>2977</v>
      </c>
      <c r="B13" s="962" t="s">
        <v>36</v>
      </c>
      <c r="C13" s="963" t="s">
        <v>36</v>
      </c>
      <c r="D13" s="963" t="s">
        <v>241</v>
      </c>
      <c r="E13" s="963" t="s">
        <v>37</v>
      </c>
      <c r="F13" s="963" t="s">
        <v>159</v>
      </c>
      <c r="G13" s="964" t="str">
        <f>VLOOKUP(WWWW[[#This Row],[Site Name]],SiteDB6[[Site Name]:[Location Type]],8,FALSE)</f>
        <v>Camp</v>
      </c>
      <c r="H13" s="963" t="s">
        <v>234</v>
      </c>
      <c r="I13" s="965">
        <v>59</v>
      </c>
      <c r="J13" s="965">
        <v>274</v>
      </c>
      <c r="K13" s="966">
        <v>44973</v>
      </c>
      <c r="L13" s="967">
        <v>45337</v>
      </c>
      <c r="M13" s="965"/>
      <c r="N13" s="965">
        <v>2</v>
      </c>
      <c r="O13" s="965"/>
      <c r="P13" s="965"/>
      <c r="Q13" s="968" t="s">
        <v>41</v>
      </c>
      <c r="R13" s="965">
        <v>2</v>
      </c>
      <c r="S13" s="965">
        <v>9</v>
      </c>
      <c r="T13" s="445"/>
      <c r="U13" s="965"/>
      <c r="V13" s="965"/>
      <c r="W13" s="965">
        <v>4</v>
      </c>
      <c r="X13" s="965"/>
      <c r="Y13" s="965"/>
      <c r="Z13" s="965"/>
      <c r="AA13" s="965"/>
      <c r="AB13" s="965"/>
      <c r="AC13" s="965"/>
      <c r="AD13" s="965"/>
      <c r="AE13" s="965"/>
      <c r="AF13" s="965"/>
      <c r="AG13" s="965"/>
      <c r="AH13" s="965"/>
      <c r="AI13" s="965"/>
      <c r="AJ13" s="965"/>
      <c r="AK13" s="965"/>
      <c r="AL13" s="965"/>
      <c r="AM13" s="965">
        <v>4</v>
      </c>
      <c r="AN13" s="965"/>
      <c r="AO13" s="445"/>
      <c r="AP13" s="969"/>
      <c r="AQ13" s="965">
        <v>20</v>
      </c>
      <c r="AR13" s="965"/>
      <c r="AS13" s="970"/>
      <c r="AT13" s="965"/>
      <c r="AU13" s="965"/>
      <c r="AV13" s="965"/>
      <c r="AW13" s="965"/>
      <c r="AX13" s="965"/>
      <c r="AY13" s="964" t="s">
        <v>41</v>
      </c>
      <c r="AZ13" s="969" t="s">
        <v>137</v>
      </c>
      <c r="BA13" s="965">
        <v>1</v>
      </c>
      <c r="BB13" s="965"/>
      <c r="BC13" s="965"/>
      <c r="BD13" s="445"/>
      <c r="BE13" s="445"/>
      <c r="BF13" s="964"/>
      <c r="BG13" s="965">
        <v>7</v>
      </c>
      <c r="BH13" s="965"/>
      <c r="BI13" s="965"/>
      <c r="BJ13" s="965">
        <v>2</v>
      </c>
      <c r="BK13" s="965"/>
      <c r="BL13" s="965"/>
      <c r="BM13" s="965">
        <v>1</v>
      </c>
      <c r="BN13" s="965"/>
      <c r="BO13" s="965"/>
      <c r="BP13" s="964" t="s">
        <v>41</v>
      </c>
      <c r="BQ13" s="971">
        <v>1</v>
      </c>
      <c r="BR13" s="970"/>
      <c r="BS13" s="964"/>
      <c r="BT13" s="420"/>
      <c r="BU13" s="420"/>
      <c r="BV13" s="422"/>
      <c r="BW13" s="420"/>
      <c r="BX13" s="445"/>
      <c r="BY13" s="445"/>
      <c r="BZ13" s="445"/>
      <c r="CA13" s="445"/>
      <c r="CB13" s="445"/>
      <c r="CC13" s="702"/>
      <c r="CD13" s="445"/>
      <c r="CE13" s="972" t="str">
        <f>IFERROR(WWWW[[#This Row],['#_Water sources passed]]/WWWW[[#This Row],['#_Water sources tested for fecal coliform ]],"no test")</f>
        <v>no test</v>
      </c>
      <c r="CF13" s="970" t="str">
        <f>IFERROR(WWWW[[#This Row],['#_Household passed]]/WWWW[[#This Row],['#_Household water samples tested for fecal coliform]],"no test")</f>
        <v>no test</v>
      </c>
      <c r="CG13" s="971" t="str">
        <f>IF(AND(WWWW[[#This Row],[% of water sources passed]]="no test",WWWW[[#This Row],[% Household passed]]="no test"),"No Test","Tested")</f>
        <v>No Test</v>
      </c>
      <c r="CH13" s="971">
        <f>WWWW[[#This Row],['#_Constructed/existing protected hand dug well]]-WWWW[[#This Row],['#_Non-functional protected hand dug well]]</f>
        <v>0</v>
      </c>
      <c r="CI13" s="971">
        <f>(WWWW[[#This Row],['#_Constructed/Existing tube wells/boreholes/handpumps_WASH_agency]]+WWWW[[#This Row],['#_Non-Cluster partner water tube-wells/boreholes/handpumps]])-WWWW[[#This Row],['#_Non-functional tube wells/boreholes/handpumps]]</f>
        <v>4</v>
      </c>
      <c r="CJ13" s="971">
        <f>WWWW[[#This Row],['#_Constructed/Existingwater storage tank with gravity fed reticulation system]]-WWWW[[#This Row],['#_Non-functional storage tank gravity fed reticulation system]]</f>
        <v>0</v>
      </c>
      <c r="CK13" s="971">
        <f>(WWWW[[#This Row],['#_Water_Liters_supplied_by_Water boating or water trucking]]/90)/15</f>
        <v>0</v>
      </c>
      <c r="CL13" s="971">
        <f>WWWW[[#This Row],['#_Water_Liters_from_Constructed/Existing water distribution system from river or natural spring]]/90/15</f>
        <v>0</v>
      </c>
      <c r="CM13" s="421">
        <f>IF(WWWW[[#This Row],['#_of water points in TLS/CFS]]*500&gt;WWWW[[#This Row],[Total PoP ]],WWWW[[#This Row],[Total PoP ]],WWWW[[#This Row],['#_of water points in TLS/CFS]]*500)</f>
        <v>0</v>
      </c>
      <c r="CN13" s="421">
        <f>IF(WWWW[[#This Row],['#_of water points in THF]]*500&gt;WWWW[[#This Row],[Total PoP ]],WWWW[[#This Row],[Total PoP ]],WWWW[[#This Row],['#_of water points in THF]]*500)</f>
        <v>0</v>
      </c>
      <c r="CO13" s="421"/>
      <c r="CP1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 s="970">
        <f>IF(WWWW[[#This Row],[Location Type 1]]="Village",WWWW[[#This Row],[Access to safe drinking water for Village]],WWWW[[#This Row],[Access to safe drinking water for Camp]])</f>
        <v>1</v>
      </c>
      <c r="CS13" s="968">
        <f>WWWW[[#This Row],[%Equitable and continuous access to sufficient quantity of safe drinking water]]*WWWW[[#This Row],[Total PoP ]]</f>
        <v>274</v>
      </c>
      <c r="CT13" s="970">
        <f>IF((WWWW[[#This Row],['#_Constructed/Existing protected/fenced ponds]]*250)/WWWW[[#This Row],[Total PoP ]]&gt;1,1,(WWWW[[#This Row],['#_Constructed/Existing protected/fenced ponds]]*250)/WWWW[[#This Row],[Total PoP ]])</f>
        <v>0</v>
      </c>
      <c r="CU13" s="968">
        <f>WWWW[[#This Row],[% Access to unimproved water points]]*WWWW[[#This Row],[Total PoP ]]</f>
        <v>0</v>
      </c>
      <c r="CV1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274</v>
      </c>
      <c r="CX13" s="968">
        <f>WWWW[[#This Row],[HRP1]]/500</f>
        <v>0.54800000000000004</v>
      </c>
      <c r="CY13" s="973">
        <f>1-WWWW[[#This Row],[% Equitable and continuous access to sufficient quantity of domestic water]]</f>
        <v>0</v>
      </c>
      <c r="CZ13" s="968">
        <f>WWWW[[#This Row],[%equitable and continuous access to sufficient quantity of safe drinking and domestic water''s GAP]]*WWWW[[#This Row],[Total PoP ]]</f>
        <v>0</v>
      </c>
      <c r="DA13" s="971">
        <f>IF(WWWW[[#This Row],[Total required water points]]-WWWW[[#This Row],['#Water points coverage]]&lt;0,0,WWWW[[#This Row],[Total required water points]]-WWWW[[#This Row],['#Water points coverage]])</f>
        <v>0.45199999999999996</v>
      </c>
      <c r="DB13" s="971">
        <f>ROUND(IF(WWWW[[#This Row],[Total PoP ]]&lt;500,1,WWWW[[#This Row],[Total PoP ]]/500),0)</f>
        <v>1</v>
      </c>
      <c r="DC13" s="971">
        <f>(WWWW[[#This Row],['#_Constructed latrines_by_WASHAgencies]]+WWWW[[#This Row],['#_Non Cluster partner latrines]])-WWWW[[#This Row],['#_Non-functional latrines]]</f>
        <v>20</v>
      </c>
      <c r="DD13" s="619">
        <f>WWWW[[#This Row],[HRP2]]/WWWW[[#This Row],[Total PoP ]]</f>
        <v>1</v>
      </c>
      <c r="DE1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274</v>
      </c>
      <c r="DF1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 s="421">
        <f>IF(WWWW[[#This Row],['# of functional latrines in THF supported by WASH partners during the reporting period2]]="",0,WWWW[[#This Row],['# of functional latrines in THF supported by WASH partners during the reporting period2]]*50)</f>
        <v>0</v>
      </c>
      <c r="DI13" s="971">
        <f>ROUND(IF(WWWW[[#This Row],[Location Type 1]]="camp",WWWW[[#This Row],[Total PoP ]]/20,IF(WWWW[[#This Row],[Location Type 1]]="Temporary Location",WWWW[[#This Row],[Total PoP ]]/50,(WWWW[[#This Row],[Total PoP ]]/6))),0)</f>
        <v>14</v>
      </c>
      <c r="DJ13" s="971">
        <f>IF(WWWW[[#This Row],[Total required Latrines]]-(WWWW[[#This Row],['#_Constructed latrines_by_WASHAgencies]]+WWWW[[#This Row],['#_Non Cluster partner latrines]])&lt;0,0,WWWW[[#This Row],[Total required Latrines]]-(WWWW[[#This Row],['#_Constructed latrines_by_WASHAgencies]]+WWWW[[#This Row],['#_Non Cluster partner latrines]]))</f>
        <v>0</v>
      </c>
      <c r="DK13" s="973">
        <f>1-WWWW[[#This Row],[% people access to functioning Latrine]]</f>
        <v>0</v>
      </c>
      <c r="DL13" s="972">
        <f>IF(OR(WWWW[[#This Row],['#_Non-functional latrines]]="",WWWW[[#This Row],['#_Non-functional latrines]]=0),0,WWWW[[#This Row],['#_Non-functional latrines]]/(WWWW[[#This Row],['#_Constructed latrines_by_WASHAgencies]]+WWWW[[#This Row],['#_Non Cluster partner latrines]]))</f>
        <v>0</v>
      </c>
      <c r="DM13" s="968">
        <f>IF(500*(WWWW[[#This Row],['#_male hygiene promoters]]+WWWW[[#This Row],['#_female hygiene promoters]])&gt;WWWW[[#This Row],[Total PoP ]],WWWW[[#This Row],[Total PoP ]],500*(WWWW[[#This Row],['#_male hygiene promoters]]+WWWW[[#This Row],['#_female hygiene promoters]]))</f>
        <v>274</v>
      </c>
      <c r="DN1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 s="971">
        <f>IF(WWWW[[#This Row],['# People with access to soap]]&gt;WWWW[[#This Row],['# People with access to Sanity Pads]],WWWW[[#This Row],['# People with access to soap]],WWWW[[#This Row],['# People with access to Sanity Pads]])</f>
        <v>0</v>
      </c>
      <c r="DQ13" s="971">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13" s="973">
        <f>IF(WWWW[[#This Row],[HRP3]]/WWWW[[#This Row],[Total PoP ]]&gt;1,1,WWWW[[#This Row],[HRP3]]/WWWW[[#This Row],[Total PoP ]])</f>
        <v>1</v>
      </c>
      <c r="DS13" s="972">
        <f>1-WWWW[[#This Row],[Hygiene Coverage%]]</f>
        <v>0</v>
      </c>
      <c r="DT13" s="970">
        <f>WWWW[[#This Row],['# people reached by regular dedicated hygiene promotion_5]]/WWWW[[#This Row],[Total PoP ]]</f>
        <v>1</v>
      </c>
      <c r="DU1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 s="971">
        <f>WWWW[[#This Row],['#_Constructed/Existing hand washing stations]]-WWWW[[#This Row],['#_Non-Functional_hand_washing_stations]]</f>
        <v>7</v>
      </c>
      <c r="DX13" s="968">
        <f>IF(WWWW[[#This Row],['# Functional hand washing stations during reporting period]]*20&gt;WWWW[[#This Row],[Total HH]],WWWW[[#This Row],[Total HH]],WWWW[[#This Row],['# Functional hand washing stations during reporting period]]*20)</f>
        <v>59</v>
      </c>
      <c r="DY13" s="968">
        <f>IF(WWWW[[#This Row],[Is sufficient soap available for TLS? (Yes/No)]]="yes",WWWW[[#This Row],['#_Constructed/Existing hand washing stations at TLS/CFS/THF]],0)</f>
        <v>4</v>
      </c>
      <c r="DZ13" s="425">
        <f>IF(WWWW[[#This Row],['# Functional hand washing stations during reporting period]]*100&gt;WWWW[[#This Row],[Total PoP ]],WWWW[[#This Row],[Total PoP ]],WWWW[[#This Row],['# Functional hand washing stations during reporting period]]*100)</f>
        <v>274</v>
      </c>
      <c r="EA13" s="425" t="str">
        <f>IF(OR(WWWW[[#This Row],['#_students at TLS_CFS]]="",WWWW[[#This Row],['#_students at TLS_CFS]]=0),"No","Yes")</f>
        <v>No</v>
      </c>
      <c r="EB1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 s="570">
        <f>WWWW[[#This Row],[%_of_affected_people_surveyed_who_report_feeling_satistfied_with_the_latrine_design_and_sanitation_service]]*WWWW[[#This Row],[Total PoP ]]</f>
        <v>0</v>
      </c>
      <c r="ED13" s="570">
        <f>WWWW[[#This Row],[%_of_affected_people_surveyed_who_report_feeling_satistfied_with_the_water_point_design_and_water_service]]*WWWW[[#This Row],[Total PoP ]]</f>
        <v>0</v>
      </c>
      <c r="EE13" s="570">
        <f>WWWW[[#This Row],[%_of_complaints_received_that_result_in_timely_corrective_action_and_feedback_to_the_community]]*WWWW[[#This Row],[Total PoP ]]</f>
        <v>0</v>
      </c>
      <c r="EF1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 s="964" t="str">
        <f>VLOOKUP(WWWW[[#This Row],[Site Name]],SiteDB6[[Site Name]:[CCCM Management]],6,FALSE)</f>
        <v>Yes</v>
      </c>
      <c r="EJ13" s="964" t="str">
        <f>VLOOKUP(WWWW[[#This Row],[Site Name]],SiteDB6[[Site Name]:[CCCM Focal Agency]],7,FALSE)</f>
        <v>KMSS-MYT</v>
      </c>
      <c r="EK13" s="964" t="str">
        <f>VLOOKUP(WWWW[[#This Row],[Site Name]],SiteDB6[[Site Name]:[Location Type 1]],9,FALSE)</f>
        <v>Camp</v>
      </c>
      <c r="EL13" s="964" t="str">
        <f>VLOOKUP(WWWW[[#This Row],[Site Name]],SiteDB6[[Site Name]:[Type of Accommodation]],10,FALSE)</f>
        <v>Camp</v>
      </c>
      <c r="EM13" s="964" t="str">
        <f>VLOOKUP(WWWW[[#This Row],[Site Name]],SiteDB6[[Site Name]:[Ethnic or GCA/NGCA]],11,FALSE)</f>
        <v>GCA</v>
      </c>
      <c r="EN13" s="964">
        <f>VLOOKUP(WWWW[[#This Row],[Site Name]],SiteDB6[[Site Name]:[Lat]],12,FALSE)</f>
        <v>25.410569299999999</v>
      </c>
      <c r="EO13" s="964">
        <f>VLOOKUP(WWWW[[#This Row],[Site Name]],SiteDB6[[Site Name]:[Long]],13,FALSE)</f>
        <v>97.359320179999997</v>
      </c>
      <c r="EP13" s="964" t="str">
        <f>VLOOKUP(WWWW[[#This Row],[Site Name]],SiteDB6[[Site Name]:[Pcode]],3,FALSE)</f>
        <v>MMR001CMP024</v>
      </c>
      <c r="EQ13" s="969" t="str">
        <f t="shared" si="1"/>
        <v>Covered</v>
      </c>
      <c r="ER13" s="969" t="s">
        <v>3147</v>
      </c>
      <c r="ES13" s="964">
        <f>VLOOKUP(WWWW[[#This Row],[Site Name]],SiteDB6[[Site Name]:[Pop
(Kachin/Shan-CCCM as of March 2023)]],16,FALSE)</f>
        <v>59</v>
      </c>
      <c r="ET13" s="964">
        <f>VLOOKUP(WWWW[[#This Row],[Site Name]],SiteDB6[[Site Name]:[Pop
(Kachin/Shan-CCCM as of March 2023)]],17,FALSE)</f>
        <v>271</v>
      </c>
    </row>
    <row r="14" spans="1:150" hidden="1">
      <c r="A14" s="962" t="s">
        <v>2977</v>
      </c>
      <c r="B14" s="963" t="s">
        <v>141</v>
      </c>
      <c r="C14" s="963" t="s">
        <v>141</v>
      </c>
      <c r="D14" s="963" t="s">
        <v>241</v>
      </c>
      <c r="E14" s="963" t="s">
        <v>37</v>
      </c>
      <c r="F14" s="963" t="s">
        <v>148</v>
      </c>
      <c r="G14" s="964" t="str">
        <f>VLOOKUP(WWWW[[#This Row],[Site Name]],SiteDB6[[Site Name]:[Location Type]],8,FALSE)</f>
        <v>Camp</v>
      </c>
      <c r="H14" s="963" t="s">
        <v>190</v>
      </c>
      <c r="I14" s="965">
        <v>24</v>
      </c>
      <c r="J14" s="965">
        <v>105</v>
      </c>
      <c r="K14" s="966">
        <v>44811</v>
      </c>
      <c r="L14" s="967">
        <v>45175</v>
      </c>
      <c r="M14" s="965"/>
      <c r="N14" s="965">
        <v>1</v>
      </c>
      <c r="O14" s="965"/>
      <c r="P14" s="965"/>
      <c r="Q14" s="968"/>
      <c r="R14" s="965">
        <v>2</v>
      </c>
      <c r="S14" s="965">
        <v>2</v>
      </c>
      <c r="T14" s="445">
        <v>1</v>
      </c>
      <c r="U14" s="965"/>
      <c r="V14" s="965"/>
      <c r="W14" s="965">
        <v>1</v>
      </c>
      <c r="X14" s="965"/>
      <c r="Y14" s="965"/>
      <c r="Z14" s="965"/>
      <c r="AA14" s="965"/>
      <c r="AB14" s="965"/>
      <c r="AC14" s="965"/>
      <c r="AD14" s="965"/>
      <c r="AE14" s="965"/>
      <c r="AF14" s="965"/>
      <c r="AG14" s="965"/>
      <c r="AH14" s="965"/>
      <c r="AI14" s="965"/>
      <c r="AJ14" s="965"/>
      <c r="AK14" s="965"/>
      <c r="AL14" s="965"/>
      <c r="AM14" s="965"/>
      <c r="AN14" s="965"/>
      <c r="AO14" s="445"/>
      <c r="AP14" s="969"/>
      <c r="AQ14" s="965"/>
      <c r="AR14" s="965"/>
      <c r="AS14" s="970"/>
      <c r="AT14" s="965"/>
      <c r="AU14" s="965"/>
      <c r="AV14" s="965"/>
      <c r="AW14" s="965"/>
      <c r="AX14" s="965"/>
      <c r="AY14" s="964" t="s">
        <v>140</v>
      </c>
      <c r="AZ14" s="969" t="s">
        <v>140</v>
      </c>
      <c r="BA14" s="965"/>
      <c r="BB14" s="965"/>
      <c r="BC14" s="965"/>
      <c r="BD14" s="445"/>
      <c r="BE14" s="445"/>
      <c r="BF14" s="964"/>
      <c r="BG14" s="965">
        <v>5</v>
      </c>
      <c r="BH14" s="965"/>
      <c r="BI14" s="965"/>
      <c r="BJ14" s="965">
        <v>3</v>
      </c>
      <c r="BK14" s="965"/>
      <c r="BL14" s="965"/>
      <c r="BM14" s="965"/>
      <c r="BN14" s="965"/>
      <c r="BO14" s="965"/>
      <c r="BP14" s="964"/>
      <c r="BQ14" s="971"/>
      <c r="BR14" s="970"/>
      <c r="BS14" s="964"/>
      <c r="BT14" s="420"/>
      <c r="BU14" s="420"/>
      <c r="BV14" s="422"/>
      <c r="BW14" s="420"/>
      <c r="BX14" s="445"/>
      <c r="BY14" s="445"/>
      <c r="BZ14" s="445"/>
      <c r="CA14" s="445"/>
      <c r="CB14" s="445"/>
      <c r="CC14" s="702"/>
      <c r="CD14" s="445"/>
      <c r="CE14" s="972" t="str">
        <f>IFERROR(WWWW[[#This Row],['#_Water sources passed]]/WWWW[[#This Row],['#_Water sources tested for fecal coliform ]],"no test")</f>
        <v>no test</v>
      </c>
      <c r="CF14" s="970" t="str">
        <f>IFERROR(WWWW[[#This Row],['#_Household passed]]/WWWW[[#This Row],['#_Household water samples tested for fecal coliform]],"no test")</f>
        <v>no test</v>
      </c>
      <c r="CG14" s="971" t="str">
        <f>IF(AND(WWWW[[#This Row],[% of water sources passed]]="no test",WWWW[[#This Row],[% Household passed]]="no test"),"No Test","Tested")</f>
        <v>No Test</v>
      </c>
      <c r="CH14" s="971">
        <f>WWWW[[#This Row],['#_Constructed/existing protected hand dug well]]-WWWW[[#This Row],['#_Non-functional protected hand dug well]]</f>
        <v>1</v>
      </c>
      <c r="CI14" s="971">
        <f>(WWWW[[#This Row],['#_Constructed/Existing tube wells/boreholes/handpumps_WASH_agency]]+WWWW[[#This Row],['#_Non-Cluster partner water tube-wells/boreholes/handpumps]])-WWWW[[#This Row],['#_Non-functional tube wells/boreholes/handpumps]]</f>
        <v>1</v>
      </c>
      <c r="CJ14" s="971">
        <f>WWWW[[#This Row],['#_Constructed/Existingwater storage tank with gravity fed reticulation system]]-WWWW[[#This Row],['#_Non-functional storage tank gravity fed reticulation system]]</f>
        <v>0</v>
      </c>
      <c r="CK14" s="971">
        <f>(WWWW[[#This Row],['#_Water_Liters_supplied_by_Water boating or water trucking]]/90)/15</f>
        <v>0</v>
      </c>
      <c r="CL14" s="971">
        <f>WWWW[[#This Row],['#_Water_Liters_from_Constructed/Existing water distribution system from river or natural spring]]/90/15</f>
        <v>0</v>
      </c>
      <c r="CM14" s="421">
        <f>IF(WWWW[[#This Row],['#_of water points in TLS/CFS]]*500&gt;WWWW[[#This Row],[Total PoP ]],WWWW[[#This Row],[Total PoP ]],WWWW[[#This Row],['#_of water points in TLS/CFS]]*500)</f>
        <v>0</v>
      </c>
      <c r="CN14" s="421">
        <f>IF(WWWW[[#This Row],['#_of water points in THF]]*500&gt;WWWW[[#This Row],[Total PoP ]],WWWW[[#This Row],[Total PoP ]],WWWW[[#This Row],['#_of water points in THF]]*500)</f>
        <v>0</v>
      </c>
      <c r="CO14" s="421"/>
      <c r="CP1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4" s="970">
        <f>IF(WWWW[[#This Row],[Location Type 1]]="Village",WWWW[[#This Row],[Access to safe drinking water for Village]],WWWW[[#This Row],[Access to safe drinking water for Camp]])</f>
        <v>1</v>
      </c>
      <c r="CS14" s="968">
        <f>WWWW[[#This Row],[%Equitable and continuous access to sufficient quantity of safe drinking water]]*WWWW[[#This Row],[Total PoP ]]</f>
        <v>105</v>
      </c>
      <c r="CT14" s="970">
        <f>IF((WWWW[[#This Row],['#_Constructed/Existing protected/fenced ponds]]*250)/WWWW[[#This Row],[Total PoP ]]&gt;1,1,(WWWW[[#This Row],['#_Constructed/Existing protected/fenced ponds]]*250)/WWWW[[#This Row],[Total PoP ]])</f>
        <v>0</v>
      </c>
      <c r="CU14" s="968">
        <f>WWWW[[#This Row],[% Access to unimproved water points]]*WWWW[[#This Row],[Total PoP ]]</f>
        <v>0</v>
      </c>
      <c r="CV1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CX14" s="968">
        <f>WWWW[[#This Row],[HRP1]]/500</f>
        <v>0.21</v>
      </c>
      <c r="CY14" s="973">
        <f>1-WWWW[[#This Row],[% Equitable and continuous access to sufficient quantity of domestic water]]</f>
        <v>0</v>
      </c>
      <c r="CZ14" s="968">
        <f>WWWW[[#This Row],[%equitable and continuous access to sufficient quantity of safe drinking and domestic water''s GAP]]*WWWW[[#This Row],[Total PoP ]]</f>
        <v>0</v>
      </c>
      <c r="DA14" s="971">
        <f>IF(WWWW[[#This Row],[Total required water points]]-WWWW[[#This Row],['#Water points coverage]]&lt;0,0,WWWW[[#This Row],[Total required water points]]-WWWW[[#This Row],['#Water points coverage]])</f>
        <v>0.79</v>
      </c>
      <c r="DB14" s="971">
        <f>ROUND(IF(WWWW[[#This Row],[Total PoP ]]&lt;500,1,WWWW[[#This Row],[Total PoP ]]/500),0)</f>
        <v>1</v>
      </c>
      <c r="DC14" s="971">
        <f>(WWWW[[#This Row],['#_Constructed latrines_by_WASHAgencies]]+WWWW[[#This Row],['#_Non Cluster partner latrines]])-WWWW[[#This Row],['#_Non-functional latrines]]</f>
        <v>0</v>
      </c>
      <c r="DD14" s="619">
        <f>WWWW[[#This Row],[HRP2]]/WWWW[[#This Row],[Total PoP ]]</f>
        <v>0</v>
      </c>
      <c r="DE1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 s="421">
        <f>IF(WWWW[[#This Row],['# of functional latrines in THF supported by WASH partners during the reporting period2]]="",0,WWWW[[#This Row],['# of functional latrines in THF supported by WASH partners during the reporting period2]]*50)</f>
        <v>0</v>
      </c>
      <c r="DI14" s="971">
        <f>ROUND(IF(WWWW[[#This Row],[Location Type 1]]="camp",WWWW[[#This Row],[Total PoP ]]/20,IF(WWWW[[#This Row],[Location Type 1]]="Temporary Location",WWWW[[#This Row],[Total PoP ]]/50,(WWWW[[#This Row],[Total PoP ]]/6))),0)</f>
        <v>5</v>
      </c>
      <c r="DJ14" s="971">
        <f>IF(WWWW[[#This Row],[Total required Latrines]]-(WWWW[[#This Row],['#_Constructed latrines_by_WASHAgencies]]+WWWW[[#This Row],['#_Non Cluster partner latrines]])&lt;0,0,WWWW[[#This Row],[Total required Latrines]]-(WWWW[[#This Row],['#_Constructed latrines_by_WASHAgencies]]+WWWW[[#This Row],['#_Non Cluster partner latrines]]))</f>
        <v>5</v>
      </c>
      <c r="DK14" s="973">
        <f>1-WWWW[[#This Row],[% people access to functioning Latrine]]</f>
        <v>1</v>
      </c>
      <c r="DL14" s="972">
        <f>IF(OR(WWWW[[#This Row],['#_Non-functional latrines]]="",WWWW[[#This Row],['#_Non-functional latrines]]=0),0,WWWW[[#This Row],['#_Non-functional latrines]]/(WWWW[[#This Row],['#_Constructed latrines_by_WASHAgencies]]+WWWW[[#This Row],['#_Non Cluster partner latrines]]))</f>
        <v>0</v>
      </c>
      <c r="DM14" s="968">
        <f>IF(500*(WWWW[[#This Row],['#_male hygiene promoters]]+WWWW[[#This Row],['#_female hygiene promoters]])&gt;WWWW[[#This Row],[Total PoP ]],WWWW[[#This Row],[Total PoP ]],500*(WWWW[[#This Row],['#_male hygiene promoters]]+WWWW[[#This Row],['#_female hygiene promoters]]))</f>
        <v>0</v>
      </c>
      <c r="DN1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 s="971">
        <f>IF(WWWW[[#This Row],['# People with access to soap]]&gt;WWWW[[#This Row],['# People with access to Sanity Pads]],WWWW[[#This Row],['# People with access to soap]],WWWW[[#This Row],['# People with access to Sanity Pads]])</f>
        <v>0</v>
      </c>
      <c r="DQ1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 s="973">
        <f>IF(WWWW[[#This Row],[HRP3]]/WWWW[[#This Row],[Total PoP ]]&gt;1,1,WWWW[[#This Row],[HRP3]]/WWWW[[#This Row],[Total PoP ]])</f>
        <v>0</v>
      </c>
      <c r="DS14" s="972">
        <f>1-WWWW[[#This Row],[Hygiene Coverage%]]</f>
        <v>1</v>
      </c>
      <c r="DT14" s="970">
        <f>WWWW[[#This Row],['# people reached by regular dedicated hygiene promotion_5]]/WWWW[[#This Row],[Total PoP ]]</f>
        <v>0</v>
      </c>
      <c r="DU1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 s="971">
        <f>WWWW[[#This Row],['#_Constructed/Existing hand washing stations]]-WWWW[[#This Row],['#_Non-Functional_hand_washing_stations]]</f>
        <v>5</v>
      </c>
      <c r="DX14" s="968">
        <f>IF(WWWW[[#This Row],['# Functional hand washing stations during reporting period]]*20&gt;WWWW[[#This Row],[Total HH]],WWWW[[#This Row],[Total HH]],WWWW[[#This Row],['# Functional hand washing stations during reporting period]]*20)</f>
        <v>24</v>
      </c>
      <c r="DY14" s="968">
        <f>IF(WWWW[[#This Row],[Is sufficient soap available for TLS? (Yes/No)]]="yes",WWWW[[#This Row],['#_Constructed/Existing hand washing stations at TLS/CFS/THF]],0)</f>
        <v>0</v>
      </c>
      <c r="DZ14" s="425">
        <f>IF(WWWW[[#This Row],['# Functional hand washing stations during reporting period]]*100&gt;WWWW[[#This Row],[Total PoP ]],WWWW[[#This Row],[Total PoP ]],WWWW[[#This Row],['# Functional hand washing stations during reporting period]]*100)</f>
        <v>105</v>
      </c>
      <c r="EA14" s="425" t="str">
        <f>IF(OR(WWWW[[#This Row],['#_students at TLS_CFS]]="",WWWW[[#This Row],['#_students at TLS_CFS]]=0),"No","Yes")</f>
        <v>No</v>
      </c>
      <c r="EB1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 s="570">
        <f>WWWW[[#This Row],[%_of_affected_people_surveyed_who_report_feeling_satistfied_with_the_latrine_design_and_sanitation_service]]*WWWW[[#This Row],[Total PoP ]]</f>
        <v>0</v>
      </c>
      <c r="ED14" s="570">
        <f>WWWW[[#This Row],[%_of_affected_people_surveyed_who_report_feeling_satistfied_with_the_water_point_design_and_water_service]]*WWWW[[#This Row],[Total PoP ]]</f>
        <v>0</v>
      </c>
      <c r="EE14" s="570">
        <f>WWWW[[#This Row],[%_of_complaints_received_that_result_in_timely_corrective_action_and_feedback_to_the_community]]*WWWW[[#This Row],[Total PoP ]]</f>
        <v>0</v>
      </c>
      <c r="EF1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 s="964" t="str">
        <f>VLOOKUP(WWWW[[#This Row],[Site Name]],SiteDB6[[Site Name]:[CCCM Management]],6,FALSE)</f>
        <v>Yes</v>
      </c>
      <c r="EJ14" s="964" t="str">
        <f>VLOOKUP(WWWW[[#This Row],[Site Name]],SiteDB6[[Site Name]:[CCCM Focal Agency]],7,FALSE)</f>
        <v>KMSS-MYT</v>
      </c>
      <c r="EK14" s="964" t="str">
        <f>VLOOKUP(WWWW[[#This Row],[Site Name]],SiteDB6[[Site Name]:[Location Type 1]],9,FALSE)</f>
        <v>Camp</v>
      </c>
      <c r="EL14" s="964" t="str">
        <f>VLOOKUP(WWWW[[#This Row],[Site Name]],SiteDB6[[Site Name]:[Type of Accommodation]],10,FALSE)</f>
        <v>Camp</v>
      </c>
      <c r="EM14" s="964" t="str">
        <f>VLOOKUP(WWWW[[#This Row],[Site Name]],SiteDB6[[Site Name]:[Ethnic or GCA/NGCA]],11,FALSE)</f>
        <v>GCA</v>
      </c>
      <c r="EN14" s="964">
        <f>VLOOKUP(WWWW[[#This Row],[Site Name]],SiteDB6[[Site Name]:[Lat]],12,FALSE)</f>
        <v>25.920006000000001</v>
      </c>
      <c r="EO14" s="964">
        <f>VLOOKUP(WWWW[[#This Row],[Site Name]],SiteDB6[[Site Name]:[Long]],13,FALSE)</f>
        <v>96.662092000000001</v>
      </c>
      <c r="EP14" s="964" t="str">
        <f>VLOOKUP(WWWW[[#This Row],[Site Name]],SiteDB6[[Site Name]:[Pcode]],3,FALSE)</f>
        <v>MMR001CMP247</v>
      </c>
      <c r="EQ14" s="969" t="str">
        <f t="shared" si="1"/>
        <v>Covered</v>
      </c>
      <c r="ER14" s="969" t="s">
        <v>3147</v>
      </c>
      <c r="ES14" s="964">
        <f>VLOOKUP(WWWW[[#This Row],[Site Name]],SiteDB6[[Site Name]:[Pop
(Kachin/Shan-CCCM as of March 2023)]],16,FALSE)</f>
        <v>24</v>
      </c>
      <c r="ET14" s="964">
        <f>VLOOKUP(WWWW[[#This Row],[Site Name]],SiteDB6[[Site Name]:[Pop
(Kachin/Shan-CCCM as of March 2023)]],17,FALSE)</f>
        <v>104</v>
      </c>
    </row>
    <row r="15" spans="1:150" hidden="1">
      <c r="A15" s="962" t="s">
        <v>2977</v>
      </c>
      <c r="B15" s="962" t="s">
        <v>36</v>
      </c>
      <c r="C15" s="963" t="s">
        <v>36</v>
      </c>
      <c r="D15" s="963" t="s">
        <v>241</v>
      </c>
      <c r="E15" s="963" t="s">
        <v>37</v>
      </c>
      <c r="F15" s="963" t="s">
        <v>159</v>
      </c>
      <c r="G15" s="964" t="str">
        <f>VLOOKUP(WWWW[[#This Row],[Site Name]],SiteDB6[[Site Name]:[Location Type]],8,FALSE)</f>
        <v>Camp</v>
      </c>
      <c r="H15" s="963" t="s">
        <v>235</v>
      </c>
      <c r="I15" s="965">
        <v>140</v>
      </c>
      <c r="J15" s="965">
        <v>948</v>
      </c>
      <c r="K15" s="966">
        <v>44973</v>
      </c>
      <c r="L15" s="967">
        <v>45337</v>
      </c>
      <c r="M15" s="965"/>
      <c r="N15" s="965">
        <v>4</v>
      </c>
      <c r="O15" s="965"/>
      <c r="P15" s="965"/>
      <c r="Q15" s="968" t="s">
        <v>41</v>
      </c>
      <c r="R15" s="965">
        <v>1</v>
      </c>
      <c r="S15" s="965">
        <v>4</v>
      </c>
      <c r="T15" s="445">
        <v>4</v>
      </c>
      <c r="U15" s="965"/>
      <c r="V15" s="965"/>
      <c r="W15" s="965">
        <v>2</v>
      </c>
      <c r="X15" s="965"/>
      <c r="Y15" s="965"/>
      <c r="Z15" s="965"/>
      <c r="AA15" s="965">
        <v>1</v>
      </c>
      <c r="AB15" s="965"/>
      <c r="AC15" s="965"/>
      <c r="AD15" s="965"/>
      <c r="AE15" s="965"/>
      <c r="AF15" s="965"/>
      <c r="AG15" s="965"/>
      <c r="AH15" s="965"/>
      <c r="AI15" s="965"/>
      <c r="AJ15" s="965"/>
      <c r="AK15" s="965"/>
      <c r="AL15" s="965"/>
      <c r="AM15" s="965">
        <v>12</v>
      </c>
      <c r="AN15" s="965"/>
      <c r="AO15" s="445"/>
      <c r="AP15" s="969"/>
      <c r="AQ15" s="965">
        <v>33</v>
      </c>
      <c r="AR15" s="965"/>
      <c r="AS15" s="970"/>
      <c r="AT15" s="965"/>
      <c r="AU15" s="965"/>
      <c r="AV15" s="965"/>
      <c r="AW15" s="965"/>
      <c r="AX15" s="965"/>
      <c r="AY15" s="964" t="s">
        <v>41</v>
      </c>
      <c r="AZ15" s="969" t="s">
        <v>137</v>
      </c>
      <c r="BA15" s="965">
        <v>1</v>
      </c>
      <c r="BB15" s="965"/>
      <c r="BC15" s="965"/>
      <c r="BD15" s="445"/>
      <c r="BE15" s="445"/>
      <c r="BF15" s="964"/>
      <c r="BG15" s="965">
        <v>8</v>
      </c>
      <c r="BH15" s="965"/>
      <c r="BI15" s="965"/>
      <c r="BJ15" s="965">
        <v>5</v>
      </c>
      <c r="BK15" s="965"/>
      <c r="BL15" s="965"/>
      <c r="BM15" s="965">
        <v>2</v>
      </c>
      <c r="BN15" s="965"/>
      <c r="BO15" s="965"/>
      <c r="BP15" s="964" t="s">
        <v>41</v>
      </c>
      <c r="BQ15" s="971">
        <v>1</v>
      </c>
      <c r="BR15" s="970"/>
      <c r="BS15" s="964"/>
      <c r="BT15" s="420"/>
      <c r="BU15" s="420"/>
      <c r="BV15" s="422"/>
      <c r="BW15" s="420"/>
      <c r="BX15" s="445"/>
      <c r="BY15" s="445"/>
      <c r="BZ15" s="445"/>
      <c r="CA15" s="445"/>
      <c r="CB15" s="445"/>
      <c r="CC15" s="702"/>
      <c r="CD15" s="445"/>
      <c r="CE15" s="972" t="str">
        <f>IFERROR(WWWW[[#This Row],['#_Water sources passed]]/WWWW[[#This Row],['#_Water sources tested for fecal coliform ]],"no test")</f>
        <v>no test</v>
      </c>
      <c r="CF15" s="970" t="str">
        <f>IFERROR(WWWW[[#This Row],['#_Household passed]]/WWWW[[#This Row],['#_Household water samples tested for fecal coliform]],"no test")</f>
        <v>no test</v>
      </c>
      <c r="CG15" s="971" t="str">
        <f>IF(AND(WWWW[[#This Row],[% of water sources passed]]="no test",WWWW[[#This Row],[% Household passed]]="no test"),"No Test","Tested")</f>
        <v>No Test</v>
      </c>
      <c r="CH15" s="971">
        <f>WWWW[[#This Row],['#_Constructed/existing protected hand dug well]]-WWWW[[#This Row],['#_Non-functional protected hand dug well]]</f>
        <v>4</v>
      </c>
      <c r="CI15" s="971">
        <f>(WWWW[[#This Row],['#_Constructed/Existing tube wells/boreholes/handpumps_WASH_agency]]+WWWW[[#This Row],['#_Non-Cluster partner water tube-wells/boreholes/handpumps]])-WWWW[[#This Row],['#_Non-functional tube wells/boreholes/handpumps]]</f>
        <v>2</v>
      </c>
      <c r="CJ15" s="971">
        <f>WWWW[[#This Row],['#_Constructed/Existingwater storage tank with gravity fed reticulation system]]-WWWW[[#This Row],['#_Non-functional storage tank gravity fed reticulation system]]</f>
        <v>1</v>
      </c>
      <c r="CK15" s="971">
        <f>(WWWW[[#This Row],['#_Water_Liters_supplied_by_Water boating or water trucking]]/90)/15</f>
        <v>0</v>
      </c>
      <c r="CL15" s="971">
        <f>WWWW[[#This Row],['#_Water_Liters_from_Constructed/Existing water distribution system from river or natural spring]]/90/15</f>
        <v>0</v>
      </c>
      <c r="CM15" s="421">
        <f>IF(WWWW[[#This Row],['#_of water points in TLS/CFS]]*500&gt;WWWW[[#This Row],[Total PoP ]],WWWW[[#This Row],[Total PoP ]],WWWW[[#This Row],['#_of water points in TLS/CFS]]*500)</f>
        <v>0</v>
      </c>
      <c r="CN15" s="421">
        <f>IF(WWWW[[#This Row],['#_of water points in THF]]*500&gt;WWWW[[#This Row],[Total PoP ]],WWWW[[#This Row],[Total PoP ]],WWWW[[#This Row],['#_of water points in THF]]*500)</f>
        <v>0</v>
      </c>
      <c r="CO15" s="421"/>
      <c r="CP1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5" s="970">
        <f>IF(WWWW[[#This Row],[Location Type 1]]="Village",WWWW[[#This Row],[Access to safe drinking water for Village]],WWWW[[#This Row],[Access to safe drinking water for Camp]])</f>
        <v>1</v>
      </c>
      <c r="CS15" s="968">
        <f>WWWW[[#This Row],[%Equitable and continuous access to sufficient quantity of safe drinking water]]*WWWW[[#This Row],[Total PoP ]]</f>
        <v>948</v>
      </c>
      <c r="CT15" s="970">
        <f>IF((WWWW[[#This Row],['#_Constructed/Existing protected/fenced ponds]]*250)/WWWW[[#This Row],[Total PoP ]]&gt;1,1,(WWWW[[#This Row],['#_Constructed/Existing protected/fenced ponds]]*250)/WWWW[[#This Row],[Total PoP ]])</f>
        <v>0</v>
      </c>
      <c r="CU15" s="968">
        <f>WWWW[[#This Row],[% Access to unimproved water points]]*WWWW[[#This Row],[Total PoP ]]</f>
        <v>0</v>
      </c>
      <c r="CV1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948</v>
      </c>
      <c r="CX15" s="968">
        <f>WWWW[[#This Row],[HRP1]]/500</f>
        <v>1.8959999999999999</v>
      </c>
      <c r="CY15" s="973">
        <f>1-WWWW[[#This Row],[% Equitable and continuous access to sufficient quantity of domestic water]]</f>
        <v>0</v>
      </c>
      <c r="CZ15" s="968">
        <f>WWWW[[#This Row],[%equitable and continuous access to sufficient quantity of safe drinking and domestic water''s GAP]]*WWWW[[#This Row],[Total PoP ]]</f>
        <v>0</v>
      </c>
      <c r="DA15" s="971">
        <f>IF(WWWW[[#This Row],[Total required water points]]-WWWW[[#This Row],['#Water points coverage]]&lt;0,0,WWWW[[#This Row],[Total required water points]]-WWWW[[#This Row],['#Water points coverage]])</f>
        <v>0.10400000000000009</v>
      </c>
      <c r="DB15" s="971">
        <f>ROUND(IF(WWWW[[#This Row],[Total PoP ]]&lt;500,1,WWWW[[#This Row],[Total PoP ]]/500),0)</f>
        <v>2</v>
      </c>
      <c r="DC15" s="971">
        <f>(WWWW[[#This Row],['#_Constructed latrines_by_WASHAgencies]]+WWWW[[#This Row],['#_Non Cluster partner latrines]])-WWWW[[#This Row],['#_Non-functional latrines]]</f>
        <v>33</v>
      </c>
      <c r="DD15" s="619">
        <f>WWWW[[#This Row],[HRP2]]/WWWW[[#This Row],[Total PoP ]]</f>
        <v>0.71729957805907174</v>
      </c>
      <c r="DE1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680</v>
      </c>
      <c r="DF1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 s="421">
        <f>IF(WWWW[[#This Row],['# of functional latrines in THF supported by WASH partners during the reporting period2]]="",0,WWWW[[#This Row],['# of functional latrines in THF supported by WASH partners during the reporting period2]]*50)</f>
        <v>0</v>
      </c>
      <c r="DI15" s="971">
        <f>ROUND(IF(WWWW[[#This Row],[Location Type 1]]="camp",WWWW[[#This Row],[Total PoP ]]/20,IF(WWWW[[#This Row],[Location Type 1]]="Temporary Location",WWWW[[#This Row],[Total PoP ]]/50,(WWWW[[#This Row],[Total PoP ]]/6))),0)</f>
        <v>47</v>
      </c>
      <c r="DJ15" s="971">
        <f>IF(WWWW[[#This Row],[Total required Latrines]]-(WWWW[[#This Row],['#_Constructed latrines_by_WASHAgencies]]+WWWW[[#This Row],['#_Non Cluster partner latrines]])&lt;0,0,WWWW[[#This Row],[Total required Latrines]]-(WWWW[[#This Row],['#_Constructed latrines_by_WASHAgencies]]+WWWW[[#This Row],['#_Non Cluster partner latrines]]))</f>
        <v>14</v>
      </c>
      <c r="DK15" s="973">
        <f>1-WWWW[[#This Row],[% people access to functioning Latrine]]</f>
        <v>0.28270042194092826</v>
      </c>
      <c r="DL15" s="972">
        <f>IF(OR(WWWW[[#This Row],['#_Non-functional latrines]]="",WWWW[[#This Row],['#_Non-functional latrines]]=0),0,WWWW[[#This Row],['#_Non-functional latrines]]/(WWWW[[#This Row],['#_Constructed latrines_by_WASHAgencies]]+WWWW[[#This Row],['#_Non Cluster partner latrines]]))</f>
        <v>0</v>
      </c>
      <c r="DM15" s="968">
        <f>IF(500*(WWWW[[#This Row],['#_male hygiene promoters]]+WWWW[[#This Row],['#_female hygiene promoters]])&gt;WWWW[[#This Row],[Total PoP ]],WWWW[[#This Row],[Total PoP ]],500*(WWWW[[#This Row],['#_male hygiene promoters]]+WWWW[[#This Row],['#_female hygiene promoters]]))</f>
        <v>948</v>
      </c>
      <c r="DN1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 s="971">
        <f>IF(WWWW[[#This Row],['# People with access to soap]]&gt;WWWW[[#This Row],['# People with access to Sanity Pads]],WWWW[[#This Row],['# People with access to soap]],WWWW[[#This Row],['# People with access to Sanity Pads]])</f>
        <v>0</v>
      </c>
      <c r="DQ15" s="971">
        <f>IF(WWWW[[#This Row],['# people reached by regular dedicated hygiene promotion_5]]&gt;WWWW[[#This Row],['# People received regular supply of hygiene items_6]],WWWW[[#This Row],['# people reached by regular dedicated hygiene promotion_5]],WWWW[[#This Row],['# People received regular supply of hygiene items_6]])</f>
        <v>948</v>
      </c>
      <c r="DR15" s="973">
        <f>IF(WWWW[[#This Row],[HRP3]]/WWWW[[#This Row],[Total PoP ]]&gt;1,1,WWWW[[#This Row],[HRP3]]/WWWW[[#This Row],[Total PoP ]])</f>
        <v>1</v>
      </c>
      <c r="DS15" s="972">
        <f>1-WWWW[[#This Row],[Hygiene Coverage%]]</f>
        <v>0</v>
      </c>
      <c r="DT15" s="970">
        <f>WWWW[[#This Row],['# people reached by regular dedicated hygiene promotion_5]]/WWWW[[#This Row],[Total PoP ]]</f>
        <v>1</v>
      </c>
      <c r="DU1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 s="971">
        <f>WWWW[[#This Row],['#_Constructed/Existing hand washing stations]]-WWWW[[#This Row],['#_Non-Functional_hand_washing_stations]]</f>
        <v>8</v>
      </c>
      <c r="DX15" s="968">
        <f>IF(WWWW[[#This Row],['# Functional hand washing stations during reporting period]]*20&gt;WWWW[[#This Row],[Total HH]],WWWW[[#This Row],[Total HH]],WWWW[[#This Row],['# Functional hand washing stations during reporting period]]*20)</f>
        <v>140</v>
      </c>
      <c r="DY15" s="968">
        <f>IF(WWWW[[#This Row],[Is sufficient soap available for TLS? (Yes/No)]]="yes",WWWW[[#This Row],['#_Constructed/Existing hand washing stations at TLS/CFS/THF]],0)</f>
        <v>12</v>
      </c>
      <c r="DZ15" s="425">
        <f>IF(WWWW[[#This Row],['# Functional hand washing stations during reporting period]]*100&gt;WWWW[[#This Row],[Total PoP ]],WWWW[[#This Row],[Total PoP ]],WWWW[[#This Row],['# Functional hand washing stations during reporting period]]*100)</f>
        <v>800</v>
      </c>
      <c r="EA15" s="425" t="str">
        <f>IF(OR(WWWW[[#This Row],['#_students at TLS_CFS]]="",WWWW[[#This Row],['#_students at TLS_CFS]]=0),"No","Yes")</f>
        <v>No</v>
      </c>
      <c r="EB1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 s="570">
        <f>WWWW[[#This Row],[%_of_affected_people_surveyed_who_report_feeling_satistfied_with_the_latrine_design_and_sanitation_service]]*WWWW[[#This Row],[Total PoP ]]</f>
        <v>0</v>
      </c>
      <c r="ED15" s="570">
        <f>WWWW[[#This Row],[%_of_affected_people_surveyed_who_report_feeling_satistfied_with_the_water_point_design_and_water_service]]*WWWW[[#This Row],[Total PoP ]]</f>
        <v>0</v>
      </c>
      <c r="EE15" s="570">
        <f>WWWW[[#This Row],[%_of_complaints_received_that_result_in_timely_corrective_action_and_feedback_to_the_community]]*WWWW[[#This Row],[Total PoP ]]</f>
        <v>0</v>
      </c>
      <c r="EF1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 s="964" t="str">
        <f>VLOOKUP(WWWW[[#This Row],[Site Name]],SiteDB6[[Site Name]:[CCCM Management]],6,FALSE)</f>
        <v>Yes</v>
      </c>
      <c r="EJ15" s="964" t="str">
        <f>VLOOKUP(WWWW[[#This Row],[Site Name]],SiteDB6[[Site Name]:[CCCM Focal Agency]],7,FALSE)</f>
        <v>KMSS-MYT</v>
      </c>
      <c r="EK15" s="964" t="str">
        <f>VLOOKUP(WWWW[[#This Row],[Site Name]],SiteDB6[[Site Name]:[Location Type 1]],9,FALSE)</f>
        <v>Camp</v>
      </c>
      <c r="EL15" s="964" t="str">
        <f>VLOOKUP(WWWW[[#This Row],[Site Name]],SiteDB6[[Site Name]:[Type of Accommodation]],10,FALSE)</f>
        <v>Camp</v>
      </c>
      <c r="EM15" s="964" t="str">
        <f>VLOOKUP(WWWW[[#This Row],[Site Name]],SiteDB6[[Site Name]:[Ethnic or GCA/NGCA]],11,FALSE)</f>
        <v>GCA</v>
      </c>
      <c r="EN15" s="964">
        <f>VLOOKUP(WWWW[[#This Row],[Site Name]],SiteDB6[[Site Name]:[Lat]],12,FALSE)</f>
        <v>25.493819999999999</v>
      </c>
      <c r="EO15" s="964">
        <f>VLOOKUP(WWWW[[#This Row],[Site Name]],SiteDB6[[Site Name]:[Long]],13,FALSE)</f>
        <v>97.4345</v>
      </c>
      <c r="EP15" s="964" t="str">
        <f>VLOOKUP(WWWW[[#This Row],[Site Name]],SiteDB6[[Site Name]:[Pcode]],3,FALSE)</f>
        <v>MMR001CMP162</v>
      </c>
      <c r="EQ15" s="969" t="str">
        <f t="shared" si="1"/>
        <v>Covered</v>
      </c>
      <c r="ER15" s="969" t="s">
        <v>3147</v>
      </c>
      <c r="ES15" s="964">
        <f>VLOOKUP(WWWW[[#This Row],[Site Name]],SiteDB6[[Site Name]:[Pop
(Kachin/Shan-CCCM as of March 2023)]],16,FALSE)</f>
        <v>138</v>
      </c>
      <c r="ET15" s="964">
        <f>VLOOKUP(WWWW[[#This Row],[Site Name]],SiteDB6[[Site Name]:[Pop
(Kachin/Shan-CCCM as of March 2023)]],17,FALSE)</f>
        <v>948</v>
      </c>
    </row>
    <row r="16" spans="1:150" hidden="1">
      <c r="A16" s="962" t="s">
        <v>2977</v>
      </c>
      <c r="B16" s="962" t="s">
        <v>309</v>
      </c>
      <c r="C16" s="963" t="s">
        <v>309</v>
      </c>
      <c r="D16" s="963"/>
      <c r="E16" s="963" t="s">
        <v>37</v>
      </c>
      <c r="F16" s="963" t="s">
        <v>142</v>
      </c>
      <c r="G16" s="964" t="str">
        <f>VLOOKUP(WWWW[[#This Row],[Site Name]],SiteDB6[[Site Name]:[Location Type]],8,FALSE)</f>
        <v>Camp</v>
      </c>
      <c r="H16" s="963" t="s">
        <v>2726</v>
      </c>
      <c r="I16" s="965">
        <v>48</v>
      </c>
      <c r="J16" s="965">
        <v>240</v>
      </c>
      <c r="K16" s="966"/>
      <c r="L16" s="967"/>
      <c r="M16" s="965"/>
      <c r="N16" s="965"/>
      <c r="O16" s="965"/>
      <c r="P16" s="965"/>
      <c r="Q16" s="968"/>
      <c r="R16" s="965"/>
      <c r="S16" s="965"/>
      <c r="T16" s="445"/>
      <c r="U16" s="965"/>
      <c r="V16" s="965"/>
      <c r="W16" s="965"/>
      <c r="X16" s="965"/>
      <c r="Y16" s="965"/>
      <c r="Z16" s="965"/>
      <c r="AA16" s="965"/>
      <c r="AB16" s="965"/>
      <c r="AC16" s="965"/>
      <c r="AD16" s="965"/>
      <c r="AE16" s="965"/>
      <c r="AF16" s="965"/>
      <c r="AG16" s="965"/>
      <c r="AH16" s="965"/>
      <c r="AI16" s="965"/>
      <c r="AJ16" s="965"/>
      <c r="AK16" s="965"/>
      <c r="AL16" s="965"/>
      <c r="AM16" s="965"/>
      <c r="AN16" s="965"/>
      <c r="AO16" s="445"/>
      <c r="AP16" s="969"/>
      <c r="AQ16" s="965"/>
      <c r="AR16" s="965"/>
      <c r="AS16" s="970"/>
      <c r="AT16" s="965"/>
      <c r="AU16" s="965"/>
      <c r="AV16" s="965"/>
      <c r="AW16" s="965"/>
      <c r="AX16" s="965"/>
      <c r="AY16" s="964" t="s">
        <v>140</v>
      </c>
      <c r="AZ16" s="969" t="s">
        <v>140</v>
      </c>
      <c r="BA16" s="965"/>
      <c r="BB16" s="965"/>
      <c r="BC16" s="965"/>
      <c r="BD16" s="445"/>
      <c r="BE16" s="445"/>
      <c r="BF16" s="964"/>
      <c r="BG16" s="965">
        <v>7</v>
      </c>
      <c r="BH16" s="965"/>
      <c r="BI16" s="965"/>
      <c r="BJ16" s="965">
        <v>4</v>
      </c>
      <c r="BK16" s="965"/>
      <c r="BL16" s="965"/>
      <c r="BM16" s="965"/>
      <c r="BN16" s="965"/>
      <c r="BO16" s="965"/>
      <c r="BP16" s="964"/>
      <c r="BQ16" s="971"/>
      <c r="BR16" s="970"/>
      <c r="BS16" s="964"/>
      <c r="BT16" s="420"/>
      <c r="BU16" s="420"/>
      <c r="BV16" s="422"/>
      <c r="BW16" s="420"/>
      <c r="BX16" s="445"/>
      <c r="BY16" s="445"/>
      <c r="BZ16" s="445"/>
      <c r="CA16" s="445"/>
      <c r="CB16" s="445"/>
      <c r="CC16" s="702"/>
      <c r="CD16" s="445"/>
      <c r="CE16" s="972" t="str">
        <f>IFERROR(WWWW[[#This Row],['#_Water sources passed]]/WWWW[[#This Row],['#_Water sources tested for fecal coliform ]],"no test")</f>
        <v>no test</v>
      </c>
      <c r="CF16" s="970" t="str">
        <f>IFERROR(WWWW[[#This Row],['#_Household passed]]/WWWW[[#This Row],['#_Household water samples tested for fecal coliform]],"no test")</f>
        <v>no test</v>
      </c>
      <c r="CG16" s="971" t="str">
        <f>IF(AND(WWWW[[#This Row],[% of water sources passed]]="no test",WWWW[[#This Row],[% Household passed]]="no test"),"No Test","Tested")</f>
        <v>No Test</v>
      </c>
      <c r="CH16" s="971">
        <f>WWWW[[#This Row],['#_Constructed/existing protected hand dug well]]-WWWW[[#This Row],['#_Non-functional protected hand dug well]]</f>
        <v>0</v>
      </c>
      <c r="CI16" s="971">
        <f>(WWWW[[#This Row],['#_Constructed/Existing tube wells/boreholes/handpumps_WASH_agency]]+WWWW[[#This Row],['#_Non-Cluster partner water tube-wells/boreholes/handpumps]])-WWWW[[#This Row],['#_Non-functional tube wells/boreholes/handpumps]]</f>
        <v>0</v>
      </c>
      <c r="CJ16" s="971">
        <f>WWWW[[#This Row],['#_Constructed/Existingwater storage tank with gravity fed reticulation system]]-WWWW[[#This Row],['#_Non-functional storage tank gravity fed reticulation system]]</f>
        <v>0</v>
      </c>
      <c r="CK16" s="971">
        <f>(WWWW[[#This Row],['#_Water_Liters_supplied_by_Water boating or water trucking]]/90)/15</f>
        <v>0</v>
      </c>
      <c r="CL16" s="971">
        <f>WWWW[[#This Row],['#_Water_Liters_from_Constructed/Existing water distribution system from river or natural spring]]/90/15</f>
        <v>0</v>
      </c>
      <c r="CM16" s="421">
        <f>IF(WWWW[[#This Row],['#_of water points in TLS/CFS]]*500&gt;WWWW[[#This Row],[Total PoP ]],WWWW[[#This Row],[Total PoP ]],WWWW[[#This Row],['#_of water points in TLS/CFS]]*500)</f>
        <v>0</v>
      </c>
      <c r="CN16" s="421">
        <f>IF(WWWW[[#This Row],['#_of water points in THF]]*500&gt;WWWW[[#This Row],[Total PoP ]],WWWW[[#This Row],[Total PoP ]],WWWW[[#This Row],['#_of water points in THF]]*500)</f>
        <v>0</v>
      </c>
      <c r="CO16" s="421"/>
      <c r="CP1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 s="970">
        <f>IF(WWWW[[#This Row],[Location Type 1]]="Village",WWWW[[#This Row],[Access to safe drinking water for Village]],WWWW[[#This Row],[Access to safe drinking water for Camp]])</f>
        <v>0</v>
      </c>
      <c r="CS16" s="968">
        <f>WWWW[[#This Row],[%Equitable and continuous access to sufficient quantity of safe drinking water]]*WWWW[[#This Row],[Total PoP ]]</f>
        <v>0</v>
      </c>
      <c r="CT16" s="970">
        <f>IF((WWWW[[#This Row],['#_Constructed/Existing protected/fenced ponds]]*250)/WWWW[[#This Row],[Total PoP ]]&gt;1,1,(WWWW[[#This Row],['#_Constructed/Existing protected/fenced ponds]]*250)/WWWW[[#This Row],[Total PoP ]])</f>
        <v>0</v>
      </c>
      <c r="CU16" s="968">
        <f>WWWW[[#This Row],[% Access to unimproved water points]]*WWWW[[#This Row],[Total PoP ]]</f>
        <v>0</v>
      </c>
      <c r="CV1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 s="968">
        <f>WWWW[[#This Row],[HRP1]]/500</f>
        <v>0</v>
      </c>
      <c r="CY16" s="973">
        <f>1-WWWW[[#This Row],[% Equitable and continuous access to sufficient quantity of domestic water]]</f>
        <v>1</v>
      </c>
      <c r="CZ16" s="968">
        <f>WWWW[[#This Row],[%equitable and continuous access to sufficient quantity of safe drinking and domestic water''s GAP]]*WWWW[[#This Row],[Total PoP ]]</f>
        <v>240</v>
      </c>
      <c r="DA16" s="971">
        <f>IF(WWWW[[#This Row],[Total required water points]]-WWWW[[#This Row],['#Water points coverage]]&lt;0,0,WWWW[[#This Row],[Total required water points]]-WWWW[[#This Row],['#Water points coverage]])</f>
        <v>1</v>
      </c>
      <c r="DB16" s="971">
        <f>ROUND(IF(WWWW[[#This Row],[Total PoP ]]&lt;500,1,WWWW[[#This Row],[Total PoP ]]/500),0)</f>
        <v>1</v>
      </c>
      <c r="DC16" s="971">
        <f>(WWWW[[#This Row],['#_Constructed latrines_by_WASHAgencies]]+WWWW[[#This Row],['#_Non Cluster partner latrines]])-WWWW[[#This Row],['#_Non-functional latrines]]</f>
        <v>0</v>
      </c>
      <c r="DD16" s="619">
        <f>WWWW[[#This Row],[HRP2]]/WWWW[[#This Row],[Total PoP ]]</f>
        <v>0</v>
      </c>
      <c r="DE1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 s="421">
        <f>IF(WWWW[[#This Row],['# of functional latrines in THF supported by WASH partners during the reporting period2]]="",0,WWWW[[#This Row],['# of functional latrines in THF supported by WASH partners during the reporting period2]]*50)</f>
        <v>0</v>
      </c>
      <c r="DI16" s="971">
        <f>ROUND(IF(WWWW[[#This Row],[Location Type 1]]="camp",WWWW[[#This Row],[Total PoP ]]/20,IF(WWWW[[#This Row],[Location Type 1]]="Temporary Location",WWWW[[#This Row],[Total PoP ]]/50,(WWWW[[#This Row],[Total PoP ]]/6))),0)</f>
        <v>12</v>
      </c>
      <c r="DJ16" s="971">
        <f>IF(WWWW[[#This Row],[Total required Latrines]]-(WWWW[[#This Row],['#_Constructed latrines_by_WASHAgencies]]+WWWW[[#This Row],['#_Non Cluster partner latrines]])&lt;0,0,WWWW[[#This Row],[Total required Latrines]]-(WWWW[[#This Row],['#_Constructed latrines_by_WASHAgencies]]+WWWW[[#This Row],['#_Non Cluster partner latrines]]))</f>
        <v>12</v>
      </c>
      <c r="DK16" s="973">
        <f>1-WWWW[[#This Row],[% people access to functioning Latrine]]</f>
        <v>1</v>
      </c>
      <c r="DL16" s="972">
        <f>IF(OR(WWWW[[#This Row],['#_Non-functional latrines]]="",WWWW[[#This Row],['#_Non-functional latrines]]=0),0,WWWW[[#This Row],['#_Non-functional latrines]]/(WWWW[[#This Row],['#_Constructed latrines_by_WASHAgencies]]+WWWW[[#This Row],['#_Non Cluster partner latrines]]))</f>
        <v>0</v>
      </c>
      <c r="DM16" s="968">
        <f>IF(500*(WWWW[[#This Row],['#_male hygiene promoters]]+WWWW[[#This Row],['#_female hygiene promoters]])&gt;WWWW[[#This Row],[Total PoP ]],WWWW[[#This Row],[Total PoP ]],500*(WWWW[[#This Row],['#_male hygiene promoters]]+WWWW[[#This Row],['#_female hygiene promoters]]))</f>
        <v>0</v>
      </c>
      <c r="DN1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 s="971">
        <f>IF(WWWW[[#This Row],['# People with access to soap]]&gt;WWWW[[#This Row],['# People with access to Sanity Pads]],WWWW[[#This Row],['# People with access to soap]],WWWW[[#This Row],['# People with access to Sanity Pads]])</f>
        <v>0</v>
      </c>
      <c r="DQ1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 s="973">
        <f>IF(WWWW[[#This Row],[HRP3]]/WWWW[[#This Row],[Total PoP ]]&gt;1,1,WWWW[[#This Row],[HRP3]]/WWWW[[#This Row],[Total PoP ]])</f>
        <v>0</v>
      </c>
      <c r="DS16" s="972">
        <f>1-WWWW[[#This Row],[Hygiene Coverage%]]</f>
        <v>1</v>
      </c>
      <c r="DT16" s="970">
        <f>WWWW[[#This Row],['# people reached by regular dedicated hygiene promotion_5]]/WWWW[[#This Row],[Total PoP ]]</f>
        <v>0</v>
      </c>
      <c r="DU1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 s="971">
        <f>WWWW[[#This Row],['#_Constructed/Existing hand washing stations]]-WWWW[[#This Row],['#_Non-Functional_hand_washing_stations]]</f>
        <v>7</v>
      </c>
      <c r="DX16" s="968">
        <f>IF(WWWW[[#This Row],['# Functional hand washing stations during reporting period]]*20&gt;WWWW[[#This Row],[Total HH]],WWWW[[#This Row],[Total HH]],WWWW[[#This Row],['# Functional hand washing stations during reporting period]]*20)</f>
        <v>48</v>
      </c>
      <c r="DY16" s="968">
        <f>IF(WWWW[[#This Row],[Is sufficient soap available for TLS? (Yes/No)]]="yes",WWWW[[#This Row],['#_Constructed/Existing hand washing stations at TLS/CFS/THF]],0)</f>
        <v>0</v>
      </c>
      <c r="DZ16" s="425">
        <f>IF(WWWW[[#This Row],['# Functional hand washing stations during reporting period]]*100&gt;WWWW[[#This Row],[Total PoP ]],WWWW[[#This Row],[Total PoP ]],WWWW[[#This Row],['# Functional hand washing stations during reporting period]]*100)</f>
        <v>240</v>
      </c>
      <c r="EA16" s="425" t="str">
        <f>IF(OR(WWWW[[#This Row],['#_students at TLS_CFS]]="",WWWW[[#This Row],['#_students at TLS_CFS]]=0),"No","Yes")</f>
        <v>No</v>
      </c>
      <c r="EB1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 s="570">
        <f>WWWW[[#This Row],[%_of_affected_people_surveyed_who_report_feeling_satistfied_with_the_latrine_design_and_sanitation_service]]*WWWW[[#This Row],[Total PoP ]]</f>
        <v>0</v>
      </c>
      <c r="ED16" s="570">
        <f>WWWW[[#This Row],[%_of_affected_people_surveyed_who_report_feeling_satistfied_with_the_water_point_design_and_water_service]]*WWWW[[#This Row],[Total PoP ]]</f>
        <v>0</v>
      </c>
      <c r="EE16" s="570">
        <f>WWWW[[#This Row],[%_of_complaints_received_that_result_in_timely_corrective_action_and_feedback_to_the_community]]*WWWW[[#This Row],[Total PoP ]]</f>
        <v>0</v>
      </c>
      <c r="EF1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 s="964">
        <f>VLOOKUP(WWWW[[#This Row],[Site Name]],SiteDB6[[Site Name]:[CCCM Management]],6,FALSE)</f>
        <v>0</v>
      </c>
      <c r="EJ16" s="964" t="str">
        <f>VLOOKUP(WWWW[[#This Row],[Site Name]],SiteDB6[[Site Name]:[CCCM Focal Agency]],7,FALSE)</f>
        <v xml:space="preserve">Uncovered  </v>
      </c>
      <c r="EK16" s="964" t="str">
        <f>VLOOKUP(WWWW[[#This Row],[Site Name]],SiteDB6[[Site Name]:[Location Type 1]],9,FALSE)</f>
        <v>Camp</v>
      </c>
      <c r="EL16" s="964" t="str">
        <f>VLOOKUP(WWWW[[#This Row],[Site Name]],SiteDB6[[Site Name]:[Type of Accommodation]],10,FALSE)</f>
        <v>Camp like setting</v>
      </c>
      <c r="EM16" s="964" t="str">
        <f>VLOOKUP(WWWW[[#This Row],[Site Name]],SiteDB6[[Site Name]:[Ethnic or GCA/NGCA]],11,FALSE)</f>
        <v>GCA</v>
      </c>
      <c r="EN16" s="964">
        <f>VLOOKUP(WWWW[[#This Row],[Site Name]],SiteDB6[[Site Name]:[Lat]],12,FALSE)</f>
        <v>0</v>
      </c>
      <c r="EO16" s="964">
        <f>VLOOKUP(WWWW[[#This Row],[Site Name]],SiteDB6[[Site Name]:[Long]],13,FALSE)</f>
        <v>0</v>
      </c>
      <c r="EP16" s="964" t="str">
        <f>VLOOKUP(WWWW[[#This Row],[Site Name]],SiteDB6[[Site Name]:[Pcode]],3,FALSE)</f>
        <v>MMR001CMP293</v>
      </c>
      <c r="EQ16" s="969" t="str">
        <f t="shared" si="1"/>
        <v>Notcovered</v>
      </c>
      <c r="ER16" s="969"/>
      <c r="ES16" s="964">
        <f>VLOOKUP(WWWW[[#This Row],[Site Name]],SiteDB6[[Site Name]:[Pop
(Kachin/Shan-CCCM as of March 2023)]],16,FALSE)</f>
        <v>29</v>
      </c>
      <c r="ET16" s="964">
        <f>VLOOKUP(WWWW[[#This Row],[Site Name]],SiteDB6[[Site Name]:[Pop
(Kachin/Shan-CCCM as of March 2023)]],17,FALSE)</f>
        <v>166</v>
      </c>
    </row>
    <row r="17" spans="1:150" hidden="1">
      <c r="A17" s="962" t="s">
        <v>2977</v>
      </c>
      <c r="B17" s="962" t="s">
        <v>309</v>
      </c>
      <c r="C17" s="963" t="s">
        <v>309</v>
      </c>
      <c r="D17" s="963"/>
      <c r="E17" s="963" t="s">
        <v>37</v>
      </c>
      <c r="F17" s="963" t="s">
        <v>142</v>
      </c>
      <c r="G17" s="964" t="str">
        <f>VLOOKUP(WWWW[[#This Row],[Site Name]],SiteDB6[[Site Name]:[Location Type]],8,FALSE)</f>
        <v>Camp</v>
      </c>
      <c r="H17" s="963" t="s">
        <v>2727</v>
      </c>
      <c r="I17" s="965">
        <v>34</v>
      </c>
      <c r="J17" s="965">
        <v>189</v>
      </c>
      <c r="K17" s="966"/>
      <c r="L17" s="967"/>
      <c r="M17" s="965"/>
      <c r="N17" s="965"/>
      <c r="O17" s="965"/>
      <c r="P17" s="965"/>
      <c r="Q17" s="968"/>
      <c r="R17" s="965"/>
      <c r="S17" s="965"/>
      <c r="T17" s="445"/>
      <c r="U17" s="965"/>
      <c r="V17" s="965"/>
      <c r="W17" s="965"/>
      <c r="X17" s="965"/>
      <c r="Y17" s="965"/>
      <c r="Z17" s="965"/>
      <c r="AA17" s="965"/>
      <c r="AB17" s="965"/>
      <c r="AC17" s="965"/>
      <c r="AD17" s="965"/>
      <c r="AE17" s="965"/>
      <c r="AF17" s="965"/>
      <c r="AG17" s="965"/>
      <c r="AH17" s="965"/>
      <c r="AI17" s="965"/>
      <c r="AJ17" s="965"/>
      <c r="AK17" s="965"/>
      <c r="AL17" s="965"/>
      <c r="AM17" s="965"/>
      <c r="AN17" s="965"/>
      <c r="AO17" s="445"/>
      <c r="AP17" s="969"/>
      <c r="AQ17" s="965"/>
      <c r="AR17" s="965"/>
      <c r="AS17" s="970"/>
      <c r="AT17" s="965"/>
      <c r="AU17" s="965"/>
      <c r="AV17" s="965"/>
      <c r="AW17" s="965"/>
      <c r="AX17" s="965"/>
      <c r="AY17" s="964" t="s">
        <v>140</v>
      </c>
      <c r="AZ17" s="969" t="s">
        <v>140</v>
      </c>
      <c r="BA17" s="965"/>
      <c r="BB17" s="965"/>
      <c r="BC17" s="965"/>
      <c r="BD17" s="445"/>
      <c r="BE17" s="445"/>
      <c r="BF17" s="964"/>
      <c r="BG17" s="965">
        <v>3</v>
      </c>
      <c r="BH17" s="965"/>
      <c r="BI17" s="965"/>
      <c r="BJ17" s="965">
        <v>2</v>
      </c>
      <c r="BK17" s="965"/>
      <c r="BL17" s="965"/>
      <c r="BM17" s="965"/>
      <c r="BN17" s="965"/>
      <c r="BO17" s="965"/>
      <c r="BP17" s="964"/>
      <c r="BQ17" s="971"/>
      <c r="BR17" s="970"/>
      <c r="BS17" s="964"/>
      <c r="BT17" s="420"/>
      <c r="BU17" s="420"/>
      <c r="BV17" s="422"/>
      <c r="BW17" s="420"/>
      <c r="BX17" s="445"/>
      <c r="BY17" s="445"/>
      <c r="BZ17" s="445"/>
      <c r="CA17" s="445"/>
      <c r="CB17" s="445"/>
      <c r="CC17" s="702"/>
      <c r="CD17" s="445"/>
      <c r="CE17" s="972" t="str">
        <f>IFERROR(WWWW[[#This Row],['#_Water sources passed]]/WWWW[[#This Row],['#_Water sources tested for fecal coliform ]],"no test")</f>
        <v>no test</v>
      </c>
      <c r="CF17" s="970" t="str">
        <f>IFERROR(WWWW[[#This Row],['#_Household passed]]/WWWW[[#This Row],['#_Household water samples tested for fecal coliform]],"no test")</f>
        <v>no test</v>
      </c>
      <c r="CG17" s="971" t="str">
        <f>IF(AND(WWWW[[#This Row],[% of water sources passed]]="no test",WWWW[[#This Row],[% Household passed]]="no test"),"No Test","Tested")</f>
        <v>No Test</v>
      </c>
      <c r="CH17" s="971">
        <f>WWWW[[#This Row],['#_Constructed/existing protected hand dug well]]-WWWW[[#This Row],['#_Non-functional protected hand dug well]]</f>
        <v>0</v>
      </c>
      <c r="CI17" s="971">
        <f>(WWWW[[#This Row],['#_Constructed/Existing tube wells/boreholes/handpumps_WASH_agency]]+WWWW[[#This Row],['#_Non-Cluster partner water tube-wells/boreholes/handpumps]])-WWWW[[#This Row],['#_Non-functional tube wells/boreholes/handpumps]]</f>
        <v>0</v>
      </c>
      <c r="CJ17" s="971">
        <f>WWWW[[#This Row],['#_Constructed/Existingwater storage tank with gravity fed reticulation system]]-WWWW[[#This Row],['#_Non-functional storage tank gravity fed reticulation system]]</f>
        <v>0</v>
      </c>
      <c r="CK17" s="971">
        <f>(WWWW[[#This Row],['#_Water_Liters_supplied_by_Water boating or water trucking]]/90)/15</f>
        <v>0</v>
      </c>
      <c r="CL17" s="971">
        <f>WWWW[[#This Row],['#_Water_Liters_from_Constructed/Existing water distribution system from river or natural spring]]/90/15</f>
        <v>0</v>
      </c>
      <c r="CM17" s="421">
        <f>IF(WWWW[[#This Row],['#_of water points in TLS/CFS]]*500&gt;WWWW[[#This Row],[Total PoP ]],WWWW[[#This Row],[Total PoP ]],WWWW[[#This Row],['#_of water points in TLS/CFS]]*500)</f>
        <v>0</v>
      </c>
      <c r="CN17" s="421">
        <f>IF(WWWW[[#This Row],['#_of water points in THF]]*500&gt;WWWW[[#This Row],[Total PoP ]],WWWW[[#This Row],[Total PoP ]],WWWW[[#This Row],['#_of water points in THF]]*500)</f>
        <v>0</v>
      </c>
      <c r="CO17" s="421"/>
      <c r="CP1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 s="970">
        <f>IF(WWWW[[#This Row],[Location Type 1]]="Village",WWWW[[#This Row],[Access to safe drinking water for Village]],WWWW[[#This Row],[Access to safe drinking water for Camp]])</f>
        <v>0</v>
      </c>
      <c r="CS17" s="968">
        <f>WWWW[[#This Row],[%Equitable and continuous access to sufficient quantity of safe drinking water]]*WWWW[[#This Row],[Total PoP ]]</f>
        <v>0</v>
      </c>
      <c r="CT17" s="970">
        <f>IF((WWWW[[#This Row],['#_Constructed/Existing protected/fenced ponds]]*250)/WWWW[[#This Row],[Total PoP ]]&gt;1,1,(WWWW[[#This Row],['#_Constructed/Existing protected/fenced ponds]]*250)/WWWW[[#This Row],[Total PoP ]])</f>
        <v>0</v>
      </c>
      <c r="CU17" s="968">
        <f>WWWW[[#This Row],[% Access to unimproved water points]]*WWWW[[#This Row],[Total PoP ]]</f>
        <v>0</v>
      </c>
      <c r="CV1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 s="968">
        <f>WWWW[[#This Row],[HRP1]]/500</f>
        <v>0</v>
      </c>
      <c r="CY17" s="973">
        <f>1-WWWW[[#This Row],[% Equitable and continuous access to sufficient quantity of domestic water]]</f>
        <v>1</v>
      </c>
      <c r="CZ17" s="968">
        <f>WWWW[[#This Row],[%equitable and continuous access to sufficient quantity of safe drinking and domestic water''s GAP]]*WWWW[[#This Row],[Total PoP ]]</f>
        <v>189</v>
      </c>
      <c r="DA17" s="971">
        <f>IF(WWWW[[#This Row],[Total required water points]]-WWWW[[#This Row],['#Water points coverage]]&lt;0,0,WWWW[[#This Row],[Total required water points]]-WWWW[[#This Row],['#Water points coverage]])</f>
        <v>1</v>
      </c>
      <c r="DB17" s="971">
        <f>ROUND(IF(WWWW[[#This Row],[Total PoP ]]&lt;500,1,WWWW[[#This Row],[Total PoP ]]/500),0)</f>
        <v>1</v>
      </c>
      <c r="DC17" s="971">
        <f>(WWWW[[#This Row],['#_Constructed latrines_by_WASHAgencies]]+WWWW[[#This Row],['#_Non Cluster partner latrines]])-WWWW[[#This Row],['#_Non-functional latrines]]</f>
        <v>0</v>
      </c>
      <c r="DD17" s="619">
        <f>WWWW[[#This Row],[HRP2]]/WWWW[[#This Row],[Total PoP ]]</f>
        <v>0</v>
      </c>
      <c r="DE1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 s="421">
        <f>IF(WWWW[[#This Row],['# of functional latrines in THF supported by WASH partners during the reporting period2]]="",0,WWWW[[#This Row],['# of functional latrines in THF supported by WASH partners during the reporting period2]]*50)</f>
        <v>0</v>
      </c>
      <c r="DI17" s="971">
        <f>ROUND(IF(WWWW[[#This Row],[Location Type 1]]="camp",WWWW[[#This Row],[Total PoP ]]/20,IF(WWWW[[#This Row],[Location Type 1]]="Temporary Location",WWWW[[#This Row],[Total PoP ]]/50,(WWWW[[#This Row],[Total PoP ]]/6))),0)</f>
        <v>9</v>
      </c>
      <c r="DJ17" s="971">
        <f>IF(WWWW[[#This Row],[Total required Latrines]]-(WWWW[[#This Row],['#_Constructed latrines_by_WASHAgencies]]+WWWW[[#This Row],['#_Non Cluster partner latrines]])&lt;0,0,WWWW[[#This Row],[Total required Latrines]]-(WWWW[[#This Row],['#_Constructed latrines_by_WASHAgencies]]+WWWW[[#This Row],['#_Non Cluster partner latrines]]))</f>
        <v>9</v>
      </c>
      <c r="DK17" s="973">
        <f>1-WWWW[[#This Row],[% people access to functioning Latrine]]</f>
        <v>1</v>
      </c>
      <c r="DL17" s="972">
        <f>IF(OR(WWWW[[#This Row],['#_Non-functional latrines]]="",WWWW[[#This Row],['#_Non-functional latrines]]=0),0,WWWW[[#This Row],['#_Non-functional latrines]]/(WWWW[[#This Row],['#_Constructed latrines_by_WASHAgencies]]+WWWW[[#This Row],['#_Non Cluster partner latrines]]))</f>
        <v>0</v>
      </c>
      <c r="DM17" s="968">
        <f>IF(500*(WWWW[[#This Row],['#_male hygiene promoters]]+WWWW[[#This Row],['#_female hygiene promoters]])&gt;WWWW[[#This Row],[Total PoP ]],WWWW[[#This Row],[Total PoP ]],500*(WWWW[[#This Row],['#_male hygiene promoters]]+WWWW[[#This Row],['#_female hygiene promoters]]))</f>
        <v>0</v>
      </c>
      <c r="DN1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 s="971">
        <f>IF(WWWW[[#This Row],['# People with access to soap]]&gt;WWWW[[#This Row],['# People with access to Sanity Pads]],WWWW[[#This Row],['# People with access to soap]],WWWW[[#This Row],['# People with access to Sanity Pads]])</f>
        <v>0</v>
      </c>
      <c r="DQ1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 s="973">
        <f>IF(WWWW[[#This Row],[HRP3]]/WWWW[[#This Row],[Total PoP ]]&gt;1,1,WWWW[[#This Row],[HRP3]]/WWWW[[#This Row],[Total PoP ]])</f>
        <v>0</v>
      </c>
      <c r="DS17" s="972">
        <f>1-WWWW[[#This Row],[Hygiene Coverage%]]</f>
        <v>1</v>
      </c>
      <c r="DT17" s="970">
        <f>WWWW[[#This Row],['# people reached by regular dedicated hygiene promotion_5]]/WWWW[[#This Row],[Total PoP ]]</f>
        <v>0</v>
      </c>
      <c r="DU1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 s="971">
        <f>WWWW[[#This Row],['#_Constructed/Existing hand washing stations]]-WWWW[[#This Row],['#_Non-Functional_hand_washing_stations]]</f>
        <v>3</v>
      </c>
      <c r="DX17" s="968">
        <f>IF(WWWW[[#This Row],['# Functional hand washing stations during reporting period]]*20&gt;WWWW[[#This Row],[Total HH]],WWWW[[#This Row],[Total HH]],WWWW[[#This Row],['# Functional hand washing stations during reporting period]]*20)</f>
        <v>34</v>
      </c>
      <c r="DY17" s="968">
        <f>IF(WWWW[[#This Row],[Is sufficient soap available for TLS? (Yes/No)]]="yes",WWWW[[#This Row],['#_Constructed/Existing hand washing stations at TLS/CFS/THF]],0)</f>
        <v>0</v>
      </c>
      <c r="DZ17" s="425">
        <f>IF(WWWW[[#This Row],['# Functional hand washing stations during reporting period]]*100&gt;WWWW[[#This Row],[Total PoP ]],WWWW[[#This Row],[Total PoP ]],WWWW[[#This Row],['# Functional hand washing stations during reporting period]]*100)</f>
        <v>189</v>
      </c>
      <c r="EA17" s="425" t="str">
        <f>IF(OR(WWWW[[#This Row],['#_students at TLS_CFS]]="",WWWW[[#This Row],['#_students at TLS_CFS]]=0),"No","Yes")</f>
        <v>No</v>
      </c>
      <c r="EB1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 s="570">
        <f>WWWW[[#This Row],[%_of_affected_people_surveyed_who_report_feeling_satistfied_with_the_latrine_design_and_sanitation_service]]*WWWW[[#This Row],[Total PoP ]]</f>
        <v>0</v>
      </c>
      <c r="ED17" s="570">
        <f>WWWW[[#This Row],[%_of_affected_people_surveyed_who_report_feeling_satistfied_with_the_water_point_design_and_water_service]]*WWWW[[#This Row],[Total PoP ]]</f>
        <v>0</v>
      </c>
      <c r="EE17" s="570">
        <f>WWWW[[#This Row],[%_of_complaints_received_that_result_in_timely_corrective_action_and_feedback_to_the_community]]*WWWW[[#This Row],[Total PoP ]]</f>
        <v>0</v>
      </c>
      <c r="EF1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 s="964">
        <f>VLOOKUP(WWWW[[#This Row],[Site Name]],SiteDB6[[Site Name]:[CCCM Management]],6,FALSE)</f>
        <v>0</v>
      </c>
      <c r="EJ17" s="964" t="str">
        <f>VLOOKUP(WWWW[[#This Row],[Site Name]],SiteDB6[[Site Name]:[CCCM Focal Agency]],7,FALSE)</f>
        <v xml:space="preserve">Uncovered  </v>
      </c>
      <c r="EK17" s="964" t="str">
        <f>VLOOKUP(WWWW[[#This Row],[Site Name]],SiteDB6[[Site Name]:[Location Type 1]],9,FALSE)</f>
        <v>Camp</v>
      </c>
      <c r="EL17" s="964" t="str">
        <f>VLOOKUP(WWWW[[#This Row],[Site Name]],SiteDB6[[Site Name]:[Type of Accommodation]],10,FALSE)</f>
        <v>Camp like setting</v>
      </c>
      <c r="EM17" s="964" t="str">
        <f>VLOOKUP(WWWW[[#This Row],[Site Name]],SiteDB6[[Site Name]:[Ethnic or GCA/NGCA]],11,FALSE)</f>
        <v>GCA</v>
      </c>
      <c r="EN17" s="964">
        <f>VLOOKUP(WWWW[[#This Row],[Site Name]],SiteDB6[[Site Name]:[Lat]],12,FALSE)</f>
        <v>0</v>
      </c>
      <c r="EO17" s="964">
        <f>VLOOKUP(WWWW[[#This Row],[Site Name]],SiteDB6[[Site Name]:[Long]],13,FALSE)</f>
        <v>0</v>
      </c>
      <c r="EP17" s="964" t="str">
        <f>VLOOKUP(WWWW[[#This Row],[Site Name]],SiteDB6[[Site Name]:[Pcode]],3,FALSE)</f>
        <v>MMR001CMP294</v>
      </c>
      <c r="EQ17" s="969" t="str">
        <f t="shared" si="1"/>
        <v>Notcovered</v>
      </c>
      <c r="ER17" s="969"/>
      <c r="ES17" s="964">
        <f>VLOOKUP(WWWW[[#This Row],[Site Name]],SiteDB6[[Site Name]:[Pop
(Kachin/Shan-CCCM as of March 2023)]],16,FALSE)</f>
        <v>20</v>
      </c>
      <c r="ET17" s="964">
        <f>VLOOKUP(WWWW[[#This Row],[Site Name]],SiteDB6[[Site Name]:[Pop
(Kachin/Shan-CCCM as of March 2023)]],17,FALSE)</f>
        <v>132</v>
      </c>
    </row>
    <row r="18" spans="1:150" hidden="1">
      <c r="A18" s="962" t="s">
        <v>2977</v>
      </c>
      <c r="B18" s="962" t="s">
        <v>36</v>
      </c>
      <c r="C18" s="963" t="s">
        <v>36</v>
      </c>
      <c r="D18" s="963" t="s">
        <v>241</v>
      </c>
      <c r="E18" s="963" t="s">
        <v>37</v>
      </c>
      <c r="F18" s="963" t="s">
        <v>159</v>
      </c>
      <c r="G18" s="964" t="str">
        <f>VLOOKUP(WWWW[[#This Row],[Site Name]],SiteDB6[[Site Name]:[Location Type]],8,FALSE)</f>
        <v>Camp</v>
      </c>
      <c r="H18" s="963" t="s">
        <v>1605</v>
      </c>
      <c r="I18" s="965">
        <v>216</v>
      </c>
      <c r="J18" s="965">
        <v>1213</v>
      </c>
      <c r="K18" s="966">
        <v>44973</v>
      </c>
      <c r="L18" s="967">
        <v>45337</v>
      </c>
      <c r="M18" s="965"/>
      <c r="N18" s="965">
        <v>2</v>
      </c>
      <c r="O18" s="965"/>
      <c r="P18" s="965"/>
      <c r="Q18" s="968" t="s">
        <v>41</v>
      </c>
      <c r="R18" s="965">
        <v>2</v>
      </c>
      <c r="S18" s="965">
        <v>4</v>
      </c>
      <c r="T18" s="445">
        <v>4</v>
      </c>
      <c r="U18" s="965"/>
      <c r="V18" s="965"/>
      <c r="W18" s="965"/>
      <c r="X18" s="965"/>
      <c r="Y18" s="965"/>
      <c r="Z18" s="965"/>
      <c r="AA18" s="965"/>
      <c r="AB18" s="965"/>
      <c r="AC18" s="965"/>
      <c r="AD18" s="965"/>
      <c r="AE18" s="965"/>
      <c r="AF18" s="965"/>
      <c r="AG18" s="965"/>
      <c r="AH18" s="965"/>
      <c r="AI18" s="965"/>
      <c r="AJ18" s="965"/>
      <c r="AK18" s="965"/>
      <c r="AL18" s="965"/>
      <c r="AM18" s="965"/>
      <c r="AN18" s="965"/>
      <c r="AO18" s="445"/>
      <c r="AP18" s="969"/>
      <c r="AQ18" s="965">
        <v>66</v>
      </c>
      <c r="AR18" s="965"/>
      <c r="AS18" s="970"/>
      <c r="AT18" s="965"/>
      <c r="AU18" s="965"/>
      <c r="AV18" s="965"/>
      <c r="AW18" s="965"/>
      <c r="AX18" s="965"/>
      <c r="AY18" s="964" t="s">
        <v>41</v>
      </c>
      <c r="AZ18" s="969" t="s">
        <v>137</v>
      </c>
      <c r="BA18" s="965">
        <v>1</v>
      </c>
      <c r="BB18" s="965"/>
      <c r="BC18" s="965"/>
      <c r="BD18" s="445"/>
      <c r="BE18" s="445"/>
      <c r="BF18" s="964"/>
      <c r="BG18" s="965">
        <v>4</v>
      </c>
      <c r="BH18" s="965"/>
      <c r="BI18" s="965">
        <v>7</v>
      </c>
      <c r="BJ18" s="965">
        <v>11</v>
      </c>
      <c r="BK18" s="965"/>
      <c r="BL18" s="965"/>
      <c r="BM18" s="965">
        <v>1</v>
      </c>
      <c r="BN18" s="965"/>
      <c r="BO18" s="965"/>
      <c r="BP18" s="964" t="s">
        <v>41</v>
      </c>
      <c r="BQ18" s="971">
        <v>1</v>
      </c>
      <c r="BR18" s="970"/>
      <c r="BS18" s="964"/>
      <c r="BT18" s="420"/>
      <c r="BU18" s="420"/>
      <c r="BV18" s="422"/>
      <c r="BW18" s="420"/>
      <c r="BX18" s="445"/>
      <c r="BY18" s="445"/>
      <c r="BZ18" s="445"/>
      <c r="CA18" s="445"/>
      <c r="CB18" s="445"/>
      <c r="CC18" s="702"/>
      <c r="CD18" s="445"/>
      <c r="CE18" s="972" t="str">
        <f>IFERROR(WWWW[[#This Row],['#_Water sources passed]]/WWWW[[#This Row],['#_Water sources tested for fecal coliform ]],"no test")</f>
        <v>no test</v>
      </c>
      <c r="CF18" s="970" t="str">
        <f>IFERROR(WWWW[[#This Row],['#_Household passed]]/WWWW[[#This Row],['#_Household water samples tested for fecal coliform]],"no test")</f>
        <v>no test</v>
      </c>
      <c r="CG18" s="971" t="str">
        <f>IF(AND(WWWW[[#This Row],[% of water sources passed]]="no test",WWWW[[#This Row],[% Household passed]]="no test"),"No Test","Tested")</f>
        <v>No Test</v>
      </c>
      <c r="CH18" s="971">
        <f>WWWW[[#This Row],['#_Constructed/existing protected hand dug well]]-WWWW[[#This Row],['#_Non-functional protected hand dug well]]</f>
        <v>4</v>
      </c>
      <c r="CI18" s="971">
        <f>(WWWW[[#This Row],['#_Constructed/Existing tube wells/boreholes/handpumps_WASH_agency]]+WWWW[[#This Row],['#_Non-Cluster partner water tube-wells/boreholes/handpumps]])-WWWW[[#This Row],['#_Non-functional tube wells/boreholes/handpumps]]</f>
        <v>0</v>
      </c>
      <c r="CJ18" s="971">
        <f>WWWW[[#This Row],['#_Constructed/Existingwater storage tank with gravity fed reticulation system]]-WWWW[[#This Row],['#_Non-functional storage tank gravity fed reticulation system]]</f>
        <v>0</v>
      </c>
      <c r="CK18" s="971">
        <f>(WWWW[[#This Row],['#_Water_Liters_supplied_by_Water boating or water trucking]]/90)/15</f>
        <v>0</v>
      </c>
      <c r="CL18" s="971">
        <f>WWWW[[#This Row],['#_Water_Liters_from_Constructed/Existing water distribution system from river or natural spring]]/90/15</f>
        <v>0</v>
      </c>
      <c r="CM18" s="421">
        <f>IF(WWWW[[#This Row],['#_of water points in TLS/CFS]]*500&gt;WWWW[[#This Row],[Total PoP ]],WWWW[[#This Row],[Total PoP ]],WWWW[[#This Row],['#_of water points in TLS/CFS]]*500)</f>
        <v>0</v>
      </c>
      <c r="CN18" s="421">
        <f>IF(WWWW[[#This Row],['#_of water points in THF]]*500&gt;WWWW[[#This Row],[Total PoP ]],WWWW[[#This Row],[Total PoP ]],WWWW[[#This Row],['#_of water points in THF]]*500)</f>
        <v>0</v>
      </c>
      <c r="CO18" s="421"/>
      <c r="CP1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0.82440230832646333</v>
      </c>
      <c r="CR18" s="970">
        <f>IF(WWWW[[#This Row],[Location Type 1]]="Village",WWWW[[#This Row],[Access to safe drinking water for Village]],WWWW[[#This Row],[Access to safe drinking water for Camp]])</f>
        <v>1</v>
      </c>
      <c r="CS18" s="968">
        <f>WWWW[[#This Row],[%Equitable and continuous access to sufficient quantity of safe drinking water]]*WWWW[[#This Row],[Total PoP ]]</f>
        <v>1213</v>
      </c>
      <c r="CT18" s="970">
        <f>IF((WWWW[[#This Row],['#_Constructed/Existing protected/fenced ponds]]*250)/WWWW[[#This Row],[Total PoP ]]&gt;1,1,(WWWW[[#This Row],['#_Constructed/Existing protected/fenced ponds]]*250)/WWWW[[#This Row],[Total PoP ]])</f>
        <v>0</v>
      </c>
      <c r="CU18" s="968">
        <f>WWWW[[#This Row],[% Access to unimproved water points]]*WWWW[[#This Row],[Total PoP ]]</f>
        <v>0</v>
      </c>
      <c r="CV1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1213</v>
      </c>
      <c r="CX18" s="968">
        <f>WWWW[[#This Row],[HRP1]]/500</f>
        <v>2.4260000000000002</v>
      </c>
      <c r="CY18" s="973">
        <f>1-WWWW[[#This Row],[% Equitable and continuous access to sufficient quantity of domestic water]]</f>
        <v>0</v>
      </c>
      <c r="CZ18" s="968">
        <f>WWWW[[#This Row],[%equitable and continuous access to sufficient quantity of safe drinking and domestic water''s GAP]]*WWWW[[#This Row],[Total PoP ]]</f>
        <v>0</v>
      </c>
      <c r="DA18" s="971">
        <f>IF(WWWW[[#This Row],[Total required water points]]-WWWW[[#This Row],['#Water points coverage]]&lt;0,0,WWWW[[#This Row],[Total required water points]]-WWWW[[#This Row],['#Water points coverage]])</f>
        <v>0</v>
      </c>
      <c r="DB18" s="971">
        <f>ROUND(IF(WWWW[[#This Row],[Total PoP ]]&lt;500,1,WWWW[[#This Row],[Total PoP ]]/500),0)</f>
        <v>2</v>
      </c>
      <c r="DC18" s="971">
        <f>(WWWW[[#This Row],['#_Constructed latrines_by_WASHAgencies]]+WWWW[[#This Row],['#_Non Cluster partner latrines]])-WWWW[[#This Row],['#_Non-functional latrines]]</f>
        <v>66</v>
      </c>
      <c r="DD18" s="619">
        <f>WWWW[[#This Row],[HRP2]]/WWWW[[#This Row],[Total PoP ]]</f>
        <v>1</v>
      </c>
      <c r="DE1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1213</v>
      </c>
      <c r="DF1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 s="421">
        <f>IF(WWWW[[#This Row],['# of functional latrines in THF supported by WASH partners during the reporting period2]]="",0,WWWW[[#This Row],['# of functional latrines in THF supported by WASH partners during the reporting period2]]*50)</f>
        <v>0</v>
      </c>
      <c r="DI18" s="971">
        <f>ROUND(IF(WWWW[[#This Row],[Location Type 1]]="camp",WWWW[[#This Row],[Total PoP ]]/20,IF(WWWW[[#This Row],[Location Type 1]]="Temporary Location",WWWW[[#This Row],[Total PoP ]]/50,(WWWW[[#This Row],[Total PoP ]]/6))),0)</f>
        <v>61</v>
      </c>
      <c r="DJ18" s="971">
        <f>IF(WWWW[[#This Row],[Total required Latrines]]-(WWWW[[#This Row],['#_Constructed latrines_by_WASHAgencies]]+WWWW[[#This Row],['#_Non Cluster partner latrines]])&lt;0,0,WWWW[[#This Row],[Total required Latrines]]-(WWWW[[#This Row],['#_Constructed latrines_by_WASHAgencies]]+WWWW[[#This Row],['#_Non Cluster partner latrines]]))</f>
        <v>0</v>
      </c>
      <c r="DK18" s="973">
        <f>1-WWWW[[#This Row],[% people access to functioning Latrine]]</f>
        <v>0</v>
      </c>
      <c r="DL18" s="972">
        <f>IF(OR(WWWW[[#This Row],['#_Non-functional latrines]]="",WWWW[[#This Row],['#_Non-functional latrines]]=0),0,WWWW[[#This Row],['#_Non-functional latrines]]/(WWWW[[#This Row],['#_Constructed latrines_by_WASHAgencies]]+WWWW[[#This Row],['#_Non Cluster partner latrines]]))</f>
        <v>0</v>
      </c>
      <c r="DM18" s="968">
        <f>IF(500*(WWWW[[#This Row],['#_male hygiene promoters]]+WWWW[[#This Row],['#_female hygiene promoters]])&gt;WWWW[[#This Row],[Total PoP ]],WWWW[[#This Row],[Total PoP ]],500*(WWWW[[#This Row],['#_male hygiene promoters]]+WWWW[[#This Row],['#_female hygiene promoters]]))</f>
        <v>500</v>
      </c>
      <c r="DN1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 s="971">
        <f>IF(WWWW[[#This Row],['# People with access to soap]]&gt;WWWW[[#This Row],['# People with access to Sanity Pads]],WWWW[[#This Row],['# People with access to soap]],WWWW[[#This Row],['# People with access to Sanity Pads]])</f>
        <v>0</v>
      </c>
      <c r="DQ18"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8" s="973">
        <f>IF(WWWW[[#This Row],[HRP3]]/WWWW[[#This Row],[Total PoP ]]&gt;1,1,WWWW[[#This Row],[HRP3]]/WWWW[[#This Row],[Total PoP ]])</f>
        <v>0.41220115416323166</v>
      </c>
      <c r="DS18" s="972">
        <f>1-WWWW[[#This Row],[Hygiene Coverage%]]</f>
        <v>0.58779884583676834</v>
      </c>
      <c r="DT18" s="970">
        <f>WWWW[[#This Row],['# people reached by regular dedicated hygiene promotion_5]]/WWWW[[#This Row],[Total PoP ]]</f>
        <v>0.41220115416323166</v>
      </c>
      <c r="DU1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 s="971">
        <f>WWWW[[#This Row],['#_Constructed/Existing hand washing stations]]-WWWW[[#This Row],['#_Non-Functional_hand_washing_stations]]</f>
        <v>4</v>
      </c>
      <c r="DX18" s="968">
        <f>IF(WWWW[[#This Row],['# Functional hand washing stations during reporting period]]*20&gt;WWWW[[#This Row],[Total HH]],WWWW[[#This Row],[Total HH]],WWWW[[#This Row],['# Functional hand washing stations during reporting period]]*20)</f>
        <v>80</v>
      </c>
      <c r="DY18" s="968">
        <f>IF(WWWW[[#This Row],[Is sufficient soap available for TLS? (Yes/No)]]="yes",WWWW[[#This Row],['#_Constructed/Existing hand washing stations at TLS/CFS/THF]],0)</f>
        <v>0</v>
      </c>
      <c r="DZ18" s="425">
        <f>IF(WWWW[[#This Row],['# Functional hand washing stations during reporting period]]*100&gt;WWWW[[#This Row],[Total PoP ]],WWWW[[#This Row],[Total PoP ]],WWWW[[#This Row],['# Functional hand washing stations during reporting period]]*100)</f>
        <v>400</v>
      </c>
      <c r="EA18" s="425" t="str">
        <f>IF(OR(WWWW[[#This Row],['#_students at TLS_CFS]]="",WWWW[[#This Row],['#_students at TLS_CFS]]=0),"No","Yes")</f>
        <v>No</v>
      </c>
      <c r="EB1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 s="570">
        <f>WWWW[[#This Row],[%_of_affected_people_surveyed_who_report_feeling_satistfied_with_the_latrine_design_and_sanitation_service]]*WWWW[[#This Row],[Total PoP ]]</f>
        <v>0</v>
      </c>
      <c r="ED18" s="570">
        <f>WWWW[[#This Row],[%_of_affected_people_surveyed_who_report_feeling_satistfied_with_the_water_point_design_and_water_service]]*WWWW[[#This Row],[Total PoP ]]</f>
        <v>0</v>
      </c>
      <c r="EE18" s="570">
        <f>WWWW[[#This Row],[%_of_complaints_received_that_result_in_timely_corrective_action_and_feedback_to_the_community]]*WWWW[[#This Row],[Total PoP ]]</f>
        <v>0</v>
      </c>
      <c r="EF1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 s="964" t="str">
        <f>VLOOKUP(WWWW[[#This Row],[Site Name]],SiteDB6[[Site Name]:[CCCM Management]],6,FALSE)</f>
        <v>Yes</v>
      </c>
      <c r="EJ18" s="964" t="str">
        <f>VLOOKUP(WWWW[[#This Row],[Site Name]],SiteDB6[[Site Name]:[CCCM Focal Agency]],7,FALSE)</f>
        <v>KMSS-MYT</v>
      </c>
      <c r="EK18" s="964" t="str">
        <f>VLOOKUP(WWWW[[#This Row],[Site Name]],SiteDB6[[Site Name]:[Location Type 1]],9,FALSE)</f>
        <v>Camp</v>
      </c>
      <c r="EL18" s="964" t="str">
        <f>VLOOKUP(WWWW[[#This Row],[Site Name]],SiteDB6[[Site Name]:[Type of Accommodation]],10,FALSE)</f>
        <v>Camp</v>
      </c>
      <c r="EM18" s="964" t="str">
        <f>VLOOKUP(WWWW[[#This Row],[Site Name]],SiteDB6[[Site Name]:[Ethnic or GCA/NGCA]],11,FALSE)</f>
        <v>GCA</v>
      </c>
      <c r="EN18" s="964">
        <f>VLOOKUP(WWWW[[#This Row],[Site Name]],SiteDB6[[Site Name]:[Lat]],12,FALSE)</f>
        <v>25.493819999999999</v>
      </c>
      <c r="EO18" s="964">
        <f>VLOOKUP(WWWW[[#This Row],[Site Name]],SiteDB6[[Site Name]:[Long]],13,FALSE)</f>
        <v>97.4345</v>
      </c>
      <c r="EP18" s="964" t="str">
        <f>VLOOKUP(WWWW[[#This Row],[Site Name]],SiteDB6[[Site Name]:[Pcode]],3,FALSE)</f>
        <v>MMR001CMP271</v>
      </c>
      <c r="EQ18" s="969" t="str">
        <f t="shared" si="1"/>
        <v>Covered</v>
      </c>
      <c r="ER18" s="969" t="s">
        <v>3147</v>
      </c>
      <c r="ES18" s="964">
        <f>VLOOKUP(WWWW[[#This Row],[Site Name]],SiteDB6[[Site Name]:[Pop
(Kachin/Shan-CCCM as of March 2023)]],16,FALSE)</f>
        <v>215</v>
      </c>
      <c r="ET18" s="964">
        <f>VLOOKUP(WWWW[[#This Row],[Site Name]],SiteDB6[[Site Name]:[Pop
(Kachin/Shan-CCCM as of March 2023)]],17,FALSE)</f>
        <v>1202</v>
      </c>
    </row>
    <row r="19" spans="1:150" hidden="1">
      <c r="A19" s="962" t="s">
        <v>2977</v>
      </c>
      <c r="B19" s="962" t="s">
        <v>242</v>
      </c>
      <c r="C19" s="963" t="s">
        <v>242</v>
      </c>
      <c r="D19" s="963" t="s">
        <v>3207</v>
      </c>
      <c r="E19" s="963" t="s">
        <v>37</v>
      </c>
      <c r="F19" s="963" t="s">
        <v>148</v>
      </c>
      <c r="G19" s="964" t="str">
        <f>VLOOKUP(WWWW[[#This Row],[Site Name]],SiteDB6[[Site Name]:[Location Type]],8,FALSE)</f>
        <v>Camp</v>
      </c>
      <c r="H19" s="963" t="s">
        <v>249</v>
      </c>
      <c r="I19" s="965">
        <v>13</v>
      </c>
      <c r="J19" s="965">
        <v>70</v>
      </c>
      <c r="K19" s="966">
        <v>44927</v>
      </c>
      <c r="L19" s="967">
        <v>45291</v>
      </c>
      <c r="M19" s="965">
        <v>25</v>
      </c>
      <c r="N19" s="965"/>
      <c r="O19" s="965">
        <v>1</v>
      </c>
      <c r="P19" s="965"/>
      <c r="Q19" s="968" t="s">
        <v>41</v>
      </c>
      <c r="R19" s="965">
        <v>1</v>
      </c>
      <c r="S19" s="965">
        <v>4</v>
      </c>
      <c r="T19" s="445">
        <v>1</v>
      </c>
      <c r="U19" s="965"/>
      <c r="V19" s="965"/>
      <c r="W19" s="965"/>
      <c r="X19" s="965"/>
      <c r="Y19" s="965"/>
      <c r="Z19" s="965"/>
      <c r="AA19" s="965">
        <v>2</v>
      </c>
      <c r="AB19" s="965"/>
      <c r="AC19" s="965">
        <v>2</v>
      </c>
      <c r="AD19" s="965"/>
      <c r="AE19" s="965">
        <v>1</v>
      </c>
      <c r="AF19" s="965"/>
      <c r="AG19" s="965"/>
      <c r="AH19" s="965"/>
      <c r="AI19" s="965"/>
      <c r="AJ19" s="965">
        <v>1</v>
      </c>
      <c r="AK19" s="965"/>
      <c r="AL19" s="965"/>
      <c r="AM19" s="965">
        <v>3</v>
      </c>
      <c r="AN19" s="965"/>
      <c r="AO19" s="445"/>
      <c r="AP19" s="969" t="s">
        <v>3225</v>
      </c>
      <c r="AQ19" s="965">
        <v>5</v>
      </c>
      <c r="AR19" s="965"/>
      <c r="AS19" s="970" t="s">
        <v>242</v>
      </c>
      <c r="AT19" s="965">
        <v>2</v>
      </c>
      <c r="AU19" s="965">
        <v>2</v>
      </c>
      <c r="AV19" s="965"/>
      <c r="AW19" s="965"/>
      <c r="AX19" s="965"/>
      <c r="AY19" s="964" t="s">
        <v>41</v>
      </c>
      <c r="AZ19" s="969" t="s">
        <v>136</v>
      </c>
      <c r="BA19" s="965"/>
      <c r="BB19" s="965"/>
      <c r="BC19" s="965"/>
      <c r="BD19" s="445"/>
      <c r="BE19" s="445"/>
      <c r="BF19" s="964"/>
      <c r="BG19" s="965">
        <v>3</v>
      </c>
      <c r="BH19" s="965"/>
      <c r="BI19" s="965"/>
      <c r="BJ19" s="965"/>
      <c r="BK19" s="965"/>
      <c r="BL19" s="965"/>
      <c r="BM19" s="965">
        <v>1</v>
      </c>
      <c r="BN19" s="965">
        <v>13</v>
      </c>
      <c r="BO19" s="965">
        <v>18</v>
      </c>
      <c r="BP19" s="964" t="s">
        <v>136</v>
      </c>
      <c r="BQ19" s="971">
        <v>1</v>
      </c>
      <c r="BR19" s="970">
        <v>0.4</v>
      </c>
      <c r="BS19" s="964"/>
      <c r="BT19" s="420">
        <v>0.5</v>
      </c>
      <c r="BU19" s="420">
        <v>0.5</v>
      </c>
      <c r="BV19" s="422"/>
      <c r="BW19" s="420">
        <v>0.5</v>
      </c>
      <c r="BX19" s="445"/>
      <c r="BY19" s="445"/>
      <c r="BZ19" s="445"/>
      <c r="CA19" s="445"/>
      <c r="CB19" s="445"/>
      <c r="CC19" s="702"/>
      <c r="CD19" s="445"/>
      <c r="CE19" s="972" t="str">
        <f>IFERROR(WWWW[[#This Row],['#_Water sources passed]]/WWWW[[#This Row],['#_Water sources tested for fecal coliform ]],"no test")</f>
        <v>no test</v>
      </c>
      <c r="CF19" s="970" t="str">
        <f>IFERROR(WWWW[[#This Row],['#_Household passed]]/WWWW[[#This Row],['#_Household water samples tested for fecal coliform]],"no test")</f>
        <v>no test</v>
      </c>
      <c r="CG19" s="971" t="str">
        <f>IF(AND(WWWW[[#This Row],[% of water sources passed]]="no test",WWWW[[#This Row],[% Household passed]]="no test"),"No Test","Tested")</f>
        <v>No Test</v>
      </c>
      <c r="CH19" s="971">
        <f>WWWW[[#This Row],['#_Constructed/existing protected hand dug well]]-WWWW[[#This Row],['#_Non-functional protected hand dug well]]</f>
        <v>1</v>
      </c>
      <c r="CI19" s="971">
        <f>(WWWW[[#This Row],['#_Constructed/Existing tube wells/boreholes/handpumps_WASH_agency]]+WWWW[[#This Row],['#_Non-Cluster partner water tube-wells/boreholes/handpumps]])-WWWW[[#This Row],['#_Non-functional tube wells/boreholes/handpumps]]</f>
        <v>0</v>
      </c>
      <c r="CJ19" s="971">
        <f>WWWW[[#This Row],['#_Constructed/Existingwater storage tank with gravity fed reticulation system]]-WWWW[[#This Row],['#_Non-functional storage tank gravity fed reticulation system]]</f>
        <v>2</v>
      </c>
      <c r="CK19" s="971">
        <f>(WWWW[[#This Row],['#_Water_Liters_supplied_by_Water boating or water trucking]]/90)/15</f>
        <v>0</v>
      </c>
      <c r="CL19" s="971">
        <f>WWWW[[#This Row],['#_Water_Liters_from_Constructed/Existing water distribution system from river or natural spring]]/90/15</f>
        <v>0</v>
      </c>
      <c r="CM19" s="421">
        <f>IF(WWWW[[#This Row],['#_of water points in TLS/CFS]]*500&gt;WWWW[[#This Row],[Total PoP ]],WWWW[[#This Row],[Total PoP ]],WWWW[[#This Row],['#_of water points in TLS/CFS]]*500)</f>
        <v>0</v>
      </c>
      <c r="CN19" s="421">
        <f>IF(WWWW[[#This Row],['#_of water points in THF]]*500&gt;WWWW[[#This Row],[Total PoP ]],WWWW[[#This Row],[Total PoP ]],WWWW[[#This Row],['#_of water points in THF]]*500)</f>
        <v>0</v>
      </c>
      <c r="CO19" s="421"/>
      <c r="CP1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 s="970">
        <f>IF(WWWW[[#This Row],[Location Type 1]]="Village",WWWW[[#This Row],[Access to safe drinking water for Village]],WWWW[[#This Row],[Access to safe drinking water for Camp]])</f>
        <v>1</v>
      </c>
      <c r="CS19" s="968">
        <f>WWWW[[#This Row],[%Equitable and continuous access to sufficient quantity of safe drinking water]]*WWWW[[#This Row],[Total PoP ]]</f>
        <v>70</v>
      </c>
      <c r="CT19" s="970">
        <f>IF((WWWW[[#This Row],['#_Constructed/Existing protected/fenced ponds]]*250)/WWWW[[#This Row],[Total PoP ]]&gt;1,1,(WWWW[[#This Row],['#_Constructed/Existing protected/fenced ponds]]*250)/WWWW[[#This Row],[Total PoP ]])</f>
        <v>1</v>
      </c>
      <c r="CU19" s="968">
        <f>WWWW[[#This Row],[% Access to unimproved water points]]*WWWW[[#This Row],[Total PoP ]]</f>
        <v>70</v>
      </c>
      <c r="CV1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X19" s="968">
        <f>WWWW[[#This Row],[HRP1]]/500</f>
        <v>0.14000000000000001</v>
      </c>
      <c r="CY19" s="973">
        <f>1-WWWW[[#This Row],[% Equitable and continuous access to sufficient quantity of domestic water]]</f>
        <v>0</v>
      </c>
      <c r="CZ19" s="968">
        <f>WWWW[[#This Row],[%equitable and continuous access to sufficient quantity of safe drinking and domestic water''s GAP]]*WWWW[[#This Row],[Total PoP ]]</f>
        <v>0</v>
      </c>
      <c r="DA19" s="971">
        <f>IF(WWWW[[#This Row],[Total required water points]]-WWWW[[#This Row],['#Water points coverage]]&lt;0,0,WWWW[[#This Row],[Total required water points]]-WWWW[[#This Row],['#Water points coverage]])</f>
        <v>0.86</v>
      </c>
      <c r="DB19" s="971">
        <f>ROUND(IF(WWWW[[#This Row],[Total PoP ]]&lt;500,1,WWWW[[#This Row],[Total PoP ]]/500),0)</f>
        <v>1</v>
      </c>
      <c r="DC19" s="971">
        <f>(WWWW[[#This Row],['#_Constructed latrines_by_WASHAgencies]]+WWWW[[#This Row],['#_Non Cluster partner latrines]])-WWWW[[#This Row],['#_Non-functional latrines]]</f>
        <v>3</v>
      </c>
      <c r="DD19" s="619">
        <f>WWWW[[#This Row],[HRP2]]/WWWW[[#This Row],[Total PoP ]]</f>
        <v>0.8571428571428571</v>
      </c>
      <c r="DE1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1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 s="421">
        <f>IF(WWWW[[#This Row],['# of functional latrines in THF supported by WASH partners during the reporting period2]]="",0,WWWW[[#This Row],['# of functional latrines in THF supported by WASH partners during the reporting period2]]*50)</f>
        <v>0</v>
      </c>
      <c r="DI19" s="971">
        <f>ROUND(IF(WWWW[[#This Row],[Location Type 1]]="camp",WWWW[[#This Row],[Total PoP ]]/20,IF(WWWW[[#This Row],[Location Type 1]]="Temporary Location",WWWW[[#This Row],[Total PoP ]]/50,(WWWW[[#This Row],[Total PoP ]]/6))),0)</f>
        <v>4</v>
      </c>
      <c r="DJ19" s="971">
        <f>IF(WWWW[[#This Row],[Total required Latrines]]-(WWWW[[#This Row],['#_Constructed latrines_by_WASHAgencies]]+WWWW[[#This Row],['#_Non Cluster partner latrines]])&lt;0,0,WWWW[[#This Row],[Total required Latrines]]-(WWWW[[#This Row],['#_Constructed latrines_by_WASHAgencies]]+WWWW[[#This Row],['#_Non Cluster partner latrines]]))</f>
        <v>0</v>
      </c>
      <c r="DK19" s="973">
        <f>1-WWWW[[#This Row],[% people access to functioning Latrine]]</f>
        <v>0.1428571428571429</v>
      </c>
      <c r="DL19" s="972">
        <f>IF(OR(WWWW[[#This Row],['#_Non-functional latrines]]="",WWWW[[#This Row],['#_Non-functional latrines]]=0),0,WWWW[[#This Row],['#_Non-functional latrines]]/(WWWW[[#This Row],['#_Constructed latrines_by_WASHAgencies]]+WWWW[[#This Row],['#_Non Cluster partner latrines]]))</f>
        <v>0.4</v>
      </c>
      <c r="DM19" s="968">
        <f>IF(500*(WWWW[[#This Row],['#_male hygiene promoters]]+WWWW[[#This Row],['#_female hygiene promoters]])&gt;WWWW[[#This Row],[Total PoP ]],WWWW[[#This Row],[Total PoP ]],500*(WWWW[[#This Row],['#_male hygiene promoters]]+WWWW[[#This Row],['#_female hygiene promoters]]))</f>
        <v>70</v>
      </c>
      <c r="DN1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O1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P19" s="971">
        <f>IF(WWWW[[#This Row],['# People with access to soap]]&gt;WWWW[[#This Row],['# People with access to Sanity Pads]],WWWW[[#This Row],['# People with access to soap]],WWWW[[#This Row],['# People with access to Sanity Pads]])</f>
        <v>70</v>
      </c>
      <c r="DQ19" s="971">
        <f>IF(WWWW[[#This Row],['# people reached by regular dedicated hygiene promotion_5]]&gt;WWWW[[#This Row],['# People received regular supply of hygiene items_6]],WWWW[[#This Row],['# people reached by regular dedicated hygiene promotion_5]],WWWW[[#This Row],['# People received regular supply of hygiene items_6]])</f>
        <v>70</v>
      </c>
      <c r="DR19" s="973">
        <f>IF(WWWW[[#This Row],[HRP3]]/WWWW[[#This Row],[Total PoP ]]&gt;1,1,WWWW[[#This Row],[HRP3]]/WWWW[[#This Row],[Total PoP ]])</f>
        <v>1</v>
      </c>
      <c r="DS19" s="972">
        <f>1-WWWW[[#This Row],[Hygiene Coverage%]]</f>
        <v>0</v>
      </c>
      <c r="DT19" s="970">
        <f>WWWW[[#This Row],['# people reached by regular dedicated hygiene promotion_5]]/WWWW[[#This Row],[Total PoP ]]</f>
        <v>1</v>
      </c>
      <c r="DU1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9" s="971">
        <f>WWWW[[#This Row],['#_Constructed/Existing hand washing stations]]-WWWW[[#This Row],['#_Non-Functional_hand_washing_stations]]</f>
        <v>3</v>
      </c>
      <c r="DX19" s="968">
        <f>IF(WWWW[[#This Row],['# Functional hand washing stations during reporting period]]*20&gt;WWWW[[#This Row],[Total HH]],WWWW[[#This Row],[Total HH]],WWWW[[#This Row],['# Functional hand washing stations during reporting period]]*20)</f>
        <v>13</v>
      </c>
      <c r="DY19" s="968">
        <f>IF(WWWW[[#This Row],[Is sufficient soap available for TLS? (Yes/No)]]="yes",WWWW[[#This Row],['#_Constructed/Existing hand washing stations at TLS/CFS/THF]],0)</f>
        <v>0</v>
      </c>
      <c r="DZ19" s="425">
        <f>IF(WWWW[[#This Row],['# Functional hand washing stations during reporting period]]*100&gt;WWWW[[#This Row],[Total PoP ]],WWWW[[#This Row],[Total PoP ]],WWWW[[#This Row],['# Functional hand washing stations during reporting period]]*100)</f>
        <v>70</v>
      </c>
      <c r="EA19" s="425" t="str">
        <f>IF(OR(WWWW[[#This Row],['#_students at TLS_CFS]]="",WWWW[[#This Row],['#_students at TLS_CFS]]=0),"No","Yes")</f>
        <v>Yes</v>
      </c>
      <c r="EB1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 s="570">
        <f>WWWW[[#This Row],[%_of_affected_people_surveyed_who_report_feeling_satistfied_with_the_latrine_design_and_sanitation_service]]*WWWW[[#This Row],[Total PoP ]]</f>
        <v>35</v>
      </c>
      <c r="ED19" s="570">
        <f>WWWW[[#This Row],[%_of_affected_people_surveyed_who_report_feeling_satistfied_with_the_water_point_design_and_water_service]]*WWWW[[#This Row],[Total PoP ]]</f>
        <v>35</v>
      </c>
      <c r="EE19" s="570">
        <f>WWWW[[#This Row],[%_of_complaints_received_that_result_in_timely_corrective_action_and_feedback_to_the_community]]*WWWW[[#This Row],[Total PoP ]]</f>
        <v>35</v>
      </c>
      <c r="EF1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35</v>
      </c>
      <c r="EG1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 s="964" t="str">
        <f>VLOOKUP(WWWW[[#This Row],[Site Name]],SiteDB6[[Site Name]:[CCCM Management]],6,FALSE)</f>
        <v>Yes</v>
      </c>
      <c r="EJ19" s="964" t="str">
        <f>VLOOKUP(WWWW[[#This Row],[Site Name]],SiteDB6[[Site Name]:[CCCM Focal Agency]],7,FALSE)</f>
        <v>Shalom</v>
      </c>
      <c r="EK19" s="964" t="str">
        <f>VLOOKUP(WWWW[[#This Row],[Site Name]],SiteDB6[[Site Name]:[Location Type 1]],9,FALSE)</f>
        <v>Camp</v>
      </c>
      <c r="EL19" s="964" t="str">
        <f>VLOOKUP(WWWW[[#This Row],[Site Name]],SiteDB6[[Site Name]:[Type of Accommodation]],10,FALSE)</f>
        <v>Camp</v>
      </c>
      <c r="EM19" s="964" t="str">
        <f>VLOOKUP(WWWW[[#This Row],[Site Name]],SiteDB6[[Site Name]:[Ethnic or GCA/NGCA]],11,FALSE)</f>
        <v>GCA</v>
      </c>
      <c r="EN19" s="964">
        <f>VLOOKUP(WWWW[[#This Row],[Site Name]],SiteDB6[[Site Name]:[Lat]],12,FALSE)</f>
        <v>25.616509000000001</v>
      </c>
      <c r="EO19" s="964">
        <f>VLOOKUP(WWWW[[#This Row],[Site Name]],SiteDB6[[Site Name]:[Long]],13,FALSE)</f>
        <v>96.317350000000005</v>
      </c>
      <c r="EP19" s="964" t="str">
        <f>VLOOKUP(WWWW[[#This Row],[Site Name]],SiteDB6[[Site Name]:[Pcode]],3,FALSE)</f>
        <v>MMR001CMP190</v>
      </c>
      <c r="EQ19" s="969" t="str">
        <f t="shared" si="1"/>
        <v>Covered</v>
      </c>
      <c r="ER19" s="969" t="s">
        <v>3147</v>
      </c>
      <c r="ES19" s="964">
        <f>VLOOKUP(WWWW[[#This Row],[Site Name]],SiteDB6[[Site Name]:[Pop
(Kachin/Shan-CCCM as of March 2023)]],16,FALSE)</f>
        <v>16</v>
      </c>
      <c r="ET19" s="964">
        <f>VLOOKUP(WWWW[[#This Row],[Site Name]],SiteDB6[[Site Name]:[Pop
(Kachin/Shan-CCCM as of March 2023)]],17,FALSE)</f>
        <v>78</v>
      </c>
    </row>
    <row r="20" spans="1:150" hidden="1">
      <c r="A20" s="962" t="s">
        <v>2977</v>
      </c>
      <c r="B20" s="962" t="s">
        <v>36</v>
      </c>
      <c r="C20" s="963" t="s">
        <v>36</v>
      </c>
      <c r="D20" s="963" t="s">
        <v>241</v>
      </c>
      <c r="E20" s="963" t="s">
        <v>37</v>
      </c>
      <c r="F20" s="963" t="s">
        <v>142</v>
      </c>
      <c r="G20" s="964" t="str">
        <f>VLOOKUP(WWWW[[#This Row],[Site Name]],SiteDB6[[Site Name]:[Location Type]],8,FALSE)</f>
        <v>Camp</v>
      </c>
      <c r="H20" s="963" t="s">
        <v>236</v>
      </c>
      <c r="I20" s="965">
        <v>115</v>
      </c>
      <c r="J20" s="965">
        <v>405</v>
      </c>
      <c r="K20" s="966">
        <v>44973</v>
      </c>
      <c r="L20" s="967">
        <v>45337</v>
      </c>
      <c r="M20" s="965"/>
      <c r="N20" s="965">
        <v>3</v>
      </c>
      <c r="O20" s="965"/>
      <c r="P20" s="965"/>
      <c r="Q20" s="968" t="s">
        <v>41</v>
      </c>
      <c r="R20" s="965">
        <v>4</v>
      </c>
      <c r="S20" s="965">
        <v>3</v>
      </c>
      <c r="T20" s="445">
        <v>3</v>
      </c>
      <c r="U20" s="965"/>
      <c r="V20" s="965"/>
      <c r="W20" s="965">
        <v>2</v>
      </c>
      <c r="X20" s="965"/>
      <c r="Y20" s="965"/>
      <c r="Z20" s="965"/>
      <c r="AA20" s="965">
        <v>1</v>
      </c>
      <c r="AB20" s="965"/>
      <c r="AC20" s="965"/>
      <c r="AD20" s="965"/>
      <c r="AE20" s="965"/>
      <c r="AF20" s="965"/>
      <c r="AG20" s="965"/>
      <c r="AH20" s="965"/>
      <c r="AI20" s="965"/>
      <c r="AJ20" s="965"/>
      <c r="AK20" s="965"/>
      <c r="AL20" s="965"/>
      <c r="AM20" s="965">
        <v>4</v>
      </c>
      <c r="AN20" s="965"/>
      <c r="AO20" s="445"/>
      <c r="AP20" s="969"/>
      <c r="AQ20" s="965">
        <v>90</v>
      </c>
      <c r="AR20" s="965"/>
      <c r="AS20" s="970"/>
      <c r="AT20" s="965"/>
      <c r="AU20" s="965"/>
      <c r="AV20" s="965"/>
      <c r="AW20" s="965"/>
      <c r="AX20" s="965"/>
      <c r="AY20" s="964" t="s">
        <v>41</v>
      </c>
      <c r="AZ20" s="969" t="s">
        <v>137</v>
      </c>
      <c r="BA20" s="965"/>
      <c r="BB20" s="965"/>
      <c r="BC20" s="965"/>
      <c r="BD20" s="445"/>
      <c r="BE20" s="445"/>
      <c r="BF20" s="964"/>
      <c r="BG20" s="965">
        <v>2</v>
      </c>
      <c r="BH20" s="965"/>
      <c r="BI20" s="965"/>
      <c r="BJ20" s="965">
        <v>3</v>
      </c>
      <c r="BK20" s="965"/>
      <c r="BL20" s="965"/>
      <c r="BM20" s="965">
        <v>2</v>
      </c>
      <c r="BN20" s="965"/>
      <c r="BO20" s="965"/>
      <c r="BP20" s="964" t="s">
        <v>41</v>
      </c>
      <c r="BQ20" s="971">
        <v>1</v>
      </c>
      <c r="BR20" s="970"/>
      <c r="BS20" s="1013" t="s">
        <v>3153</v>
      </c>
      <c r="BT20" s="420"/>
      <c r="BU20" s="420"/>
      <c r="BV20" s="422"/>
      <c r="BW20" s="420"/>
      <c r="BX20" s="445"/>
      <c r="BY20" s="445"/>
      <c r="BZ20" s="445"/>
      <c r="CA20" s="445"/>
      <c r="CB20" s="445"/>
      <c r="CC20" s="702"/>
      <c r="CD20" s="445"/>
      <c r="CE20" s="972" t="str">
        <f>IFERROR(WWWW[[#This Row],['#_Water sources passed]]/WWWW[[#This Row],['#_Water sources tested for fecal coliform ]],"no test")</f>
        <v>no test</v>
      </c>
      <c r="CF20" s="970" t="str">
        <f>IFERROR(WWWW[[#This Row],['#_Household passed]]/WWWW[[#This Row],['#_Household water samples tested for fecal coliform]],"no test")</f>
        <v>no test</v>
      </c>
      <c r="CG20" s="971" t="str">
        <f>IF(AND(WWWW[[#This Row],[% of water sources passed]]="no test",WWWW[[#This Row],[% Household passed]]="no test"),"No Test","Tested")</f>
        <v>No Test</v>
      </c>
      <c r="CH20" s="971">
        <f>WWWW[[#This Row],['#_Constructed/existing protected hand dug well]]-WWWW[[#This Row],['#_Non-functional protected hand dug well]]</f>
        <v>3</v>
      </c>
      <c r="CI20" s="971">
        <f>(WWWW[[#This Row],['#_Constructed/Existing tube wells/boreholes/handpumps_WASH_agency]]+WWWW[[#This Row],['#_Non-Cluster partner water tube-wells/boreholes/handpumps]])-WWWW[[#This Row],['#_Non-functional tube wells/boreholes/handpumps]]</f>
        <v>2</v>
      </c>
      <c r="CJ20" s="971">
        <f>WWWW[[#This Row],['#_Constructed/Existingwater storage tank with gravity fed reticulation system]]-WWWW[[#This Row],['#_Non-functional storage tank gravity fed reticulation system]]</f>
        <v>1</v>
      </c>
      <c r="CK20" s="971">
        <f>(WWWW[[#This Row],['#_Water_Liters_supplied_by_Water boating or water trucking]]/90)/15</f>
        <v>0</v>
      </c>
      <c r="CL20" s="971">
        <f>WWWW[[#This Row],['#_Water_Liters_from_Constructed/Existing water distribution system from river or natural spring]]/90/15</f>
        <v>0</v>
      </c>
      <c r="CM20" s="421">
        <f>IF(WWWW[[#This Row],['#_of water points in TLS/CFS]]*500&gt;WWWW[[#This Row],[Total PoP ]],WWWW[[#This Row],[Total PoP ]],WWWW[[#This Row],['#_of water points in TLS/CFS]]*500)</f>
        <v>0</v>
      </c>
      <c r="CN20" s="421">
        <f>IF(WWWW[[#This Row],['#_of water points in THF]]*500&gt;WWWW[[#This Row],[Total PoP ]],WWWW[[#This Row],[Total PoP ]],WWWW[[#This Row],['#_of water points in THF]]*500)</f>
        <v>0</v>
      </c>
      <c r="CO20" s="421"/>
      <c r="CP2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 s="970">
        <f>IF(WWWW[[#This Row],[Location Type 1]]="Village",WWWW[[#This Row],[Access to safe drinking water for Village]],WWWW[[#This Row],[Access to safe drinking water for Camp]])</f>
        <v>1</v>
      </c>
      <c r="CS20" s="968">
        <f>WWWW[[#This Row],[%Equitable and continuous access to sufficient quantity of safe drinking water]]*WWWW[[#This Row],[Total PoP ]]</f>
        <v>405</v>
      </c>
      <c r="CT20" s="970">
        <f>IF((WWWW[[#This Row],['#_Constructed/Existing protected/fenced ponds]]*250)/WWWW[[#This Row],[Total PoP ]]&gt;1,1,(WWWW[[#This Row],['#_Constructed/Existing protected/fenced ponds]]*250)/WWWW[[#This Row],[Total PoP ]])</f>
        <v>0</v>
      </c>
      <c r="CU20" s="968">
        <f>WWWW[[#This Row],[% Access to unimproved water points]]*WWWW[[#This Row],[Total PoP ]]</f>
        <v>0</v>
      </c>
      <c r="CV2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405</v>
      </c>
      <c r="CX20" s="968">
        <f>WWWW[[#This Row],[HRP1]]/500</f>
        <v>0.81</v>
      </c>
      <c r="CY20" s="973">
        <f>1-WWWW[[#This Row],[% Equitable and continuous access to sufficient quantity of domestic water]]</f>
        <v>0</v>
      </c>
      <c r="CZ20" s="968">
        <f>WWWW[[#This Row],[%equitable and continuous access to sufficient quantity of safe drinking and domestic water''s GAP]]*WWWW[[#This Row],[Total PoP ]]</f>
        <v>0</v>
      </c>
      <c r="DA20" s="971">
        <f>IF(WWWW[[#This Row],[Total required water points]]-WWWW[[#This Row],['#Water points coverage]]&lt;0,0,WWWW[[#This Row],[Total required water points]]-WWWW[[#This Row],['#Water points coverage]])</f>
        <v>0.18999999999999995</v>
      </c>
      <c r="DB20" s="971">
        <f>ROUND(IF(WWWW[[#This Row],[Total PoP ]]&lt;500,1,WWWW[[#This Row],[Total PoP ]]/500),0)</f>
        <v>1</v>
      </c>
      <c r="DC20" s="971">
        <f>(WWWW[[#This Row],['#_Constructed latrines_by_WASHAgencies]]+WWWW[[#This Row],['#_Non Cluster partner latrines]])-WWWW[[#This Row],['#_Non-functional latrines]]</f>
        <v>90</v>
      </c>
      <c r="DD20" s="619">
        <f>WWWW[[#This Row],[HRP2]]/WWWW[[#This Row],[Total PoP ]]</f>
        <v>1</v>
      </c>
      <c r="DE2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405</v>
      </c>
      <c r="DF2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 s="421">
        <f>IF(WWWW[[#This Row],['# of functional latrines in THF supported by WASH partners during the reporting period2]]="",0,WWWW[[#This Row],['# of functional latrines in THF supported by WASH partners during the reporting period2]]*50)</f>
        <v>0</v>
      </c>
      <c r="DI20" s="971">
        <f>ROUND(IF(WWWW[[#This Row],[Location Type 1]]="camp",WWWW[[#This Row],[Total PoP ]]/20,IF(WWWW[[#This Row],[Location Type 1]]="Temporary Location",WWWW[[#This Row],[Total PoP ]]/50,(WWWW[[#This Row],[Total PoP ]]/6))),0)</f>
        <v>20</v>
      </c>
      <c r="DJ20" s="971">
        <f>IF(WWWW[[#This Row],[Total required Latrines]]-(WWWW[[#This Row],['#_Constructed latrines_by_WASHAgencies]]+WWWW[[#This Row],['#_Non Cluster partner latrines]])&lt;0,0,WWWW[[#This Row],[Total required Latrines]]-(WWWW[[#This Row],['#_Constructed latrines_by_WASHAgencies]]+WWWW[[#This Row],['#_Non Cluster partner latrines]]))</f>
        <v>0</v>
      </c>
      <c r="DK20" s="973">
        <f>1-WWWW[[#This Row],[% people access to functioning Latrine]]</f>
        <v>0</v>
      </c>
      <c r="DL20" s="972">
        <f>IF(OR(WWWW[[#This Row],['#_Non-functional latrines]]="",WWWW[[#This Row],['#_Non-functional latrines]]=0),0,WWWW[[#This Row],['#_Non-functional latrines]]/(WWWW[[#This Row],['#_Constructed latrines_by_WASHAgencies]]+WWWW[[#This Row],['#_Non Cluster partner latrines]]))</f>
        <v>0</v>
      </c>
      <c r="DM20" s="968">
        <f>IF(500*(WWWW[[#This Row],['#_male hygiene promoters]]+WWWW[[#This Row],['#_female hygiene promoters]])&gt;WWWW[[#This Row],[Total PoP ]],WWWW[[#This Row],[Total PoP ]],500*(WWWW[[#This Row],['#_male hygiene promoters]]+WWWW[[#This Row],['#_female hygiene promoters]]))</f>
        <v>405</v>
      </c>
      <c r="DN2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 s="971">
        <f>IF(WWWW[[#This Row],['# People with access to soap]]&gt;WWWW[[#This Row],['# People with access to Sanity Pads]],WWWW[[#This Row],['# People with access to soap]],WWWW[[#This Row],['# People with access to Sanity Pads]])</f>
        <v>0</v>
      </c>
      <c r="DQ20" s="971">
        <f>IF(WWWW[[#This Row],['# people reached by regular dedicated hygiene promotion_5]]&gt;WWWW[[#This Row],['# People received regular supply of hygiene items_6]],WWWW[[#This Row],['# people reached by regular dedicated hygiene promotion_5]],WWWW[[#This Row],['# People received regular supply of hygiene items_6]])</f>
        <v>405</v>
      </c>
      <c r="DR20" s="973">
        <f>IF(WWWW[[#This Row],[HRP3]]/WWWW[[#This Row],[Total PoP ]]&gt;1,1,WWWW[[#This Row],[HRP3]]/WWWW[[#This Row],[Total PoP ]])</f>
        <v>1</v>
      </c>
      <c r="DS20" s="972">
        <f>1-WWWW[[#This Row],[Hygiene Coverage%]]</f>
        <v>0</v>
      </c>
      <c r="DT20" s="970">
        <f>WWWW[[#This Row],['# people reached by regular dedicated hygiene promotion_5]]/WWWW[[#This Row],[Total PoP ]]</f>
        <v>1</v>
      </c>
      <c r="DU2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 s="971">
        <f>WWWW[[#This Row],['#_Constructed/Existing hand washing stations]]-WWWW[[#This Row],['#_Non-Functional_hand_washing_stations]]</f>
        <v>2</v>
      </c>
      <c r="DX20" s="968">
        <f>IF(WWWW[[#This Row],['# Functional hand washing stations during reporting period]]*20&gt;WWWW[[#This Row],[Total HH]],WWWW[[#This Row],[Total HH]],WWWW[[#This Row],['# Functional hand washing stations during reporting period]]*20)</f>
        <v>40</v>
      </c>
      <c r="DY20" s="968">
        <f>IF(WWWW[[#This Row],[Is sufficient soap available for TLS? (Yes/No)]]="yes",WWWW[[#This Row],['#_Constructed/Existing hand washing stations at TLS/CFS/THF]],0)</f>
        <v>4</v>
      </c>
      <c r="DZ20" s="425">
        <f>IF(WWWW[[#This Row],['# Functional hand washing stations during reporting period]]*100&gt;WWWW[[#This Row],[Total PoP ]],WWWW[[#This Row],[Total PoP ]],WWWW[[#This Row],['# Functional hand washing stations during reporting period]]*100)</f>
        <v>200</v>
      </c>
      <c r="EA20" s="425" t="str">
        <f>IF(OR(WWWW[[#This Row],['#_students at TLS_CFS]]="",WWWW[[#This Row],['#_students at TLS_CFS]]=0),"No","Yes")</f>
        <v>No</v>
      </c>
      <c r="EB2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 s="570">
        <f>WWWW[[#This Row],[%_of_affected_people_surveyed_who_report_feeling_satistfied_with_the_latrine_design_and_sanitation_service]]*WWWW[[#This Row],[Total PoP ]]</f>
        <v>0</v>
      </c>
      <c r="ED20" s="570">
        <f>WWWW[[#This Row],[%_of_affected_people_surveyed_who_report_feeling_satistfied_with_the_water_point_design_and_water_service]]*WWWW[[#This Row],[Total PoP ]]</f>
        <v>0</v>
      </c>
      <c r="EE20" s="570">
        <f>WWWW[[#This Row],[%_of_complaints_received_that_result_in_timely_corrective_action_and_feedback_to_the_community]]*WWWW[[#This Row],[Total PoP ]]</f>
        <v>0</v>
      </c>
      <c r="EF2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 s="964" t="str">
        <f>VLOOKUP(WWWW[[#This Row],[Site Name]],SiteDB6[[Site Name]:[CCCM Management]],6,FALSE)</f>
        <v>Yes</v>
      </c>
      <c r="EJ20" s="964" t="str">
        <f>VLOOKUP(WWWW[[#This Row],[Site Name]],SiteDB6[[Site Name]:[CCCM Focal Agency]],7,FALSE)</f>
        <v>KMSS-MYT</v>
      </c>
      <c r="EK20" s="964" t="str">
        <f>VLOOKUP(WWWW[[#This Row],[Site Name]],SiteDB6[[Site Name]:[Location Type 1]],9,FALSE)</f>
        <v>Camp</v>
      </c>
      <c r="EL20" s="964" t="str">
        <f>VLOOKUP(WWWW[[#This Row],[Site Name]],SiteDB6[[Site Name]:[Type of Accommodation]],10,FALSE)</f>
        <v>Camp</v>
      </c>
      <c r="EM20" s="964" t="str">
        <f>VLOOKUP(WWWW[[#This Row],[Site Name]],SiteDB6[[Site Name]:[Ethnic or GCA/NGCA]],11,FALSE)</f>
        <v>NGCA</v>
      </c>
      <c r="EN20" s="964">
        <f>VLOOKUP(WWWW[[#This Row],[Site Name]],SiteDB6[[Site Name]:[Lat]],12,FALSE)</f>
        <v>25.220278</v>
      </c>
      <c r="EO20" s="964">
        <f>VLOOKUP(WWWW[[#This Row],[Site Name]],SiteDB6[[Site Name]:[Long]],13,FALSE)</f>
        <v>97.915833000000006</v>
      </c>
      <c r="EP20" s="964" t="str">
        <f>VLOOKUP(WWWW[[#This Row],[Site Name]],SiteDB6[[Site Name]:[Pcode]],3,FALSE)</f>
        <v>MMR001CMP113</v>
      </c>
      <c r="EQ20" s="969" t="str">
        <f t="shared" si="1"/>
        <v>Covered</v>
      </c>
      <c r="ER20" s="969" t="s">
        <v>3147</v>
      </c>
      <c r="ES20" s="964">
        <f>VLOOKUP(WWWW[[#This Row],[Site Name]],SiteDB6[[Site Name]:[Pop
(Kachin/Shan-CCCM as of March 2023)]],16,FALSE)</f>
        <v>115</v>
      </c>
      <c r="ET20" s="964">
        <f>VLOOKUP(WWWW[[#This Row],[Site Name]],SiteDB6[[Site Name]:[Pop
(Kachin/Shan-CCCM as of March 2023)]],17,FALSE)</f>
        <v>405</v>
      </c>
    </row>
    <row r="21" spans="1:150" hidden="1">
      <c r="A21" s="962" t="s">
        <v>2977</v>
      </c>
      <c r="B21" s="962" t="s">
        <v>2649</v>
      </c>
      <c r="C21" s="963" t="s">
        <v>2649</v>
      </c>
      <c r="D21" s="963" t="s">
        <v>2652</v>
      </c>
      <c r="E21" s="963" t="s">
        <v>37</v>
      </c>
      <c r="F21" s="963" t="s">
        <v>142</v>
      </c>
      <c r="G21" s="964" t="str">
        <f>VLOOKUP(WWWW[[#This Row],[Site Name]],SiteDB6[[Site Name]:[Location Type]],8,FALSE)</f>
        <v>Camp</v>
      </c>
      <c r="H21" s="963" t="s">
        <v>771</v>
      </c>
      <c r="I21" s="965">
        <v>64</v>
      </c>
      <c r="J21" s="965">
        <v>381</v>
      </c>
      <c r="K21" s="966">
        <v>44562</v>
      </c>
      <c r="L21" s="967">
        <v>44926</v>
      </c>
      <c r="M21" s="965"/>
      <c r="N21" s="965"/>
      <c r="O21" s="965"/>
      <c r="P21" s="965"/>
      <c r="Q21" s="968" t="s">
        <v>41</v>
      </c>
      <c r="R21" s="965">
        <v>3</v>
      </c>
      <c r="S21" s="965">
        <v>8</v>
      </c>
      <c r="T21" s="445">
        <v>1</v>
      </c>
      <c r="U21" s="965"/>
      <c r="V21" s="965"/>
      <c r="W21" s="965">
        <v>2</v>
      </c>
      <c r="X21" s="965"/>
      <c r="Y21" s="965"/>
      <c r="Z21" s="965"/>
      <c r="AA21" s="965">
        <v>1</v>
      </c>
      <c r="AB21" s="965"/>
      <c r="AC21" s="965"/>
      <c r="AD21" s="965"/>
      <c r="AE21" s="965"/>
      <c r="AF21" s="965"/>
      <c r="AG21" s="965">
        <v>1</v>
      </c>
      <c r="AH21" s="965">
        <v>10</v>
      </c>
      <c r="AI21" s="965"/>
      <c r="AJ21" s="965"/>
      <c r="AK21" s="965"/>
      <c r="AL21" s="965"/>
      <c r="AM21" s="965"/>
      <c r="AN21" s="965"/>
      <c r="AO21" s="445"/>
      <c r="AP21" s="969"/>
      <c r="AQ21" s="965">
        <v>8</v>
      </c>
      <c r="AR21" s="965"/>
      <c r="AS21" s="970"/>
      <c r="AT21" s="965"/>
      <c r="AU21" s="965"/>
      <c r="AV21" s="965"/>
      <c r="AW21" s="965"/>
      <c r="AX21" s="965"/>
      <c r="AY21" s="964" t="s">
        <v>41</v>
      </c>
      <c r="AZ21" s="969" t="s">
        <v>137</v>
      </c>
      <c r="BA21" s="965"/>
      <c r="BB21" s="965">
        <v>2</v>
      </c>
      <c r="BC21" s="965"/>
      <c r="BD21" s="445"/>
      <c r="BE21" s="445">
        <v>4</v>
      </c>
      <c r="BF21" s="964"/>
      <c r="BG21" s="965">
        <v>3</v>
      </c>
      <c r="BH21" s="965"/>
      <c r="BI21" s="965">
        <v>2</v>
      </c>
      <c r="BJ21" s="965">
        <v>2</v>
      </c>
      <c r="BK21" s="965"/>
      <c r="BL21" s="965"/>
      <c r="BM21" s="965">
        <v>1</v>
      </c>
      <c r="BN21" s="965"/>
      <c r="BO21" s="965"/>
      <c r="BP21" s="964" t="s">
        <v>136</v>
      </c>
      <c r="BQ21" s="971"/>
      <c r="BR21" s="970"/>
      <c r="BS21" s="964"/>
      <c r="BT21" s="420"/>
      <c r="BU21" s="420"/>
      <c r="BV21" s="422"/>
      <c r="BW21" s="420"/>
      <c r="BX21" s="445"/>
      <c r="BY21" s="445"/>
      <c r="BZ21" s="445"/>
      <c r="CA21" s="445"/>
      <c r="CB21" s="445"/>
      <c r="CC21" s="702"/>
      <c r="CD21" s="445"/>
      <c r="CE21" s="972" t="str">
        <f>IFERROR(WWWW[[#This Row],['#_Water sources passed]]/WWWW[[#This Row],['#_Water sources tested for fecal coliform ]],"no test")</f>
        <v>no test</v>
      </c>
      <c r="CF21" s="970" t="str">
        <f>IFERROR(WWWW[[#This Row],['#_Household passed]]/WWWW[[#This Row],['#_Household water samples tested for fecal coliform]],"no test")</f>
        <v>no test</v>
      </c>
      <c r="CG21" s="971" t="str">
        <f>IF(AND(WWWW[[#This Row],[% of water sources passed]]="no test",WWWW[[#This Row],[% Household passed]]="no test"),"No Test","Tested")</f>
        <v>No Test</v>
      </c>
      <c r="CH21" s="971">
        <f>WWWW[[#This Row],['#_Constructed/existing protected hand dug well]]-WWWW[[#This Row],['#_Non-functional protected hand dug well]]</f>
        <v>1</v>
      </c>
      <c r="CI21" s="971">
        <f>(WWWW[[#This Row],['#_Constructed/Existing tube wells/boreholes/handpumps_WASH_agency]]+WWWW[[#This Row],['#_Non-Cluster partner water tube-wells/boreholes/handpumps]])-WWWW[[#This Row],['#_Non-functional tube wells/boreholes/handpumps]]</f>
        <v>2</v>
      </c>
      <c r="CJ21" s="971">
        <f>WWWW[[#This Row],['#_Constructed/Existingwater storage tank with gravity fed reticulation system]]-WWWW[[#This Row],['#_Non-functional storage tank gravity fed reticulation system]]</f>
        <v>1</v>
      </c>
      <c r="CK21" s="971">
        <f>(WWWW[[#This Row],['#_Water_Liters_supplied_by_Water boating or water trucking]]/90)/15</f>
        <v>0</v>
      </c>
      <c r="CL21" s="971">
        <f>WWWW[[#This Row],['#_Water_Liters_from_Constructed/Existing water distribution system from river or natural spring]]/90/15</f>
        <v>0</v>
      </c>
      <c r="CM21" s="421">
        <f>IF(WWWW[[#This Row],['#_of water points in TLS/CFS]]*500&gt;WWWW[[#This Row],[Total PoP ]],WWWW[[#This Row],[Total PoP ]],WWWW[[#This Row],['#_of water points in TLS/CFS]]*500)</f>
        <v>0</v>
      </c>
      <c r="CN21" s="421">
        <f>IF(WWWW[[#This Row],['#_of water points in THF]]*500&gt;WWWW[[#This Row],[Total PoP ]],WWWW[[#This Row],[Total PoP ]],WWWW[[#This Row],['#_of water points in THF]]*500)</f>
        <v>0</v>
      </c>
      <c r="CO21" s="421"/>
      <c r="CP2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 s="970">
        <f>IF(WWWW[[#This Row],[Location Type 1]]="Village",WWWW[[#This Row],[Access to safe drinking water for Village]],WWWW[[#This Row],[Access to safe drinking water for Camp]])</f>
        <v>1</v>
      </c>
      <c r="CS21" s="968">
        <f>WWWW[[#This Row],[%Equitable and continuous access to sufficient quantity of safe drinking water]]*WWWW[[#This Row],[Total PoP ]]</f>
        <v>381</v>
      </c>
      <c r="CT21" s="970">
        <f>IF((WWWW[[#This Row],['#_Constructed/Existing protected/fenced ponds]]*250)/WWWW[[#This Row],[Total PoP ]]&gt;1,1,(WWWW[[#This Row],['#_Constructed/Existing protected/fenced ponds]]*250)/WWWW[[#This Row],[Total PoP ]])</f>
        <v>0</v>
      </c>
      <c r="CU21" s="968">
        <f>WWWW[[#This Row],[% Access to unimproved water points]]*WWWW[[#This Row],[Total PoP ]]</f>
        <v>0</v>
      </c>
      <c r="CV2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X21" s="968">
        <f>WWWW[[#This Row],[HRP1]]/500</f>
        <v>0.76200000000000001</v>
      </c>
      <c r="CY21" s="973">
        <f>1-WWWW[[#This Row],[% Equitable and continuous access to sufficient quantity of domestic water]]</f>
        <v>0</v>
      </c>
      <c r="CZ21" s="968">
        <f>WWWW[[#This Row],[%equitable and continuous access to sufficient quantity of safe drinking and domestic water''s GAP]]*WWWW[[#This Row],[Total PoP ]]</f>
        <v>0</v>
      </c>
      <c r="DA21" s="971">
        <f>IF(WWWW[[#This Row],[Total required water points]]-WWWW[[#This Row],['#Water points coverage]]&lt;0,0,WWWW[[#This Row],[Total required water points]]-WWWW[[#This Row],['#Water points coverage]])</f>
        <v>0.23799999999999999</v>
      </c>
      <c r="DB21" s="971">
        <f>ROUND(IF(WWWW[[#This Row],[Total PoP ]]&lt;500,1,WWWW[[#This Row],[Total PoP ]]/500),0)</f>
        <v>1</v>
      </c>
      <c r="DC21" s="971">
        <f>(WWWW[[#This Row],['#_Constructed latrines_by_WASHAgencies]]+WWWW[[#This Row],['#_Non Cluster partner latrines]])-WWWW[[#This Row],['#_Non-functional latrines]]</f>
        <v>8</v>
      </c>
      <c r="DD21" s="619">
        <f>WWWW[[#This Row],[HRP2]]/WWWW[[#This Row],[Total PoP ]]</f>
        <v>0.43044619422572178</v>
      </c>
      <c r="DE2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164</v>
      </c>
      <c r="DF2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 s="421">
        <f>IF(WWWW[[#This Row],['# of functional latrines in THF supported by WASH partners during the reporting period2]]="",0,WWWW[[#This Row],['# of functional latrines in THF supported by WASH partners during the reporting period2]]*50)</f>
        <v>0</v>
      </c>
      <c r="DI21" s="971">
        <f>ROUND(IF(WWWW[[#This Row],[Location Type 1]]="camp",WWWW[[#This Row],[Total PoP ]]/20,IF(WWWW[[#This Row],[Location Type 1]]="Temporary Location",WWWW[[#This Row],[Total PoP ]]/50,(WWWW[[#This Row],[Total PoP ]]/6))),0)</f>
        <v>19</v>
      </c>
      <c r="DJ21" s="971">
        <f>IF(WWWW[[#This Row],[Total required Latrines]]-(WWWW[[#This Row],['#_Constructed latrines_by_WASHAgencies]]+WWWW[[#This Row],['#_Non Cluster partner latrines]])&lt;0,0,WWWW[[#This Row],[Total required Latrines]]-(WWWW[[#This Row],['#_Constructed latrines_by_WASHAgencies]]+WWWW[[#This Row],['#_Non Cluster partner latrines]]))</f>
        <v>11</v>
      </c>
      <c r="DK21" s="973">
        <f>1-WWWW[[#This Row],[% people access to functioning Latrine]]</f>
        <v>0.56955380577427817</v>
      </c>
      <c r="DL21" s="972">
        <f>IF(OR(WWWW[[#This Row],['#_Non-functional latrines]]="",WWWW[[#This Row],['#_Non-functional latrines]]=0),0,WWWW[[#This Row],['#_Non-functional latrines]]/(WWWW[[#This Row],['#_Constructed latrines_by_WASHAgencies]]+WWWW[[#This Row],['#_Non Cluster partner latrines]]))</f>
        <v>0</v>
      </c>
      <c r="DM21" s="968">
        <f>IF(500*(WWWW[[#This Row],['#_male hygiene promoters]]+WWWW[[#This Row],['#_female hygiene promoters]])&gt;WWWW[[#This Row],[Total PoP ]],WWWW[[#This Row],[Total PoP ]],500*(WWWW[[#This Row],['#_male hygiene promoters]]+WWWW[[#This Row],['#_female hygiene promoters]]))</f>
        <v>381</v>
      </c>
      <c r="DN2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 s="971">
        <f>IF(WWWW[[#This Row],['# People with access to soap]]&gt;WWWW[[#This Row],['# People with access to Sanity Pads]],WWWW[[#This Row],['# People with access to soap]],WWWW[[#This Row],['# People with access to Sanity Pads]])</f>
        <v>0</v>
      </c>
      <c r="DQ21" s="971">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R21" s="973">
        <f>IF(WWWW[[#This Row],[HRP3]]/WWWW[[#This Row],[Total PoP ]]&gt;1,1,WWWW[[#This Row],[HRP3]]/WWWW[[#This Row],[Total PoP ]])</f>
        <v>1</v>
      </c>
      <c r="DS21" s="972">
        <f>1-WWWW[[#This Row],[Hygiene Coverage%]]</f>
        <v>0</v>
      </c>
      <c r="DT21" s="970">
        <f>WWWW[[#This Row],['# people reached by regular dedicated hygiene promotion_5]]/WWWW[[#This Row],[Total PoP ]]</f>
        <v>1</v>
      </c>
      <c r="DU2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 s="971">
        <f>WWWW[[#This Row],['#_Constructed/Existing hand washing stations]]-WWWW[[#This Row],['#_Non-Functional_hand_washing_stations]]</f>
        <v>3</v>
      </c>
      <c r="DX21" s="968">
        <f>IF(WWWW[[#This Row],['# Functional hand washing stations during reporting period]]*20&gt;WWWW[[#This Row],[Total HH]],WWWW[[#This Row],[Total HH]],WWWW[[#This Row],['# Functional hand washing stations during reporting period]]*20)</f>
        <v>60</v>
      </c>
      <c r="DY21" s="968">
        <f>IF(WWWW[[#This Row],[Is sufficient soap available for TLS? (Yes/No)]]="yes",WWWW[[#This Row],['#_Constructed/Existing hand washing stations at TLS/CFS/THF]],0)</f>
        <v>0</v>
      </c>
      <c r="DZ21" s="425">
        <f>IF(WWWW[[#This Row],['# Functional hand washing stations during reporting period]]*100&gt;WWWW[[#This Row],[Total PoP ]],WWWW[[#This Row],[Total PoP ]],WWWW[[#This Row],['# Functional hand washing stations during reporting period]]*100)</f>
        <v>300</v>
      </c>
      <c r="EA21" s="425" t="str">
        <f>IF(OR(WWWW[[#This Row],['#_students at TLS_CFS]]="",WWWW[[#This Row],['#_students at TLS_CFS]]=0),"No","Yes")</f>
        <v>No</v>
      </c>
      <c r="EB2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 s="570">
        <f>WWWW[[#This Row],[%_of_affected_people_surveyed_who_report_feeling_satistfied_with_the_latrine_design_and_sanitation_service]]*WWWW[[#This Row],[Total PoP ]]</f>
        <v>0</v>
      </c>
      <c r="ED21" s="570">
        <f>WWWW[[#This Row],[%_of_affected_people_surveyed_who_report_feeling_satistfied_with_the_water_point_design_and_water_service]]*WWWW[[#This Row],[Total PoP ]]</f>
        <v>0</v>
      </c>
      <c r="EE21" s="570">
        <f>WWWW[[#This Row],[%_of_complaints_received_that_result_in_timely_corrective_action_and_feedback_to_the_community]]*WWWW[[#This Row],[Total PoP ]]</f>
        <v>0</v>
      </c>
      <c r="EF2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 s="964">
        <f>VLOOKUP(WWWW[[#This Row],[Site Name]],SiteDB6[[Site Name]:[CCCM Management]],6,FALSE)</f>
        <v>0</v>
      </c>
      <c r="EJ21" s="964" t="str">
        <f>VLOOKUP(WWWW[[#This Row],[Site Name]],SiteDB6[[Site Name]:[CCCM Focal Agency]],7,FALSE)</f>
        <v>uncovered</v>
      </c>
      <c r="EK21" s="964" t="str">
        <f>VLOOKUP(WWWW[[#This Row],[Site Name]],SiteDB6[[Site Name]:[Location Type 1]],9,FALSE)</f>
        <v>Camp</v>
      </c>
      <c r="EL21" s="964" t="str">
        <f>VLOOKUP(WWWW[[#This Row],[Site Name]],SiteDB6[[Site Name]:[Type of Accommodation]],10,FALSE)</f>
        <v>Camp like setting</v>
      </c>
      <c r="EM21" s="964" t="str">
        <f>VLOOKUP(WWWW[[#This Row],[Site Name]],SiteDB6[[Site Name]:[Ethnic or GCA/NGCA]],11,FALSE)</f>
        <v>GCA</v>
      </c>
      <c r="EN21" s="964">
        <f>VLOOKUP(WWWW[[#This Row],[Site Name]],SiteDB6[[Site Name]:[Lat]],12,FALSE)</f>
        <v>25.305008999999998</v>
      </c>
      <c r="EO21" s="964">
        <f>VLOOKUP(WWWW[[#This Row],[Site Name]],SiteDB6[[Site Name]:[Long]],13,FALSE)</f>
        <v>97.430321000000006</v>
      </c>
      <c r="EP21" s="964" t="str">
        <f>VLOOKUP(WWWW[[#This Row],[Site Name]],SiteDB6[[Site Name]:[Pcode]],3,FALSE)</f>
        <v>MMR001CMP248</v>
      </c>
      <c r="EQ21" s="969" t="str">
        <f t="shared" si="1"/>
        <v>Covered</v>
      </c>
      <c r="ER21" s="969" t="s">
        <v>136</v>
      </c>
      <c r="ES21" s="964">
        <f>VLOOKUP(WWWW[[#This Row],[Site Name]],SiteDB6[[Site Name]:[Pop
(Kachin/Shan-CCCM as of March 2023)]],16,FALSE)</f>
        <v>64</v>
      </c>
      <c r="ET21" s="964">
        <f>VLOOKUP(WWWW[[#This Row],[Site Name]],SiteDB6[[Site Name]:[Pop
(Kachin/Shan-CCCM as of March 2023)]],17,FALSE)</f>
        <v>377</v>
      </c>
    </row>
    <row r="22" spans="1:150" hidden="1">
      <c r="A22" s="962" t="s">
        <v>2977</v>
      </c>
      <c r="B22" s="963" t="s">
        <v>141</v>
      </c>
      <c r="C22" s="963" t="s">
        <v>141</v>
      </c>
      <c r="D22" s="963" t="s">
        <v>241</v>
      </c>
      <c r="E22" s="963" t="s">
        <v>37</v>
      </c>
      <c r="F22" s="963" t="s">
        <v>148</v>
      </c>
      <c r="G22" s="964" t="str">
        <f>VLOOKUP(WWWW[[#This Row],[Site Name]],SiteDB6[[Site Name]:[Location Type]],8,FALSE)</f>
        <v>Camp</v>
      </c>
      <c r="H22" s="963" t="s">
        <v>188</v>
      </c>
      <c r="I22" s="965">
        <v>24</v>
      </c>
      <c r="J22" s="965">
        <v>116</v>
      </c>
      <c r="K22" s="966">
        <v>44811</v>
      </c>
      <c r="L22" s="967">
        <v>45175</v>
      </c>
      <c r="M22" s="965"/>
      <c r="N22" s="965">
        <v>1</v>
      </c>
      <c r="O22" s="965"/>
      <c r="P22" s="965"/>
      <c r="Q22" s="968" t="s">
        <v>41</v>
      </c>
      <c r="R22" s="965">
        <v>2</v>
      </c>
      <c r="S22" s="965">
        <v>2</v>
      </c>
      <c r="T22" s="445">
        <v>1</v>
      </c>
      <c r="U22" s="965"/>
      <c r="V22" s="965"/>
      <c r="W22" s="965">
        <v>2</v>
      </c>
      <c r="X22" s="965"/>
      <c r="Y22" s="965"/>
      <c r="Z22" s="965"/>
      <c r="AA22" s="965"/>
      <c r="AB22" s="965"/>
      <c r="AC22" s="965"/>
      <c r="AD22" s="965"/>
      <c r="AE22" s="965"/>
      <c r="AF22" s="965"/>
      <c r="AG22" s="965"/>
      <c r="AH22" s="965"/>
      <c r="AI22" s="965"/>
      <c r="AJ22" s="965"/>
      <c r="AK22" s="965"/>
      <c r="AL22" s="965"/>
      <c r="AM22" s="965"/>
      <c r="AN22" s="965"/>
      <c r="AO22" s="445"/>
      <c r="AP22" s="969"/>
      <c r="AQ22" s="965">
        <v>5</v>
      </c>
      <c r="AR22" s="965"/>
      <c r="AS22" s="970"/>
      <c r="AT22" s="965"/>
      <c r="AU22" s="965"/>
      <c r="AV22" s="965"/>
      <c r="AW22" s="965"/>
      <c r="AX22" s="965">
        <v>5</v>
      </c>
      <c r="AY22" s="964" t="s">
        <v>41</v>
      </c>
      <c r="AZ22" s="969" t="s">
        <v>904</v>
      </c>
      <c r="BA22" s="965"/>
      <c r="BB22" s="965"/>
      <c r="BC22" s="965"/>
      <c r="BD22" s="445"/>
      <c r="BE22" s="445"/>
      <c r="BF22" s="964"/>
      <c r="BG22" s="965">
        <v>2</v>
      </c>
      <c r="BH22" s="965"/>
      <c r="BI22" s="965"/>
      <c r="BJ22" s="965">
        <v>2</v>
      </c>
      <c r="BK22" s="965"/>
      <c r="BL22" s="965"/>
      <c r="BM22" s="965"/>
      <c r="BN22" s="965"/>
      <c r="BO22" s="965"/>
      <c r="BP22" s="964"/>
      <c r="BQ22" s="971"/>
      <c r="BR22" s="970"/>
      <c r="BS22" s="964"/>
      <c r="BT22" s="420"/>
      <c r="BU22" s="420"/>
      <c r="BV22" s="422"/>
      <c r="BW22" s="420"/>
      <c r="BX22" s="445"/>
      <c r="BY22" s="445"/>
      <c r="BZ22" s="445"/>
      <c r="CA22" s="445"/>
      <c r="CB22" s="445"/>
      <c r="CC22" s="702"/>
      <c r="CD22" s="445"/>
      <c r="CE22" s="972" t="str">
        <f>IFERROR(WWWW[[#This Row],['#_Water sources passed]]/WWWW[[#This Row],['#_Water sources tested for fecal coliform ]],"no test")</f>
        <v>no test</v>
      </c>
      <c r="CF22" s="970" t="str">
        <f>IFERROR(WWWW[[#This Row],['#_Household passed]]/WWWW[[#This Row],['#_Household water samples tested for fecal coliform]],"no test")</f>
        <v>no test</v>
      </c>
      <c r="CG22" s="971" t="str">
        <f>IF(AND(WWWW[[#This Row],[% of water sources passed]]="no test",WWWW[[#This Row],[% Household passed]]="no test"),"No Test","Tested")</f>
        <v>No Test</v>
      </c>
      <c r="CH22" s="971">
        <f>WWWW[[#This Row],['#_Constructed/existing protected hand dug well]]-WWWW[[#This Row],['#_Non-functional protected hand dug well]]</f>
        <v>1</v>
      </c>
      <c r="CI22" s="971">
        <f>(WWWW[[#This Row],['#_Constructed/Existing tube wells/boreholes/handpumps_WASH_agency]]+WWWW[[#This Row],['#_Non-Cluster partner water tube-wells/boreholes/handpumps]])-WWWW[[#This Row],['#_Non-functional tube wells/boreholes/handpumps]]</f>
        <v>2</v>
      </c>
      <c r="CJ22" s="971">
        <f>WWWW[[#This Row],['#_Constructed/Existingwater storage tank with gravity fed reticulation system]]-WWWW[[#This Row],['#_Non-functional storage tank gravity fed reticulation system]]</f>
        <v>0</v>
      </c>
      <c r="CK22" s="971">
        <f>(WWWW[[#This Row],['#_Water_Liters_supplied_by_Water boating or water trucking]]/90)/15</f>
        <v>0</v>
      </c>
      <c r="CL22" s="971">
        <f>WWWW[[#This Row],['#_Water_Liters_from_Constructed/Existing water distribution system from river or natural spring]]/90/15</f>
        <v>0</v>
      </c>
      <c r="CM22" s="421">
        <f>IF(WWWW[[#This Row],['#_of water points in TLS/CFS]]*500&gt;WWWW[[#This Row],[Total PoP ]],WWWW[[#This Row],[Total PoP ]],WWWW[[#This Row],['#_of water points in TLS/CFS]]*500)</f>
        <v>0</v>
      </c>
      <c r="CN22" s="421">
        <f>IF(WWWW[[#This Row],['#_of water points in THF]]*500&gt;WWWW[[#This Row],[Total PoP ]],WWWW[[#This Row],[Total PoP ]],WWWW[[#This Row],['#_of water points in THF]]*500)</f>
        <v>0</v>
      </c>
      <c r="CO22" s="421"/>
      <c r="CP2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 s="970">
        <f>IF(WWWW[[#This Row],[Location Type 1]]="Village",WWWW[[#This Row],[Access to safe drinking water for Village]],WWWW[[#This Row],[Access to safe drinking water for Camp]])</f>
        <v>1</v>
      </c>
      <c r="CS22" s="968">
        <f>WWWW[[#This Row],[%Equitable and continuous access to sufficient quantity of safe drinking water]]*WWWW[[#This Row],[Total PoP ]]</f>
        <v>116</v>
      </c>
      <c r="CT22" s="970">
        <f>IF((WWWW[[#This Row],['#_Constructed/Existing protected/fenced ponds]]*250)/WWWW[[#This Row],[Total PoP ]]&gt;1,1,(WWWW[[#This Row],['#_Constructed/Existing protected/fenced ponds]]*250)/WWWW[[#This Row],[Total PoP ]])</f>
        <v>0</v>
      </c>
      <c r="CU22" s="968">
        <f>WWWW[[#This Row],[% Access to unimproved water points]]*WWWW[[#This Row],[Total PoP ]]</f>
        <v>0</v>
      </c>
      <c r="CV2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v>
      </c>
      <c r="CX22" s="968">
        <f>WWWW[[#This Row],[HRP1]]/500</f>
        <v>0.23200000000000001</v>
      </c>
      <c r="CY22" s="973">
        <f>1-WWWW[[#This Row],[% Equitable and continuous access to sufficient quantity of domestic water]]</f>
        <v>0</v>
      </c>
      <c r="CZ22" s="968">
        <f>WWWW[[#This Row],[%equitable and continuous access to sufficient quantity of safe drinking and domestic water''s GAP]]*WWWW[[#This Row],[Total PoP ]]</f>
        <v>0</v>
      </c>
      <c r="DA22" s="971">
        <f>IF(WWWW[[#This Row],[Total required water points]]-WWWW[[#This Row],['#Water points coverage]]&lt;0,0,WWWW[[#This Row],[Total required water points]]-WWWW[[#This Row],['#Water points coverage]])</f>
        <v>0.76800000000000002</v>
      </c>
      <c r="DB22" s="971">
        <f>ROUND(IF(WWWW[[#This Row],[Total PoP ]]&lt;500,1,WWWW[[#This Row],[Total PoP ]]/500),0)</f>
        <v>1</v>
      </c>
      <c r="DC22" s="971">
        <f>(WWWW[[#This Row],['#_Constructed latrines_by_WASHAgencies]]+WWWW[[#This Row],['#_Non Cluster partner latrines]])-WWWW[[#This Row],['#_Non-functional latrines]]</f>
        <v>5</v>
      </c>
      <c r="DD22" s="619">
        <f>WWWW[[#This Row],[HRP2]]/WWWW[[#This Row],[Total PoP ]]</f>
        <v>0.86206896551724133</v>
      </c>
      <c r="DE2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 s="421">
        <f>IF(WWWW[[#This Row],['# of functional latrines in THF supported by WASH partners during the reporting period2]]="",0,WWWW[[#This Row],['# of functional latrines in THF supported by WASH partners during the reporting period2]]*50)</f>
        <v>0</v>
      </c>
      <c r="DI22" s="971">
        <f>ROUND(IF(WWWW[[#This Row],[Location Type 1]]="camp",WWWW[[#This Row],[Total PoP ]]/20,IF(WWWW[[#This Row],[Location Type 1]]="Temporary Location",WWWW[[#This Row],[Total PoP ]]/50,(WWWW[[#This Row],[Total PoP ]]/6))),0)</f>
        <v>6</v>
      </c>
      <c r="DJ22" s="971">
        <f>IF(WWWW[[#This Row],[Total required Latrines]]-(WWWW[[#This Row],['#_Constructed latrines_by_WASHAgencies]]+WWWW[[#This Row],['#_Non Cluster partner latrines]])&lt;0,0,WWWW[[#This Row],[Total required Latrines]]-(WWWW[[#This Row],['#_Constructed latrines_by_WASHAgencies]]+WWWW[[#This Row],['#_Non Cluster partner latrines]]))</f>
        <v>1</v>
      </c>
      <c r="DK22" s="973">
        <f>1-WWWW[[#This Row],[% people access to functioning Latrine]]</f>
        <v>0.13793103448275867</v>
      </c>
      <c r="DL22" s="972">
        <f>IF(OR(WWWW[[#This Row],['#_Non-functional latrines]]="",WWWW[[#This Row],['#_Non-functional latrines]]=0),0,WWWW[[#This Row],['#_Non-functional latrines]]/(WWWW[[#This Row],['#_Constructed latrines_by_WASHAgencies]]+WWWW[[#This Row],['#_Non Cluster partner latrines]]))</f>
        <v>0</v>
      </c>
      <c r="DM22" s="968">
        <f>IF(500*(WWWW[[#This Row],['#_male hygiene promoters]]+WWWW[[#This Row],['#_female hygiene promoters]])&gt;WWWW[[#This Row],[Total PoP ]],WWWW[[#This Row],[Total PoP ]],500*(WWWW[[#This Row],['#_male hygiene promoters]]+WWWW[[#This Row],['#_female hygiene promoters]]))</f>
        <v>0</v>
      </c>
      <c r="DN2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 s="971">
        <f>IF(WWWW[[#This Row],['# People with access to soap]]&gt;WWWW[[#This Row],['# People with access to Sanity Pads]],WWWW[[#This Row],['# People with access to soap]],WWWW[[#This Row],['# People with access to Sanity Pads]])</f>
        <v>0</v>
      </c>
      <c r="DQ2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2" s="973">
        <f>IF(WWWW[[#This Row],[HRP3]]/WWWW[[#This Row],[Total PoP ]]&gt;1,1,WWWW[[#This Row],[HRP3]]/WWWW[[#This Row],[Total PoP ]])</f>
        <v>0</v>
      </c>
      <c r="DS22" s="972">
        <f>1-WWWW[[#This Row],[Hygiene Coverage%]]</f>
        <v>1</v>
      </c>
      <c r="DT22" s="970">
        <f>WWWW[[#This Row],['# people reached by regular dedicated hygiene promotion_5]]/WWWW[[#This Row],[Total PoP ]]</f>
        <v>0</v>
      </c>
      <c r="DU2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 s="971">
        <f>WWWW[[#This Row],['#_Constructed/Existing hand washing stations]]-WWWW[[#This Row],['#_Non-Functional_hand_washing_stations]]</f>
        <v>2</v>
      </c>
      <c r="DX22" s="968">
        <f>IF(WWWW[[#This Row],['# Functional hand washing stations during reporting period]]*20&gt;WWWW[[#This Row],[Total HH]],WWWW[[#This Row],[Total HH]],WWWW[[#This Row],['# Functional hand washing stations during reporting period]]*20)</f>
        <v>24</v>
      </c>
      <c r="DY22" s="968">
        <f>IF(WWWW[[#This Row],[Is sufficient soap available for TLS? (Yes/No)]]="yes",WWWW[[#This Row],['#_Constructed/Existing hand washing stations at TLS/CFS/THF]],0)</f>
        <v>0</v>
      </c>
      <c r="DZ22" s="425">
        <f>IF(WWWW[[#This Row],['# Functional hand washing stations during reporting period]]*100&gt;WWWW[[#This Row],[Total PoP ]],WWWW[[#This Row],[Total PoP ]],WWWW[[#This Row],['# Functional hand washing stations during reporting period]]*100)</f>
        <v>116</v>
      </c>
      <c r="EA22" s="425" t="str">
        <f>IF(OR(WWWW[[#This Row],['#_students at TLS_CFS]]="",WWWW[[#This Row],['#_students at TLS_CFS]]=0),"No","Yes")</f>
        <v>No</v>
      </c>
      <c r="EB2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 s="570">
        <f>WWWW[[#This Row],[%_of_affected_people_surveyed_who_report_feeling_satistfied_with_the_latrine_design_and_sanitation_service]]*WWWW[[#This Row],[Total PoP ]]</f>
        <v>0</v>
      </c>
      <c r="ED22" s="570">
        <f>WWWW[[#This Row],[%_of_affected_people_surveyed_who_report_feeling_satistfied_with_the_water_point_design_and_water_service]]*WWWW[[#This Row],[Total PoP ]]</f>
        <v>0</v>
      </c>
      <c r="EE22" s="570">
        <f>WWWW[[#This Row],[%_of_complaints_received_that_result_in_timely_corrective_action_and_feedback_to_the_community]]*WWWW[[#This Row],[Total PoP ]]</f>
        <v>0</v>
      </c>
      <c r="EF2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 s="964" t="str">
        <f>VLOOKUP(WWWW[[#This Row],[Site Name]],SiteDB6[[Site Name]:[CCCM Management]],6,FALSE)</f>
        <v>Yes</v>
      </c>
      <c r="EJ22" s="964" t="str">
        <f>VLOOKUP(WWWW[[#This Row],[Site Name]],SiteDB6[[Site Name]:[CCCM Focal Agency]],7,FALSE)</f>
        <v>KBC-MYT</v>
      </c>
      <c r="EK22" s="964" t="str">
        <f>VLOOKUP(WWWW[[#This Row],[Site Name]],SiteDB6[[Site Name]:[Location Type 1]],9,FALSE)</f>
        <v>Camp</v>
      </c>
      <c r="EL22" s="964" t="str">
        <f>VLOOKUP(WWWW[[#This Row],[Site Name]],SiteDB6[[Site Name]:[Type of Accommodation]],10,FALSE)</f>
        <v>Camp</v>
      </c>
      <c r="EM22" s="964" t="str">
        <f>VLOOKUP(WWWW[[#This Row],[Site Name]],SiteDB6[[Site Name]:[Ethnic or GCA/NGCA]],11,FALSE)</f>
        <v>GCA</v>
      </c>
      <c r="EN22" s="964">
        <f>VLOOKUP(WWWW[[#This Row],[Site Name]],SiteDB6[[Site Name]:[Lat]],12,FALSE)</f>
        <v>25.920006000000001</v>
      </c>
      <c r="EO22" s="964">
        <f>VLOOKUP(WWWW[[#This Row],[Site Name]],SiteDB6[[Site Name]:[Long]],13,FALSE)</f>
        <v>96.662092000000001</v>
      </c>
      <c r="EP22" s="964" t="str">
        <f>VLOOKUP(WWWW[[#This Row],[Site Name]],SiteDB6[[Site Name]:[Pcode]],3,FALSE)</f>
        <v>MMR001CMP244</v>
      </c>
      <c r="EQ22" s="969" t="str">
        <f t="shared" si="1"/>
        <v>Covered</v>
      </c>
      <c r="ER22" s="969" t="s">
        <v>3147</v>
      </c>
      <c r="ES22" s="964">
        <f>VLOOKUP(WWWW[[#This Row],[Site Name]],SiteDB6[[Site Name]:[Pop
(Kachin/Shan-CCCM as of March 2023)]],16,FALSE)</f>
        <v>24</v>
      </c>
      <c r="ET22" s="964">
        <f>VLOOKUP(WWWW[[#This Row],[Site Name]],SiteDB6[[Site Name]:[Pop
(Kachin/Shan-CCCM as of March 2023)]],17,FALSE)</f>
        <v>110</v>
      </c>
    </row>
    <row r="23" spans="1:150" hidden="1">
      <c r="A23" s="962" t="s">
        <v>2977</v>
      </c>
      <c r="B23" s="962" t="s">
        <v>192</v>
      </c>
      <c r="C23" s="963" t="s">
        <v>192</v>
      </c>
      <c r="D23" s="963" t="s">
        <v>2899</v>
      </c>
      <c r="E23" s="963" t="s">
        <v>37</v>
      </c>
      <c r="F23" s="963" t="s">
        <v>142</v>
      </c>
      <c r="G23" s="964" t="str">
        <f>VLOOKUP(WWWW[[#This Row],[Site Name]],SiteDB6[[Site Name]:[Location Type]],8,FALSE)</f>
        <v>Camp</v>
      </c>
      <c r="H23" s="963" t="s">
        <v>224</v>
      </c>
      <c r="I23" s="965">
        <v>426.2</v>
      </c>
      <c r="J23" s="965">
        <v>2322</v>
      </c>
      <c r="K23" s="966" t="s">
        <v>3154</v>
      </c>
      <c r="L23" s="967" t="s">
        <v>3155</v>
      </c>
      <c r="M23" s="965"/>
      <c r="N23" s="965"/>
      <c r="O23" s="965"/>
      <c r="P23" s="965"/>
      <c r="Q23" s="968" t="s">
        <v>41</v>
      </c>
      <c r="R23" s="965">
        <v>3</v>
      </c>
      <c r="S23" s="965">
        <v>6</v>
      </c>
      <c r="T23" s="445"/>
      <c r="U23" s="965"/>
      <c r="V23" s="965"/>
      <c r="W23" s="965"/>
      <c r="X23" s="965"/>
      <c r="Y23" s="965"/>
      <c r="Z23" s="965"/>
      <c r="AA23" s="965">
        <v>8</v>
      </c>
      <c r="AB23" s="965"/>
      <c r="AC23" s="965"/>
      <c r="AD23" s="965"/>
      <c r="AE23" s="965"/>
      <c r="AF23" s="965"/>
      <c r="AG23" s="965"/>
      <c r="AH23" s="965"/>
      <c r="AI23" s="965"/>
      <c r="AJ23" s="965"/>
      <c r="AK23" s="965"/>
      <c r="AL23" s="965"/>
      <c r="AM23" s="965">
        <v>14</v>
      </c>
      <c r="AN23" s="965">
        <v>5</v>
      </c>
      <c r="AO23" s="445"/>
      <c r="AP23" s="969"/>
      <c r="AQ23" s="965">
        <v>100</v>
      </c>
      <c r="AR23" s="965"/>
      <c r="AS23" s="970"/>
      <c r="AT23" s="965"/>
      <c r="AU23" s="965"/>
      <c r="AV23" s="965"/>
      <c r="AW23" s="965"/>
      <c r="AX23" s="965"/>
      <c r="AY23" s="964" t="s">
        <v>41</v>
      </c>
      <c r="AZ23" s="969" t="s">
        <v>137</v>
      </c>
      <c r="BA23" s="965"/>
      <c r="BB23" s="965"/>
      <c r="BC23" s="965"/>
      <c r="BD23" s="445"/>
      <c r="BE23" s="445"/>
      <c r="BF23" s="964"/>
      <c r="BG23" s="965">
        <v>10</v>
      </c>
      <c r="BH23" s="965"/>
      <c r="BI23" s="965"/>
      <c r="BJ23" s="965">
        <v>8</v>
      </c>
      <c r="BK23" s="965"/>
      <c r="BL23" s="965"/>
      <c r="BM23" s="965"/>
      <c r="BN23" s="965"/>
      <c r="BO23" s="965"/>
      <c r="BP23" s="964"/>
      <c r="BQ23" s="971"/>
      <c r="BR23" s="970"/>
      <c r="BS23" s="964"/>
      <c r="BT23" s="420"/>
      <c r="BU23" s="420"/>
      <c r="BV23" s="422"/>
      <c r="BW23" s="420"/>
      <c r="BX23" s="445"/>
      <c r="BY23" s="445"/>
      <c r="BZ23" s="445"/>
      <c r="CA23" s="445"/>
      <c r="CB23" s="445"/>
      <c r="CC23" s="702"/>
      <c r="CD23" s="445"/>
      <c r="CE23" s="972" t="str">
        <f>IFERROR(WWWW[[#This Row],['#_Water sources passed]]/WWWW[[#This Row],['#_Water sources tested for fecal coliform ]],"no test")</f>
        <v>no test</v>
      </c>
      <c r="CF23" s="970" t="str">
        <f>IFERROR(WWWW[[#This Row],['#_Household passed]]/WWWW[[#This Row],['#_Household water samples tested for fecal coliform]],"no test")</f>
        <v>no test</v>
      </c>
      <c r="CG23" s="971" t="str">
        <f>IF(AND(WWWW[[#This Row],[% of water sources passed]]="no test",WWWW[[#This Row],[% Household passed]]="no test"),"No Test","Tested")</f>
        <v>No Test</v>
      </c>
      <c r="CH23" s="971">
        <f>WWWW[[#This Row],['#_Constructed/existing protected hand dug well]]-WWWW[[#This Row],['#_Non-functional protected hand dug well]]</f>
        <v>0</v>
      </c>
      <c r="CI23" s="971">
        <f>(WWWW[[#This Row],['#_Constructed/Existing tube wells/boreholes/handpumps_WASH_agency]]+WWWW[[#This Row],['#_Non-Cluster partner water tube-wells/boreholes/handpumps]])-WWWW[[#This Row],['#_Non-functional tube wells/boreholes/handpumps]]</f>
        <v>0</v>
      </c>
      <c r="CJ23" s="971">
        <f>WWWW[[#This Row],['#_Constructed/Existingwater storage tank with gravity fed reticulation system]]-WWWW[[#This Row],['#_Non-functional storage tank gravity fed reticulation system]]</f>
        <v>8</v>
      </c>
      <c r="CK23" s="971">
        <f>(WWWW[[#This Row],['#_Water_Liters_supplied_by_Water boating or water trucking]]/90)/15</f>
        <v>0</v>
      </c>
      <c r="CL23" s="971">
        <f>WWWW[[#This Row],['#_Water_Liters_from_Constructed/Existing water distribution system from river or natural spring]]/90/15</f>
        <v>0</v>
      </c>
      <c r="CM23" s="421">
        <f>IF(WWWW[[#This Row],['#_of water points in TLS/CFS]]*500&gt;WWWW[[#This Row],[Total PoP ]],WWWW[[#This Row],[Total PoP ]],WWWW[[#This Row],['#_of water points in TLS/CFS]]*500)</f>
        <v>2322</v>
      </c>
      <c r="CN23" s="421">
        <f>IF(WWWW[[#This Row],['#_of water points in THF]]*500&gt;WWWW[[#This Row],[Total PoP ]],WWWW[[#This Row],[Total PoP ]],WWWW[[#This Row],['#_of water points in THF]]*500)</f>
        <v>0</v>
      </c>
      <c r="CO23" s="421"/>
      <c r="CP2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0.22968705139247778</v>
      </c>
      <c r="CQ2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0.22968705139247778</v>
      </c>
      <c r="CR23" s="970">
        <f>IF(WWWW[[#This Row],[Location Type 1]]="Village",WWWW[[#This Row],[Access to safe drinking water for Village]],WWWW[[#This Row],[Access to safe drinking water for Camp]])</f>
        <v>0.22968705139247778</v>
      </c>
      <c r="CS23" s="968">
        <f>WWWW[[#This Row],[%Equitable and continuous access to sufficient quantity of safe drinking water]]*WWWW[[#This Row],[Total PoP ]]</f>
        <v>533.33333333333337</v>
      </c>
      <c r="CT23" s="970">
        <f>IF((WWWW[[#This Row],['#_Constructed/Existing protected/fenced ponds]]*250)/WWWW[[#This Row],[Total PoP ]]&gt;1,1,(WWWW[[#This Row],['#_Constructed/Existing protected/fenced ponds]]*250)/WWWW[[#This Row],[Total PoP ]])</f>
        <v>0</v>
      </c>
      <c r="CU23" s="968">
        <f>WWWW[[#This Row],[% Access to unimproved water points]]*WWWW[[#This Row],[Total PoP ]]</f>
        <v>0</v>
      </c>
      <c r="CV2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0.22968705139247778</v>
      </c>
      <c r="CW2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23" s="968">
        <f>WWWW[[#This Row],[HRP1]]/500</f>
        <v>1.0666666666666667</v>
      </c>
      <c r="CY23" s="973">
        <f>1-WWWW[[#This Row],[% Equitable and continuous access to sufficient quantity of domestic water]]</f>
        <v>0.7703129486075222</v>
      </c>
      <c r="CZ23" s="968">
        <f>WWWW[[#This Row],[%equitable and continuous access to sufficient quantity of safe drinking and domestic water''s GAP]]*WWWW[[#This Row],[Total PoP ]]</f>
        <v>1788.6666666666665</v>
      </c>
      <c r="DA23" s="971">
        <f>IF(WWWW[[#This Row],[Total required water points]]-WWWW[[#This Row],['#Water points coverage]]&lt;0,0,WWWW[[#This Row],[Total required water points]]-WWWW[[#This Row],['#Water points coverage]])</f>
        <v>3.9333333333333336</v>
      </c>
      <c r="DB23" s="971">
        <f>ROUND(IF(WWWW[[#This Row],[Total PoP ]]&lt;500,1,WWWW[[#This Row],[Total PoP ]]/500),0)</f>
        <v>5</v>
      </c>
      <c r="DC23" s="971">
        <f>(WWWW[[#This Row],['#_Constructed latrines_by_WASHAgencies]]+WWWW[[#This Row],['#_Non Cluster partner latrines]])-WWWW[[#This Row],['#_Non-functional latrines]]</f>
        <v>100</v>
      </c>
      <c r="DD23" s="619">
        <f>WWWW[[#This Row],[HRP2]]/WWWW[[#This Row],[Total PoP ]]</f>
        <v>0.8613264427217916</v>
      </c>
      <c r="DE2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2000</v>
      </c>
      <c r="DF2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 s="421">
        <f>IF(WWWW[[#This Row],['# of functional latrines in THF supported by WASH partners during the reporting period2]]="",0,WWWW[[#This Row],['# of functional latrines in THF supported by WASH partners during the reporting period2]]*50)</f>
        <v>0</v>
      </c>
      <c r="DI23" s="971">
        <f>ROUND(IF(WWWW[[#This Row],[Location Type 1]]="camp",WWWW[[#This Row],[Total PoP ]]/20,IF(WWWW[[#This Row],[Location Type 1]]="Temporary Location",WWWW[[#This Row],[Total PoP ]]/50,(WWWW[[#This Row],[Total PoP ]]/6))),0)</f>
        <v>116</v>
      </c>
      <c r="DJ23" s="971">
        <f>IF(WWWW[[#This Row],[Total required Latrines]]-(WWWW[[#This Row],['#_Constructed latrines_by_WASHAgencies]]+WWWW[[#This Row],['#_Non Cluster partner latrines]])&lt;0,0,WWWW[[#This Row],[Total required Latrines]]-(WWWW[[#This Row],['#_Constructed latrines_by_WASHAgencies]]+WWWW[[#This Row],['#_Non Cluster partner latrines]]))</f>
        <v>16</v>
      </c>
      <c r="DK23" s="973">
        <f>1-WWWW[[#This Row],[% people access to functioning Latrine]]</f>
        <v>0.1386735572782084</v>
      </c>
      <c r="DL23" s="972">
        <f>IF(OR(WWWW[[#This Row],['#_Non-functional latrines]]="",WWWW[[#This Row],['#_Non-functional latrines]]=0),0,WWWW[[#This Row],['#_Non-functional latrines]]/(WWWW[[#This Row],['#_Constructed latrines_by_WASHAgencies]]+WWWW[[#This Row],['#_Non Cluster partner latrines]]))</f>
        <v>0</v>
      </c>
      <c r="DM23" s="968">
        <f>IF(500*(WWWW[[#This Row],['#_male hygiene promoters]]+WWWW[[#This Row],['#_female hygiene promoters]])&gt;WWWW[[#This Row],[Total PoP ]],WWWW[[#This Row],[Total PoP ]],500*(WWWW[[#This Row],['#_male hygiene promoters]]+WWWW[[#This Row],['#_female hygiene promoters]]))</f>
        <v>0</v>
      </c>
      <c r="DN2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 s="971">
        <f>IF(WWWW[[#This Row],['# People with access to soap]]&gt;WWWW[[#This Row],['# People with access to Sanity Pads]],WWWW[[#This Row],['# People with access to soap]],WWWW[[#This Row],['# People with access to Sanity Pads]])</f>
        <v>0</v>
      </c>
      <c r="DQ2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3" s="973">
        <f>IF(WWWW[[#This Row],[HRP3]]/WWWW[[#This Row],[Total PoP ]]&gt;1,1,WWWW[[#This Row],[HRP3]]/WWWW[[#This Row],[Total PoP ]])</f>
        <v>0</v>
      </c>
      <c r="DS23" s="972">
        <f>1-WWWW[[#This Row],[Hygiene Coverage%]]</f>
        <v>1</v>
      </c>
      <c r="DT23" s="970">
        <f>WWWW[[#This Row],['# people reached by regular dedicated hygiene promotion_5]]/WWWW[[#This Row],[Total PoP ]]</f>
        <v>0</v>
      </c>
      <c r="DU2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 s="971">
        <f>WWWW[[#This Row],['#_Constructed/Existing hand washing stations]]-WWWW[[#This Row],['#_Non-Functional_hand_washing_stations]]</f>
        <v>10</v>
      </c>
      <c r="DX23" s="968">
        <f>IF(WWWW[[#This Row],['# Functional hand washing stations during reporting period]]*20&gt;WWWW[[#This Row],[Total HH]],WWWW[[#This Row],[Total HH]],WWWW[[#This Row],['# Functional hand washing stations during reporting period]]*20)</f>
        <v>200</v>
      </c>
      <c r="DY23" s="968">
        <f>IF(WWWW[[#This Row],[Is sufficient soap available for TLS? (Yes/No)]]="yes",WWWW[[#This Row],['#_Constructed/Existing hand washing stations at TLS/CFS/THF]],0)</f>
        <v>0</v>
      </c>
      <c r="DZ23" s="425">
        <f>IF(WWWW[[#This Row],['# Functional hand washing stations during reporting period]]*100&gt;WWWW[[#This Row],[Total PoP ]],WWWW[[#This Row],[Total PoP ]],WWWW[[#This Row],['# Functional hand washing stations during reporting period]]*100)</f>
        <v>1000</v>
      </c>
      <c r="EA23" s="425" t="str">
        <f>IF(OR(WWWW[[#This Row],['#_students at TLS_CFS]]="",WWWW[[#This Row],['#_students at TLS_CFS]]=0),"No","Yes")</f>
        <v>No</v>
      </c>
      <c r="EB2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 s="570">
        <f>WWWW[[#This Row],[%_of_affected_people_surveyed_who_report_feeling_satistfied_with_the_latrine_design_and_sanitation_service]]*WWWW[[#This Row],[Total PoP ]]</f>
        <v>0</v>
      </c>
      <c r="ED23" s="570">
        <f>WWWW[[#This Row],[%_of_affected_people_surveyed_who_report_feeling_satistfied_with_the_water_point_design_and_water_service]]*WWWW[[#This Row],[Total PoP ]]</f>
        <v>0</v>
      </c>
      <c r="EE23" s="570">
        <f>WWWW[[#This Row],[%_of_complaints_received_that_result_in_timely_corrective_action_and_feedback_to_the_community]]*WWWW[[#This Row],[Total PoP ]]</f>
        <v>0</v>
      </c>
      <c r="EF2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2322</v>
      </c>
      <c r="EH2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 s="964">
        <f>VLOOKUP(WWWW[[#This Row],[Site Name]],SiteDB6[[Site Name]:[CCCM Management]],6,FALSE)</f>
        <v>0</v>
      </c>
      <c r="EJ23" s="964" t="str">
        <f>VLOOKUP(WWWW[[#This Row],[Site Name]],SiteDB6[[Site Name]:[CCCM Focal Agency]],7,FALSE)</f>
        <v>uncovered</v>
      </c>
      <c r="EK23" s="964" t="str">
        <f>VLOOKUP(WWWW[[#This Row],[Site Name]],SiteDB6[[Site Name]:[Location Type 1]],9,FALSE)</f>
        <v>Camp</v>
      </c>
      <c r="EL23" s="964" t="str">
        <f>VLOOKUP(WWWW[[#This Row],[Site Name]],SiteDB6[[Site Name]:[Type of Accommodation]],10,FALSE)</f>
        <v>Boarding School</v>
      </c>
      <c r="EM23" s="964" t="str">
        <f>VLOOKUP(WWWW[[#This Row],[Site Name]],SiteDB6[[Site Name]:[Ethnic or GCA/NGCA]],11,FALSE)</f>
        <v>NGCA</v>
      </c>
      <c r="EN23" s="964">
        <f>VLOOKUP(WWWW[[#This Row],[Site Name]],SiteDB6[[Site Name]:[Lat]],12,FALSE)</f>
        <v>24.752471</v>
      </c>
      <c r="EO23" s="964">
        <f>VLOOKUP(WWWW[[#This Row],[Site Name]],SiteDB6[[Site Name]:[Long]],13,FALSE)</f>
        <v>97.541793999999996</v>
      </c>
      <c r="EP23" s="964" t="str">
        <f>VLOOKUP(WWWW[[#This Row],[Site Name]],SiteDB6[[Site Name]:[Pcode]],3,FALSE)</f>
        <v>MMR001CMP208</v>
      </c>
      <c r="EQ23" s="969" t="str">
        <f t="shared" si="1"/>
        <v>Covered</v>
      </c>
      <c r="ER23" s="969" t="s">
        <v>3147</v>
      </c>
      <c r="ES23" s="964">
        <f>VLOOKUP(WWWW[[#This Row],[Site Name]],SiteDB6[[Site Name]:[Pop
(Kachin/Shan-CCCM as of March 2023)]],16,FALSE)</f>
        <v>0</v>
      </c>
      <c r="ET23" s="964">
        <f>VLOOKUP(WWWW[[#This Row],[Site Name]],SiteDB6[[Site Name]:[Pop
(Kachin/Shan-CCCM as of March 2023)]],17,FALSE)</f>
        <v>366</v>
      </c>
    </row>
    <row r="24" spans="1:150" hidden="1">
      <c r="A24" s="962" t="s">
        <v>2977</v>
      </c>
      <c r="B24" s="962" t="s">
        <v>242</v>
      </c>
      <c r="C24" s="963" t="s">
        <v>242</v>
      </c>
      <c r="D24" s="963" t="s">
        <v>3207</v>
      </c>
      <c r="E24" s="963" t="s">
        <v>37</v>
      </c>
      <c r="F24" s="963" t="s">
        <v>148</v>
      </c>
      <c r="G24" s="964" t="str">
        <f>VLOOKUP(WWWW[[#This Row],[Site Name]],SiteDB6[[Site Name]:[Location Type]],8,FALSE)</f>
        <v>Camp</v>
      </c>
      <c r="H24" s="963" t="s">
        <v>250</v>
      </c>
      <c r="I24" s="965">
        <v>40</v>
      </c>
      <c r="J24" s="965">
        <v>249</v>
      </c>
      <c r="K24" s="966">
        <v>44927</v>
      </c>
      <c r="L24" s="967">
        <v>45291</v>
      </c>
      <c r="M24" s="965">
        <v>80</v>
      </c>
      <c r="N24" s="965"/>
      <c r="O24" s="965">
        <v>1</v>
      </c>
      <c r="P24" s="965"/>
      <c r="Q24" s="968" t="s">
        <v>41</v>
      </c>
      <c r="R24" s="965">
        <v>1</v>
      </c>
      <c r="S24" s="965">
        <v>5</v>
      </c>
      <c r="T24" s="445">
        <v>2</v>
      </c>
      <c r="U24" s="965"/>
      <c r="V24" s="965"/>
      <c r="W24" s="965"/>
      <c r="X24" s="965">
        <v>1</v>
      </c>
      <c r="Y24" s="965"/>
      <c r="Z24" s="965"/>
      <c r="AA24" s="965"/>
      <c r="AB24" s="965"/>
      <c r="AC24" s="965"/>
      <c r="AD24" s="965"/>
      <c r="AE24" s="965">
        <v>1</v>
      </c>
      <c r="AF24" s="965"/>
      <c r="AG24" s="965"/>
      <c r="AH24" s="965">
        <v>1</v>
      </c>
      <c r="AI24" s="965"/>
      <c r="AJ24" s="965"/>
      <c r="AK24" s="965"/>
      <c r="AL24" s="965"/>
      <c r="AM24" s="965"/>
      <c r="AN24" s="965"/>
      <c r="AO24" s="445"/>
      <c r="AP24" s="969"/>
      <c r="AQ24" s="965">
        <v>10</v>
      </c>
      <c r="AR24" s="965"/>
      <c r="AS24" s="970" t="s">
        <v>242</v>
      </c>
      <c r="AT24" s="965"/>
      <c r="AU24" s="965"/>
      <c r="AV24" s="965"/>
      <c r="AW24" s="965"/>
      <c r="AX24" s="965"/>
      <c r="AY24" s="964" t="s">
        <v>41</v>
      </c>
      <c r="AZ24" s="969" t="s">
        <v>137</v>
      </c>
      <c r="BA24" s="965"/>
      <c r="BB24" s="965"/>
      <c r="BC24" s="965"/>
      <c r="BD24" s="445"/>
      <c r="BE24" s="445"/>
      <c r="BF24" s="964" t="s">
        <v>3226</v>
      </c>
      <c r="BG24" s="965">
        <v>2</v>
      </c>
      <c r="BH24" s="965"/>
      <c r="BI24" s="965">
        <v>4</v>
      </c>
      <c r="BJ24" s="965">
        <v>3</v>
      </c>
      <c r="BK24" s="965"/>
      <c r="BL24" s="965"/>
      <c r="BM24" s="965">
        <v>1</v>
      </c>
      <c r="BN24" s="965">
        <v>40</v>
      </c>
      <c r="BO24" s="965">
        <v>55</v>
      </c>
      <c r="BP24" s="964" t="s">
        <v>41</v>
      </c>
      <c r="BQ24" s="971">
        <v>1</v>
      </c>
      <c r="BR24" s="970">
        <v>0.2</v>
      </c>
      <c r="BS24" s="964" t="s">
        <v>3227</v>
      </c>
      <c r="BT24" s="420">
        <v>0.8</v>
      </c>
      <c r="BU24" s="420">
        <v>0.7</v>
      </c>
      <c r="BV24" s="422">
        <v>10</v>
      </c>
      <c r="BW24" s="420">
        <v>0.7</v>
      </c>
      <c r="BX24" s="445"/>
      <c r="BY24" s="445"/>
      <c r="BZ24" s="445"/>
      <c r="CA24" s="445"/>
      <c r="CB24" s="445"/>
      <c r="CC24" s="702"/>
      <c r="CD24" s="445"/>
      <c r="CE24" s="972" t="str">
        <f>IFERROR(WWWW[[#This Row],['#_Water sources passed]]/WWWW[[#This Row],['#_Water sources tested for fecal coliform ]],"no test")</f>
        <v>no test</v>
      </c>
      <c r="CF24" s="970" t="str">
        <f>IFERROR(WWWW[[#This Row],['#_Household passed]]/WWWW[[#This Row],['#_Household water samples tested for fecal coliform]],"no test")</f>
        <v>no test</v>
      </c>
      <c r="CG24" s="971" t="str">
        <f>IF(AND(WWWW[[#This Row],[% of water sources passed]]="no test",WWWW[[#This Row],[% Household passed]]="no test"),"No Test","Tested")</f>
        <v>No Test</v>
      </c>
      <c r="CH24" s="971">
        <f>WWWW[[#This Row],['#_Constructed/existing protected hand dug well]]-WWWW[[#This Row],['#_Non-functional protected hand dug well]]</f>
        <v>2</v>
      </c>
      <c r="CI24" s="971">
        <f>(WWWW[[#This Row],['#_Constructed/Existing tube wells/boreholes/handpumps_WASH_agency]]+WWWW[[#This Row],['#_Non-Cluster partner water tube-wells/boreholes/handpumps]])-WWWW[[#This Row],['#_Non-functional tube wells/boreholes/handpumps]]</f>
        <v>1</v>
      </c>
      <c r="CJ24" s="971">
        <f>WWWW[[#This Row],['#_Constructed/Existingwater storage tank with gravity fed reticulation system]]-WWWW[[#This Row],['#_Non-functional storage tank gravity fed reticulation system]]</f>
        <v>0</v>
      </c>
      <c r="CK24" s="971">
        <f>(WWWW[[#This Row],['#_Water_Liters_supplied_by_Water boating or water trucking]]/90)/15</f>
        <v>0</v>
      </c>
      <c r="CL24" s="971">
        <f>WWWW[[#This Row],['#_Water_Liters_from_Constructed/Existing water distribution system from river or natural spring]]/90/15</f>
        <v>0</v>
      </c>
      <c r="CM24" s="421">
        <f>IF(WWWW[[#This Row],['#_of water points in TLS/CFS]]*500&gt;WWWW[[#This Row],[Total PoP ]],WWWW[[#This Row],[Total PoP ]],WWWW[[#This Row],['#_of water points in TLS/CFS]]*500)</f>
        <v>0</v>
      </c>
      <c r="CN24" s="421">
        <f>IF(WWWW[[#This Row],['#_of water points in THF]]*500&gt;WWWW[[#This Row],[Total PoP ]],WWWW[[#This Row],[Total PoP ]],WWWW[[#This Row],['#_of water points in THF]]*500)</f>
        <v>0</v>
      </c>
      <c r="CO24" s="421"/>
      <c r="CP2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 s="970">
        <f>IF(WWWW[[#This Row],[Location Type 1]]="Village",WWWW[[#This Row],[Access to safe drinking water for Village]],WWWW[[#This Row],[Access to safe drinking water for Camp]])</f>
        <v>1</v>
      </c>
      <c r="CS24" s="968">
        <f>WWWW[[#This Row],[%Equitable and continuous access to sufficient quantity of safe drinking water]]*WWWW[[#This Row],[Total PoP ]]</f>
        <v>249</v>
      </c>
      <c r="CT24" s="970">
        <f>IF((WWWW[[#This Row],['#_Constructed/Existing protected/fenced ponds]]*250)/WWWW[[#This Row],[Total PoP ]]&gt;1,1,(WWWW[[#This Row],['#_Constructed/Existing protected/fenced ponds]]*250)/WWWW[[#This Row],[Total PoP ]])</f>
        <v>1</v>
      </c>
      <c r="CU24" s="968">
        <f>WWWW[[#This Row],[% Access to unimproved water points]]*WWWW[[#This Row],[Total PoP ]]</f>
        <v>249</v>
      </c>
      <c r="CV2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X24" s="968">
        <f>WWWW[[#This Row],[HRP1]]/500</f>
        <v>0.498</v>
      </c>
      <c r="CY24" s="973">
        <f>1-WWWW[[#This Row],[% Equitable and continuous access to sufficient quantity of domestic water]]</f>
        <v>0</v>
      </c>
      <c r="CZ24" s="968">
        <f>WWWW[[#This Row],[%equitable and continuous access to sufficient quantity of safe drinking and domestic water''s GAP]]*WWWW[[#This Row],[Total PoP ]]</f>
        <v>0</v>
      </c>
      <c r="DA24" s="971">
        <f>IF(WWWW[[#This Row],[Total required water points]]-WWWW[[#This Row],['#Water points coverage]]&lt;0,0,WWWW[[#This Row],[Total required water points]]-WWWW[[#This Row],['#Water points coverage]])</f>
        <v>0.502</v>
      </c>
      <c r="DB24" s="971">
        <f>ROUND(IF(WWWW[[#This Row],[Total PoP ]]&lt;500,1,WWWW[[#This Row],[Total PoP ]]/500),0)</f>
        <v>1</v>
      </c>
      <c r="DC24" s="971">
        <f>(WWWW[[#This Row],['#_Constructed latrines_by_WASHAgencies]]+WWWW[[#This Row],['#_Non Cluster partner latrines]])-WWWW[[#This Row],['#_Non-functional latrines]]</f>
        <v>10</v>
      </c>
      <c r="DD24" s="619">
        <f>WWWW[[#This Row],[HRP2]]/WWWW[[#This Row],[Total PoP ]]</f>
        <v>0.80321285140562249</v>
      </c>
      <c r="DE2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2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 s="421">
        <f>IF(WWWW[[#This Row],['# of functional latrines in THF supported by WASH partners during the reporting period2]]="",0,WWWW[[#This Row],['# of functional latrines in THF supported by WASH partners during the reporting period2]]*50)</f>
        <v>0</v>
      </c>
      <c r="DI24" s="971">
        <f>ROUND(IF(WWWW[[#This Row],[Location Type 1]]="camp",WWWW[[#This Row],[Total PoP ]]/20,IF(WWWW[[#This Row],[Location Type 1]]="Temporary Location",WWWW[[#This Row],[Total PoP ]]/50,(WWWW[[#This Row],[Total PoP ]]/6))),0)</f>
        <v>12</v>
      </c>
      <c r="DJ24" s="971">
        <f>IF(WWWW[[#This Row],[Total required Latrines]]-(WWWW[[#This Row],['#_Constructed latrines_by_WASHAgencies]]+WWWW[[#This Row],['#_Non Cluster partner latrines]])&lt;0,0,WWWW[[#This Row],[Total required Latrines]]-(WWWW[[#This Row],['#_Constructed latrines_by_WASHAgencies]]+WWWW[[#This Row],['#_Non Cluster partner latrines]]))</f>
        <v>2</v>
      </c>
      <c r="DK24" s="973">
        <f>1-WWWW[[#This Row],[% people access to functioning Latrine]]</f>
        <v>0.19678714859437751</v>
      </c>
      <c r="DL24" s="972">
        <f>IF(OR(WWWW[[#This Row],['#_Non-functional latrines]]="",WWWW[[#This Row],['#_Non-functional latrines]]=0),0,WWWW[[#This Row],['#_Non-functional latrines]]/(WWWW[[#This Row],['#_Constructed latrines_by_WASHAgencies]]+WWWW[[#This Row],['#_Non Cluster partner latrines]]))</f>
        <v>0</v>
      </c>
      <c r="DM24" s="968">
        <f>IF(500*(WWWW[[#This Row],['#_male hygiene promoters]]+WWWW[[#This Row],['#_female hygiene promoters]])&gt;WWWW[[#This Row],[Total PoP ]],WWWW[[#This Row],[Total PoP ]],500*(WWWW[[#This Row],['#_male hygiene promoters]]+WWWW[[#This Row],['#_female hygiene promoters]]))</f>
        <v>249</v>
      </c>
      <c r="DN2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DO2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24" s="971">
        <f>IF(WWWW[[#This Row],['# People with access to soap]]&gt;WWWW[[#This Row],['# People with access to Sanity Pads]],WWWW[[#This Row],['# People with access to soap]],WWWW[[#This Row],['# People with access to Sanity Pads]])</f>
        <v>249</v>
      </c>
      <c r="DQ24" s="971">
        <f>IF(WWWW[[#This Row],['# people reached by regular dedicated hygiene promotion_5]]&gt;WWWW[[#This Row],['# People received regular supply of hygiene items_6]],WWWW[[#This Row],['# people reached by regular dedicated hygiene promotion_5]],WWWW[[#This Row],['# People received regular supply of hygiene items_6]])</f>
        <v>249</v>
      </c>
      <c r="DR24" s="973">
        <f>IF(WWWW[[#This Row],[HRP3]]/WWWW[[#This Row],[Total PoP ]]&gt;1,1,WWWW[[#This Row],[HRP3]]/WWWW[[#This Row],[Total PoP ]])</f>
        <v>1</v>
      </c>
      <c r="DS24" s="972">
        <f>1-WWWW[[#This Row],[Hygiene Coverage%]]</f>
        <v>0</v>
      </c>
      <c r="DT24" s="970">
        <f>WWWW[[#This Row],['# people reached by regular dedicated hygiene promotion_5]]/WWWW[[#This Row],[Total PoP ]]</f>
        <v>1</v>
      </c>
      <c r="DU2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4" s="971">
        <f>WWWW[[#This Row],['#_Constructed/Existing hand washing stations]]-WWWW[[#This Row],['#_Non-Functional_hand_washing_stations]]</f>
        <v>2</v>
      </c>
      <c r="DX24" s="968">
        <f>IF(WWWW[[#This Row],['# Functional hand washing stations during reporting period]]*20&gt;WWWW[[#This Row],[Total HH]],WWWW[[#This Row],[Total HH]],WWWW[[#This Row],['# Functional hand washing stations during reporting period]]*20)</f>
        <v>40</v>
      </c>
      <c r="DY24" s="968">
        <f>IF(WWWW[[#This Row],[Is sufficient soap available for TLS? (Yes/No)]]="yes",WWWW[[#This Row],['#_Constructed/Existing hand washing stations at TLS/CFS/THF]],0)</f>
        <v>0</v>
      </c>
      <c r="DZ24" s="425">
        <f>IF(WWWW[[#This Row],['# Functional hand washing stations during reporting period]]*100&gt;WWWW[[#This Row],[Total PoP ]],WWWW[[#This Row],[Total PoP ]],WWWW[[#This Row],['# Functional hand washing stations during reporting period]]*100)</f>
        <v>200</v>
      </c>
      <c r="EA24" s="425" t="str">
        <f>IF(OR(WWWW[[#This Row],['#_students at TLS_CFS]]="",WWWW[[#This Row],['#_students at TLS_CFS]]=0),"No","Yes")</f>
        <v>Yes</v>
      </c>
      <c r="EB24" s="619">
        <f>IF(WWWW[[#This Row],['#_of_affected_people_surveyed_who_report_feeling_informed_about_the_different_WASH_services_available_to_them]]="","",WWWW[[#This Row],['#_of_affected_people_surveyed_who_report_feeling_informed_about_the_different_WASH_services_available_to_them]]/WWWW[[#This Row],[Total PoP ]])</f>
        <v>4.0160642570281124E-2</v>
      </c>
      <c r="EC24" s="570">
        <f>WWWW[[#This Row],[%_of_affected_people_surveyed_who_report_feeling_satistfied_with_the_latrine_design_and_sanitation_service]]*WWWW[[#This Row],[Total PoP ]]</f>
        <v>199.20000000000002</v>
      </c>
      <c r="ED24" s="570">
        <f>WWWW[[#This Row],[%_of_affected_people_surveyed_who_report_feeling_satistfied_with_the_water_point_design_and_water_service]]*WWWW[[#This Row],[Total PoP ]]</f>
        <v>174.29999999999998</v>
      </c>
      <c r="EE24" s="570">
        <f>WWWW[[#This Row],[%_of_complaints_received_that_result_in_timely_corrective_action_and_feedback_to_the_community]]*WWWW[[#This Row],[Total PoP ]]</f>
        <v>174.29999999999998</v>
      </c>
      <c r="EF2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199.20000000000002</v>
      </c>
      <c r="EG2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 s="964" t="str">
        <f>VLOOKUP(WWWW[[#This Row],[Site Name]],SiteDB6[[Site Name]:[CCCM Management]],6,FALSE)</f>
        <v>Yes</v>
      </c>
      <c r="EJ24" s="964" t="str">
        <f>VLOOKUP(WWWW[[#This Row],[Site Name]],SiteDB6[[Site Name]:[CCCM Focal Agency]],7,FALSE)</f>
        <v>KBC-MYT</v>
      </c>
      <c r="EK24" s="964" t="str">
        <f>VLOOKUP(WWWW[[#This Row],[Site Name]],SiteDB6[[Site Name]:[Location Type 1]],9,FALSE)</f>
        <v>Camp</v>
      </c>
      <c r="EL24" s="964" t="str">
        <f>VLOOKUP(WWWW[[#This Row],[Site Name]],SiteDB6[[Site Name]:[Type of Accommodation]],10,FALSE)</f>
        <v>Camp</v>
      </c>
      <c r="EM24" s="964" t="str">
        <f>VLOOKUP(WWWW[[#This Row],[Site Name]],SiteDB6[[Site Name]:[Ethnic or GCA/NGCA]],11,FALSE)</f>
        <v>GCA</v>
      </c>
      <c r="EN24" s="964">
        <f>VLOOKUP(WWWW[[#This Row],[Site Name]],SiteDB6[[Site Name]:[Lat]],12,FALSE)</f>
        <v>25.647649999999999</v>
      </c>
      <c r="EO24" s="964">
        <f>VLOOKUP(WWWW[[#This Row],[Site Name]],SiteDB6[[Site Name]:[Long]],13,FALSE)</f>
        <v>96.346469999999997</v>
      </c>
      <c r="EP24" s="964" t="str">
        <f>VLOOKUP(WWWW[[#This Row],[Site Name]],SiteDB6[[Site Name]:[Pcode]],3,FALSE)</f>
        <v>MMR001CMP169</v>
      </c>
      <c r="EQ24" s="969" t="str">
        <f t="shared" si="1"/>
        <v>Covered</v>
      </c>
      <c r="ER24" s="969" t="s">
        <v>3147</v>
      </c>
      <c r="ES24" s="964">
        <f>VLOOKUP(WWWW[[#This Row],[Site Name]],SiteDB6[[Site Name]:[Pop
(Kachin/Shan-CCCM as of March 2023)]],16,FALSE)</f>
        <v>41</v>
      </c>
      <c r="ET24" s="964">
        <f>VLOOKUP(WWWW[[#This Row],[Site Name]],SiteDB6[[Site Name]:[Pop
(Kachin/Shan-CCCM as of March 2023)]],17,FALSE)</f>
        <v>249</v>
      </c>
    </row>
    <row r="25" spans="1:150" hidden="1">
      <c r="A25" s="962" t="s">
        <v>2977</v>
      </c>
      <c r="B25" s="962" t="s">
        <v>36</v>
      </c>
      <c r="C25" s="963" t="s">
        <v>36</v>
      </c>
      <c r="D25" s="963" t="s">
        <v>241</v>
      </c>
      <c r="E25" s="963" t="s">
        <v>37</v>
      </c>
      <c r="F25" s="963" t="s">
        <v>142</v>
      </c>
      <c r="G25" s="964" t="str">
        <f>VLOOKUP(WWWW[[#This Row],[Site Name]],SiteDB6[[Site Name]:[Location Type]],8,FALSE)</f>
        <v>Camp</v>
      </c>
      <c r="H25" s="963" t="s">
        <v>237</v>
      </c>
      <c r="I25" s="965">
        <v>216</v>
      </c>
      <c r="J25" s="965">
        <v>1189</v>
      </c>
      <c r="K25" s="966">
        <v>44973</v>
      </c>
      <c r="L25" s="967">
        <v>45337</v>
      </c>
      <c r="M25" s="965"/>
      <c r="N25" s="965">
        <v>5</v>
      </c>
      <c r="O25" s="965"/>
      <c r="P25" s="965"/>
      <c r="Q25" s="968" t="s">
        <v>41</v>
      </c>
      <c r="R25" s="965">
        <v>4</v>
      </c>
      <c r="S25" s="965">
        <v>3</v>
      </c>
      <c r="T25" s="445">
        <v>11</v>
      </c>
      <c r="U25" s="965"/>
      <c r="V25" s="965"/>
      <c r="W25" s="965"/>
      <c r="X25" s="965"/>
      <c r="Y25" s="965"/>
      <c r="Z25" s="965"/>
      <c r="AA25" s="965"/>
      <c r="AB25" s="965"/>
      <c r="AC25" s="965"/>
      <c r="AD25" s="965"/>
      <c r="AE25" s="965"/>
      <c r="AF25" s="965"/>
      <c r="AG25" s="965"/>
      <c r="AH25" s="965"/>
      <c r="AI25" s="965"/>
      <c r="AJ25" s="965"/>
      <c r="AK25" s="965"/>
      <c r="AL25" s="965"/>
      <c r="AM25" s="965">
        <v>5</v>
      </c>
      <c r="AN25" s="965"/>
      <c r="AO25" s="445"/>
      <c r="AP25" s="969"/>
      <c r="AQ25" s="965">
        <v>97</v>
      </c>
      <c r="AR25" s="965"/>
      <c r="AS25" s="970"/>
      <c r="AT25" s="965"/>
      <c r="AU25" s="965"/>
      <c r="AV25" s="965"/>
      <c r="AW25" s="965"/>
      <c r="AX25" s="965"/>
      <c r="AY25" s="964" t="s">
        <v>41</v>
      </c>
      <c r="AZ25" s="969" t="s">
        <v>137</v>
      </c>
      <c r="BA25" s="965"/>
      <c r="BB25" s="965"/>
      <c r="BC25" s="965"/>
      <c r="BD25" s="445"/>
      <c r="BE25" s="445"/>
      <c r="BF25" s="964"/>
      <c r="BG25" s="965">
        <v>1</v>
      </c>
      <c r="BH25" s="965"/>
      <c r="BI25" s="965"/>
      <c r="BJ25" s="965">
        <v>4</v>
      </c>
      <c r="BK25" s="965"/>
      <c r="BL25" s="965"/>
      <c r="BM25" s="965">
        <v>2</v>
      </c>
      <c r="BN25" s="965"/>
      <c r="BO25" s="965"/>
      <c r="BP25" s="964" t="s">
        <v>41</v>
      </c>
      <c r="BQ25" s="971">
        <v>1</v>
      </c>
      <c r="BR25" s="970"/>
      <c r="BS25" s="1013" t="s">
        <v>3153</v>
      </c>
      <c r="BT25" s="420"/>
      <c r="BU25" s="420"/>
      <c r="BV25" s="422"/>
      <c r="BW25" s="420"/>
      <c r="BX25" s="445"/>
      <c r="BY25" s="445"/>
      <c r="BZ25" s="445"/>
      <c r="CA25" s="445"/>
      <c r="CB25" s="445"/>
      <c r="CC25" s="702"/>
      <c r="CD25" s="445"/>
      <c r="CE25" s="972" t="str">
        <f>IFERROR(WWWW[[#This Row],['#_Water sources passed]]/WWWW[[#This Row],['#_Water sources tested for fecal coliform ]],"no test")</f>
        <v>no test</v>
      </c>
      <c r="CF25" s="970" t="str">
        <f>IFERROR(WWWW[[#This Row],['#_Household passed]]/WWWW[[#This Row],['#_Household water samples tested for fecal coliform]],"no test")</f>
        <v>no test</v>
      </c>
      <c r="CG25" s="971" t="str">
        <f>IF(AND(WWWW[[#This Row],[% of water sources passed]]="no test",WWWW[[#This Row],[% Household passed]]="no test"),"No Test","Tested")</f>
        <v>No Test</v>
      </c>
      <c r="CH25" s="971">
        <f>WWWW[[#This Row],['#_Constructed/existing protected hand dug well]]-WWWW[[#This Row],['#_Non-functional protected hand dug well]]</f>
        <v>11</v>
      </c>
      <c r="CI25" s="971">
        <f>(WWWW[[#This Row],['#_Constructed/Existing tube wells/boreholes/handpumps_WASH_agency]]+WWWW[[#This Row],['#_Non-Cluster partner water tube-wells/boreholes/handpumps]])-WWWW[[#This Row],['#_Non-functional tube wells/boreholes/handpumps]]</f>
        <v>0</v>
      </c>
      <c r="CJ25" s="971">
        <f>WWWW[[#This Row],['#_Constructed/Existingwater storage tank with gravity fed reticulation system]]-WWWW[[#This Row],['#_Non-functional storage tank gravity fed reticulation system]]</f>
        <v>0</v>
      </c>
      <c r="CK25" s="971">
        <f>(WWWW[[#This Row],['#_Water_Liters_supplied_by_Water boating or water trucking]]/90)/15</f>
        <v>0</v>
      </c>
      <c r="CL25" s="971">
        <f>WWWW[[#This Row],['#_Water_Liters_from_Constructed/Existing water distribution system from river or natural spring]]/90/15</f>
        <v>0</v>
      </c>
      <c r="CM25" s="421">
        <f>IF(WWWW[[#This Row],['#_of water points in TLS/CFS]]*500&gt;WWWW[[#This Row],[Total PoP ]],WWWW[[#This Row],[Total PoP ]],WWWW[[#This Row],['#_of water points in TLS/CFS]]*500)</f>
        <v>0</v>
      </c>
      <c r="CN25" s="421">
        <f>IF(WWWW[[#This Row],['#_of water points in THF]]*500&gt;WWWW[[#This Row],[Total PoP ]],WWWW[[#This Row],[Total PoP ]],WWWW[[#This Row],['#_of water points in THF]]*500)</f>
        <v>0</v>
      </c>
      <c r="CO25" s="421"/>
      <c r="CP2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 s="970">
        <f>IF(WWWW[[#This Row],[Location Type 1]]="Village",WWWW[[#This Row],[Access to safe drinking water for Village]],WWWW[[#This Row],[Access to safe drinking water for Camp]])</f>
        <v>1</v>
      </c>
      <c r="CS25" s="968">
        <f>WWWW[[#This Row],[%Equitable and continuous access to sufficient quantity of safe drinking water]]*WWWW[[#This Row],[Total PoP ]]</f>
        <v>1189</v>
      </c>
      <c r="CT25" s="970">
        <f>IF((WWWW[[#This Row],['#_Constructed/Existing protected/fenced ponds]]*250)/WWWW[[#This Row],[Total PoP ]]&gt;1,1,(WWWW[[#This Row],['#_Constructed/Existing protected/fenced ponds]]*250)/WWWW[[#This Row],[Total PoP ]])</f>
        <v>0</v>
      </c>
      <c r="CU25" s="968">
        <f>WWWW[[#This Row],[% Access to unimproved water points]]*WWWW[[#This Row],[Total PoP ]]</f>
        <v>0</v>
      </c>
      <c r="CV2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1189</v>
      </c>
      <c r="CX25" s="968">
        <f>WWWW[[#This Row],[HRP1]]/500</f>
        <v>2.3780000000000001</v>
      </c>
      <c r="CY25" s="973">
        <f>1-WWWW[[#This Row],[% Equitable and continuous access to sufficient quantity of domestic water]]</f>
        <v>0</v>
      </c>
      <c r="CZ25" s="968">
        <f>WWWW[[#This Row],[%equitable and continuous access to sufficient quantity of safe drinking and domestic water''s GAP]]*WWWW[[#This Row],[Total PoP ]]</f>
        <v>0</v>
      </c>
      <c r="DA25" s="971">
        <f>IF(WWWW[[#This Row],[Total required water points]]-WWWW[[#This Row],['#Water points coverage]]&lt;0,0,WWWW[[#This Row],[Total required water points]]-WWWW[[#This Row],['#Water points coverage]])</f>
        <v>0</v>
      </c>
      <c r="DB25" s="971">
        <f>ROUND(IF(WWWW[[#This Row],[Total PoP ]]&lt;500,1,WWWW[[#This Row],[Total PoP ]]/500),0)</f>
        <v>2</v>
      </c>
      <c r="DC25" s="971">
        <f>(WWWW[[#This Row],['#_Constructed latrines_by_WASHAgencies]]+WWWW[[#This Row],['#_Non Cluster partner latrines]])-WWWW[[#This Row],['#_Non-functional latrines]]</f>
        <v>97</v>
      </c>
      <c r="DD25" s="619">
        <f>WWWW[[#This Row],[HRP2]]/WWWW[[#This Row],[Total PoP ]]</f>
        <v>1</v>
      </c>
      <c r="DE2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1189</v>
      </c>
      <c r="DF2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 s="421">
        <f>IF(WWWW[[#This Row],['# of functional latrines in THF supported by WASH partners during the reporting period2]]="",0,WWWW[[#This Row],['# of functional latrines in THF supported by WASH partners during the reporting period2]]*50)</f>
        <v>0</v>
      </c>
      <c r="DI25" s="971">
        <f>ROUND(IF(WWWW[[#This Row],[Location Type 1]]="camp",WWWW[[#This Row],[Total PoP ]]/20,IF(WWWW[[#This Row],[Location Type 1]]="Temporary Location",WWWW[[#This Row],[Total PoP ]]/50,(WWWW[[#This Row],[Total PoP ]]/6))),0)</f>
        <v>59</v>
      </c>
      <c r="DJ25" s="971">
        <f>IF(WWWW[[#This Row],[Total required Latrines]]-(WWWW[[#This Row],['#_Constructed latrines_by_WASHAgencies]]+WWWW[[#This Row],['#_Non Cluster partner latrines]])&lt;0,0,WWWW[[#This Row],[Total required Latrines]]-(WWWW[[#This Row],['#_Constructed latrines_by_WASHAgencies]]+WWWW[[#This Row],['#_Non Cluster partner latrines]]))</f>
        <v>0</v>
      </c>
      <c r="DK25" s="973">
        <f>1-WWWW[[#This Row],[% people access to functioning Latrine]]</f>
        <v>0</v>
      </c>
      <c r="DL25" s="972">
        <f>IF(OR(WWWW[[#This Row],['#_Non-functional latrines]]="",WWWW[[#This Row],['#_Non-functional latrines]]=0),0,WWWW[[#This Row],['#_Non-functional latrines]]/(WWWW[[#This Row],['#_Constructed latrines_by_WASHAgencies]]+WWWW[[#This Row],['#_Non Cluster partner latrines]]))</f>
        <v>0</v>
      </c>
      <c r="DM25" s="968">
        <f>IF(500*(WWWW[[#This Row],['#_male hygiene promoters]]+WWWW[[#This Row],['#_female hygiene promoters]])&gt;WWWW[[#This Row],[Total PoP ]],WWWW[[#This Row],[Total PoP ]],500*(WWWW[[#This Row],['#_male hygiene promoters]]+WWWW[[#This Row],['#_female hygiene promoters]]))</f>
        <v>1000</v>
      </c>
      <c r="DN2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 s="971">
        <f>IF(WWWW[[#This Row],['# People with access to soap]]&gt;WWWW[[#This Row],['# People with access to Sanity Pads]],WWWW[[#This Row],['# People with access to soap]],WWWW[[#This Row],['# People with access to Sanity Pads]])</f>
        <v>0</v>
      </c>
      <c r="DQ25" s="971">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25" s="973">
        <f>IF(WWWW[[#This Row],[HRP3]]/WWWW[[#This Row],[Total PoP ]]&gt;1,1,WWWW[[#This Row],[HRP3]]/WWWW[[#This Row],[Total PoP ]])</f>
        <v>0.84104289318755254</v>
      </c>
      <c r="DS25" s="972">
        <f>1-WWWW[[#This Row],[Hygiene Coverage%]]</f>
        <v>0.15895710681244746</v>
      </c>
      <c r="DT25" s="970">
        <f>WWWW[[#This Row],['# people reached by regular dedicated hygiene promotion_5]]/WWWW[[#This Row],[Total PoP ]]</f>
        <v>0.84104289318755254</v>
      </c>
      <c r="DU2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 s="971">
        <f>WWWW[[#This Row],['#_Constructed/Existing hand washing stations]]-WWWW[[#This Row],['#_Non-Functional_hand_washing_stations]]</f>
        <v>1</v>
      </c>
      <c r="DX25" s="968">
        <f>IF(WWWW[[#This Row],['# Functional hand washing stations during reporting period]]*20&gt;WWWW[[#This Row],[Total HH]],WWWW[[#This Row],[Total HH]],WWWW[[#This Row],['# Functional hand washing stations during reporting period]]*20)</f>
        <v>20</v>
      </c>
      <c r="DY25" s="968">
        <f>IF(WWWW[[#This Row],[Is sufficient soap available for TLS? (Yes/No)]]="yes",WWWW[[#This Row],['#_Constructed/Existing hand washing stations at TLS/CFS/THF]],0)</f>
        <v>5</v>
      </c>
      <c r="DZ25" s="425">
        <f>IF(WWWW[[#This Row],['# Functional hand washing stations during reporting period]]*100&gt;WWWW[[#This Row],[Total PoP ]],WWWW[[#This Row],[Total PoP ]],WWWW[[#This Row],['# Functional hand washing stations during reporting period]]*100)</f>
        <v>100</v>
      </c>
      <c r="EA25" s="425" t="str">
        <f>IF(OR(WWWW[[#This Row],['#_students at TLS_CFS]]="",WWWW[[#This Row],['#_students at TLS_CFS]]=0),"No","Yes")</f>
        <v>No</v>
      </c>
      <c r="EB2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 s="570">
        <f>WWWW[[#This Row],[%_of_affected_people_surveyed_who_report_feeling_satistfied_with_the_latrine_design_and_sanitation_service]]*WWWW[[#This Row],[Total PoP ]]</f>
        <v>0</v>
      </c>
      <c r="ED25" s="570">
        <f>WWWW[[#This Row],[%_of_affected_people_surveyed_who_report_feeling_satistfied_with_the_water_point_design_and_water_service]]*WWWW[[#This Row],[Total PoP ]]</f>
        <v>0</v>
      </c>
      <c r="EE25" s="570">
        <f>WWWW[[#This Row],[%_of_complaints_received_that_result_in_timely_corrective_action_and_feedback_to_the_community]]*WWWW[[#This Row],[Total PoP ]]</f>
        <v>0</v>
      </c>
      <c r="EF2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 s="964" t="str">
        <f>VLOOKUP(WWWW[[#This Row],[Site Name]],SiteDB6[[Site Name]:[CCCM Management]],6,FALSE)</f>
        <v>Yes</v>
      </c>
      <c r="EJ25" s="964" t="str">
        <f>VLOOKUP(WWWW[[#This Row],[Site Name]],SiteDB6[[Site Name]:[CCCM Focal Agency]],7,FALSE)</f>
        <v>KMSS-MYT</v>
      </c>
      <c r="EK25" s="964" t="str">
        <f>VLOOKUP(WWWW[[#This Row],[Site Name]],SiteDB6[[Site Name]:[Location Type 1]],9,FALSE)</f>
        <v>Camp</v>
      </c>
      <c r="EL25" s="964" t="str">
        <f>VLOOKUP(WWWW[[#This Row],[Site Name]],SiteDB6[[Site Name]:[Type of Accommodation]],10,FALSE)</f>
        <v>Camp</v>
      </c>
      <c r="EM25" s="964" t="str">
        <f>VLOOKUP(WWWW[[#This Row],[Site Name]],SiteDB6[[Site Name]:[Ethnic or GCA/NGCA]],11,FALSE)</f>
        <v>GCA</v>
      </c>
      <c r="EN25" s="964">
        <f>VLOOKUP(WWWW[[#This Row],[Site Name]],SiteDB6[[Site Name]:[Lat]],12,FALSE)</f>
        <v>25.415667500000001</v>
      </c>
      <c r="EO25" s="964">
        <f>VLOOKUP(WWWW[[#This Row],[Site Name]],SiteDB6[[Site Name]:[Long]],13,FALSE)</f>
        <v>97.437782499999997</v>
      </c>
      <c r="EP25" s="964" t="str">
        <f>VLOOKUP(WWWW[[#This Row],[Site Name]],SiteDB6[[Site Name]:[Pcode]],3,FALSE)</f>
        <v>MMR001CMP029</v>
      </c>
      <c r="EQ25" s="969" t="str">
        <f t="shared" si="1"/>
        <v>Covered</v>
      </c>
      <c r="ER25" s="969" t="s">
        <v>3147</v>
      </c>
      <c r="ES25" s="964">
        <f>VLOOKUP(WWWW[[#This Row],[Site Name]],SiteDB6[[Site Name]:[Pop
(Kachin/Shan-CCCM as of March 2023)]],16,FALSE)</f>
        <v>274</v>
      </c>
      <c r="ET25" s="964">
        <f>VLOOKUP(WWWW[[#This Row],[Site Name]],SiteDB6[[Site Name]:[Pop
(Kachin/Shan-CCCM as of March 2023)]],17,FALSE)</f>
        <v>1490</v>
      </c>
    </row>
    <row r="26" spans="1:150" hidden="1">
      <c r="A26" s="962" t="s">
        <v>2977</v>
      </c>
      <c r="B26" s="963" t="s">
        <v>141</v>
      </c>
      <c r="C26" s="963" t="s">
        <v>141</v>
      </c>
      <c r="D26" s="963" t="s">
        <v>241</v>
      </c>
      <c r="E26" s="963" t="s">
        <v>37</v>
      </c>
      <c r="F26" s="963" t="s">
        <v>152</v>
      </c>
      <c r="G26" s="964" t="str">
        <f>VLOOKUP(WWWW[[#This Row],[Site Name]],SiteDB6[[Site Name]:[Location Type]],8,FALSE)</f>
        <v>Camp</v>
      </c>
      <c r="H26" s="963" t="s">
        <v>153</v>
      </c>
      <c r="I26" s="965">
        <v>13</v>
      </c>
      <c r="J26" s="965">
        <v>74</v>
      </c>
      <c r="K26" s="966">
        <v>44811</v>
      </c>
      <c r="L26" s="967">
        <v>45175</v>
      </c>
      <c r="M26" s="965"/>
      <c r="N26" s="965">
        <v>1</v>
      </c>
      <c r="O26" s="965"/>
      <c r="P26" s="965"/>
      <c r="Q26" s="968" t="s">
        <v>41</v>
      </c>
      <c r="R26" s="965">
        <v>2</v>
      </c>
      <c r="S26" s="965">
        <v>3</v>
      </c>
      <c r="T26" s="445">
        <v>1</v>
      </c>
      <c r="U26" s="965"/>
      <c r="V26" s="965"/>
      <c r="W26" s="965">
        <v>1</v>
      </c>
      <c r="X26" s="965"/>
      <c r="Y26" s="965"/>
      <c r="Z26" s="965"/>
      <c r="AA26" s="965"/>
      <c r="AB26" s="965"/>
      <c r="AC26" s="965"/>
      <c r="AD26" s="965"/>
      <c r="AE26" s="965"/>
      <c r="AF26" s="965"/>
      <c r="AG26" s="965"/>
      <c r="AH26" s="965">
        <v>2</v>
      </c>
      <c r="AI26" s="965"/>
      <c r="AJ26" s="965"/>
      <c r="AK26" s="965"/>
      <c r="AL26" s="965"/>
      <c r="AM26" s="965"/>
      <c r="AN26" s="965"/>
      <c r="AO26" s="445"/>
      <c r="AP26" s="969"/>
      <c r="AQ26" s="965">
        <v>6</v>
      </c>
      <c r="AR26" s="965"/>
      <c r="AS26" s="970"/>
      <c r="AT26" s="965"/>
      <c r="AU26" s="965"/>
      <c r="AV26" s="965"/>
      <c r="AW26" s="965"/>
      <c r="AX26" s="965">
        <v>6</v>
      </c>
      <c r="AY26" s="964" t="s">
        <v>41</v>
      </c>
      <c r="AZ26" s="969" t="s">
        <v>904</v>
      </c>
      <c r="BA26" s="965"/>
      <c r="BB26" s="965"/>
      <c r="BC26" s="965"/>
      <c r="BD26" s="445"/>
      <c r="BE26" s="445"/>
      <c r="BF26" s="964"/>
      <c r="BG26" s="965">
        <v>4</v>
      </c>
      <c r="BH26" s="965"/>
      <c r="BI26" s="965"/>
      <c r="BJ26" s="965">
        <v>2</v>
      </c>
      <c r="BK26" s="965"/>
      <c r="BL26" s="965"/>
      <c r="BM26" s="965"/>
      <c r="BN26" s="965"/>
      <c r="BO26" s="965"/>
      <c r="BP26" s="964"/>
      <c r="BQ26" s="971"/>
      <c r="BR26" s="970"/>
      <c r="BS26" s="964"/>
      <c r="BT26" s="420"/>
      <c r="BU26" s="420"/>
      <c r="BV26" s="422"/>
      <c r="BW26" s="420"/>
      <c r="BX26" s="445"/>
      <c r="BY26" s="445"/>
      <c r="BZ26" s="445"/>
      <c r="CA26" s="445"/>
      <c r="CB26" s="445"/>
      <c r="CC26" s="702"/>
      <c r="CD26" s="445"/>
      <c r="CE26" s="972" t="str">
        <f>IFERROR(WWWW[[#This Row],['#_Water sources passed]]/WWWW[[#This Row],['#_Water sources tested for fecal coliform ]],"no test")</f>
        <v>no test</v>
      </c>
      <c r="CF26" s="970" t="str">
        <f>IFERROR(WWWW[[#This Row],['#_Household passed]]/WWWW[[#This Row],['#_Household water samples tested for fecal coliform]],"no test")</f>
        <v>no test</v>
      </c>
      <c r="CG26" s="971" t="str">
        <f>IF(AND(WWWW[[#This Row],[% of water sources passed]]="no test",WWWW[[#This Row],[% Household passed]]="no test"),"No Test","Tested")</f>
        <v>No Test</v>
      </c>
      <c r="CH26" s="971">
        <f>WWWW[[#This Row],['#_Constructed/existing protected hand dug well]]-WWWW[[#This Row],['#_Non-functional protected hand dug well]]</f>
        <v>1</v>
      </c>
      <c r="CI26" s="971">
        <f>(WWWW[[#This Row],['#_Constructed/Existing tube wells/boreholes/handpumps_WASH_agency]]+WWWW[[#This Row],['#_Non-Cluster partner water tube-wells/boreholes/handpumps]])-WWWW[[#This Row],['#_Non-functional tube wells/boreholes/handpumps]]</f>
        <v>1</v>
      </c>
      <c r="CJ26" s="971">
        <f>WWWW[[#This Row],['#_Constructed/Existingwater storage tank with gravity fed reticulation system]]-WWWW[[#This Row],['#_Non-functional storage tank gravity fed reticulation system]]</f>
        <v>0</v>
      </c>
      <c r="CK26" s="971">
        <f>(WWWW[[#This Row],['#_Water_Liters_supplied_by_Water boating or water trucking]]/90)/15</f>
        <v>0</v>
      </c>
      <c r="CL26" s="971">
        <f>WWWW[[#This Row],['#_Water_Liters_from_Constructed/Existing water distribution system from river or natural spring]]/90/15</f>
        <v>0</v>
      </c>
      <c r="CM26" s="421">
        <f>IF(WWWW[[#This Row],['#_of water points in TLS/CFS]]*500&gt;WWWW[[#This Row],[Total PoP ]],WWWW[[#This Row],[Total PoP ]],WWWW[[#This Row],['#_of water points in TLS/CFS]]*500)</f>
        <v>0</v>
      </c>
      <c r="CN26" s="421">
        <f>IF(WWWW[[#This Row],['#_of water points in THF]]*500&gt;WWWW[[#This Row],[Total PoP ]],WWWW[[#This Row],[Total PoP ]],WWWW[[#This Row],['#_of water points in THF]]*500)</f>
        <v>0</v>
      </c>
      <c r="CO26" s="421"/>
      <c r="CP2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 s="970">
        <f>IF(WWWW[[#This Row],[Location Type 1]]="Village",WWWW[[#This Row],[Access to safe drinking water for Village]],WWWW[[#This Row],[Access to safe drinking water for Camp]])</f>
        <v>1</v>
      </c>
      <c r="CS26" s="968">
        <f>WWWW[[#This Row],[%Equitable and continuous access to sufficient quantity of safe drinking water]]*WWWW[[#This Row],[Total PoP ]]</f>
        <v>74</v>
      </c>
      <c r="CT26" s="970">
        <f>IF((WWWW[[#This Row],['#_Constructed/Existing protected/fenced ponds]]*250)/WWWW[[#This Row],[Total PoP ]]&gt;1,1,(WWWW[[#This Row],['#_Constructed/Existing protected/fenced ponds]]*250)/WWWW[[#This Row],[Total PoP ]])</f>
        <v>0</v>
      </c>
      <c r="CU26" s="968">
        <f>WWWW[[#This Row],[% Access to unimproved water points]]*WWWW[[#This Row],[Total PoP ]]</f>
        <v>0</v>
      </c>
      <c r="CV2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CX26" s="968">
        <f>WWWW[[#This Row],[HRP1]]/500</f>
        <v>0.14799999999999999</v>
      </c>
      <c r="CY26" s="973">
        <f>1-WWWW[[#This Row],[% Equitable and continuous access to sufficient quantity of domestic water]]</f>
        <v>0</v>
      </c>
      <c r="CZ26" s="968">
        <f>WWWW[[#This Row],[%equitable and continuous access to sufficient quantity of safe drinking and domestic water''s GAP]]*WWWW[[#This Row],[Total PoP ]]</f>
        <v>0</v>
      </c>
      <c r="DA26" s="971">
        <f>IF(WWWW[[#This Row],[Total required water points]]-WWWW[[#This Row],['#Water points coverage]]&lt;0,0,WWWW[[#This Row],[Total required water points]]-WWWW[[#This Row],['#Water points coverage]])</f>
        <v>0.85199999999999998</v>
      </c>
      <c r="DB26" s="971">
        <f>ROUND(IF(WWWW[[#This Row],[Total PoP ]]&lt;500,1,WWWW[[#This Row],[Total PoP ]]/500),0)</f>
        <v>1</v>
      </c>
      <c r="DC26" s="971">
        <f>(WWWW[[#This Row],['#_Constructed latrines_by_WASHAgencies]]+WWWW[[#This Row],['#_Non Cluster partner latrines]])-WWWW[[#This Row],['#_Non-functional latrines]]</f>
        <v>6</v>
      </c>
      <c r="DD26" s="619">
        <f>WWWW[[#This Row],[HRP2]]/WWWW[[#This Row],[Total PoP ]]</f>
        <v>1</v>
      </c>
      <c r="DE2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v>
      </c>
      <c r="DF2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 s="421">
        <f>IF(WWWW[[#This Row],['# of functional latrines in THF supported by WASH partners during the reporting period2]]="",0,WWWW[[#This Row],['# of functional latrines in THF supported by WASH partners during the reporting period2]]*50)</f>
        <v>0</v>
      </c>
      <c r="DI26" s="971">
        <f>ROUND(IF(WWWW[[#This Row],[Location Type 1]]="camp",WWWW[[#This Row],[Total PoP ]]/20,IF(WWWW[[#This Row],[Location Type 1]]="Temporary Location",WWWW[[#This Row],[Total PoP ]]/50,(WWWW[[#This Row],[Total PoP ]]/6))),0)</f>
        <v>4</v>
      </c>
      <c r="DJ26" s="971">
        <f>IF(WWWW[[#This Row],[Total required Latrines]]-(WWWW[[#This Row],['#_Constructed latrines_by_WASHAgencies]]+WWWW[[#This Row],['#_Non Cluster partner latrines]])&lt;0,0,WWWW[[#This Row],[Total required Latrines]]-(WWWW[[#This Row],['#_Constructed latrines_by_WASHAgencies]]+WWWW[[#This Row],['#_Non Cluster partner latrines]]))</f>
        <v>0</v>
      </c>
      <c r="DK26" s="973">
        <f>1-WWWW[[#This Row],[% people access to functioning Latrine]]</f>
        <v>0</v>
      </c>
      <c r="DL26" s="972">
        <f>IF(OR(WWWW[[#This Row],['#_Non-functional latrines]]="",WWWW[[#This Row],['#_Non-functional latrines]]=0),0,WWWW[[#This Row],['#_Non-functional latrines]]/(WWWW[[#This Row],['#_Constructed latrines_by_WASHAgencies]]+WWWW[[#This Row],['#_Non Cluster partner latrines]]))</f>
        <v>0</v>
      </c>
      <c r="DM26" s="968">
        <f>IF(500*(WWWW[[#This Row],['#_male hygiene promoters]]+WWWW[[#This Row],['#_female hygiene promoters]])&gt;WWWW[[#This Row],[Total PoP ]],WWWW[[#This Row],[Total PoP ]],500*(WWWW[[#This Row],['#_male hygiene promoters]]+WWWW[[#This Row],['#_female hygiene promoters]]))</f>
        <v>0</v>
      </c>
      <c r="DN2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 s="971">
        <f>IF(WWWW[[#This Row],['# People with access to soap]]&gt;WWWW[[#This Row],['# People with access to Sanity Pads]],WWWW[[#This Row],['# People with access to soap]],WWWW[[#This Row],['# People with access to Sanity Pads]])</f>
        <v>0</v>
      </c>
      <c r="DQ2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6" s="973">
        <f>IF(WWWW[[#This Row],[HRP3]]/WWWW[[#This Row],[Total PoP ]]&gt;1,1,WWWW[[#This Row],[HRP3]]/WWWW[[#This Row],[Total PoP ]])</f>
        <v>0</v>
      </c>
      <c r="DS26" s="972">
        <f>1-WWWW[[#This Row],[Hygiene Coverage%]]</f>
        <v>1</v>
      </c>
      <c r="DT26" s="970">
        <f>WWWW[[#This Row],['# people reached by regular dedicated hygiene promotion_5]]/WWWW[[#This Row],[Total PoP ]]</f>
        <v>0</v>
      </c>
      <c r="DU2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 s="971">
        <f>WWWW[[#This Row],['#_Constructed/Existing hand washing stations]]-WWWW[[#This Row],['#_Non-Functional_hand_washing_stations]]</f>
        <v>4</v>
      </c>
      <c r="DX26" s="968">
        <f>IF(WWWW[[#This Row],['# Functional hand washing stations during reporting period]]*20&gt;WWWW[[#This Row],[Total HH]],WWWW[[#This Row],[Total HH]],WWWW[[#This Row],['# Functional hand washing stations during reporting period]]*20)</f>
        <v>13</v>
      </c>
      <c r="DY26" s="968">
        <f>IF(WWWW[[#This Row],[Is sufficient soap available for TLS? (Yes/No)]]="yes",WWWW[[#This Row],['#_Constructed/Existing hand washing stations at TLS/CFS/THF]],0)</f>
        <v>0</v>
      </c>
      <c r="DZ26" s="425">
        <f>IF(WWWW[[#This Row],['# Functional hand washing stations during reporting period]]*100&gt;WWWW[[#This Row],[Total PoP ]],WWWW[[#This Row],[Total PoP ]],WWWW[[#This Row],['# Functional hand washing stations during reporting period]]*100)</f>
        <v>74</v>
      </c>
      <c r="EA26" s="425" t="str">
        <f>IF(OR(WWWW[[#This Row],['#_students at TLS_CFS]]="",WWWW[[#This Row],['#_students at TLS_CFS]]=0),"No","Yes")</f>
        <v>No</v>
      </c>
      <c r="EB2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 s="570">
        <f>WWWW[[#This Row],[%_of_affected_people_surveyed_who_report_feeling_satistfied_with_the_latrine_design_and_sanitation_service]]*WWWW[[#This Row],[Total PoP ]]</f>
        <v>0</v>
      </c>
      <c r="ED26" s="570">
        <f>WWWW[[#This Row],[%_of_affected_people_surveyed_who_report_feeling_satistfied_with_the_water_point_design_and_water_service]]*WWWW[[#This Row],[Total PoP ]]</f>
        <v>0</v>
      </c>
      <c r="EE26" s="570">
        <f>WWWW[[#This Row],[%_of_complaints_received_that_result_in_timely_corrective_action_and_feedback_to_the_community]]*WWWW[[#This Row],[Total PoP ]]</f>
        <v>0</v>
      </c>
      <c r="EF2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 s="964" t="str">
        <f>VLOOKUP(WWWW[[#This Row],[Site Name]],SiteDB6[[Site Name]:[CCCM Management]],6,FALSE)</f>
        <v>Yes</v>
      </c>
      <c r="EJ26" s="964" t="str">
        <f>VLOOKUP(WWWW[[#This Row],[Site Name]],SiteDB6[[Site Name]:[CCCM Focal Agency]],7,FALSE)</f>
        <v>KBC-MYT</v>
      </c>
      <c r="EK26" s="964" t="str">
        <f>VLOOKUP(WWWW[[#This Row],[Site Name]],SiteDB6[[Site Name]:[Location Type 1]],9,FALSE)</f>
        <v>Camp</v>
      </c>
      <c r="EL26" s="964" t="str">
        <f>VLOOKUP(WWWW[[#This Row],[Site Name]],SiteDB6[[Site Name]:[Type of Accommodation]],10,FALSE)</f>
        <v>Camp</v>
      </c>
      <c r="EM26" s="964" t="str">
        <f>VLOOKUP(WWWW[[#This Row],[Site Name]],SiteDB6[[Site Name]:[Ethnic or GCA/NGCA]],11,FALSE)</f>
        <v>GCA</v>
      </c>
      <c r="EN26" s="964">
        <f>VLOOKUP(WWWW[[#This Row],[Site Name]],SiteDB6[[Site Name]:[Lat]],12,FALSE)</f>
        <v>25.305669999999999</v>
      </c>
      <c r="EO26" s="964">
        <f>VLOOKUP(WWWW[[#This Row],[Site Name]],SiteDB6[[Site Name]:[Long]],13,FALSE)</f>
        <v>96.922619999999995</v>
      </c>
      <c r="EP26" s="964" t="str">
        <f>VLOOKUP(WWWW[[#This Row],[Site Name]],SiteDB6[[Site Name]:[Pcode]],3,FALSE)</f>
        <v>MMR001CMP078</v>
      </c>
      <c r="EQ26" s="969" t="str">
        <f t="shared" si="1"/>
        <v>Covered</v>
      </c>
      <c r="ER26" s="969" t="s">
        <v>3147</v>
      </c>
      <c r="ES26" s="964">
        <f>VLOOKUP(WWWW[[#This Row],[Site Name]],SiteDB6[[Site Name]:[Pop
(Kachin/Shan-CCCM as of March 2023)]],16,FALSE)</f>
        <v>13</v>
      </c>
      <c r="ET26" s="964">
        <f>VLOOKUP(WWWW[[#This Row],[Site Name]],SiteDB6[[Site Name]:[Pop
(Kachin/Shan-CCCM as of March 2023)]],17,FALSE)</f>
        <v>77</v>
      </c>
    </row>
    <row r="27" spans="1:150" hidden="1">
      <c r="A27" s="962" t="s">
        <v>2977</v>
      </c>
      <c r="B27" s="962" t="s">
        <v>242</v>
      </c>
      <c r="C27" s="963" t="s">
        <v>242</v>
      </c>
      <c r="D27" s="963" t="s">
        <v>299</v>
      </c>
      <c r="E27" s="963" t="s">
        <v>37</v>
      </c>
      <c r="F27" s="963" t="s">
        <v>148</v>
      </c>
      <c r="G27" s="964" t="str">
        <f>VLOOKUP(WWWW[[#This Row],[Site Name]],SiteDB6[[Site Name]:[Location Type]],8,FALSE)</f>
        <v>Camp</v>
      </c>
      <c r="H27" s="963" t="s">
        <v>251</v>
      </c>
      <c r="I27" s="965">
        <v>5</v>
      </c>
      <c r="J27" s="965">
        <v>24</v>
      </c>
      <c r="K27" s="966">
        <v>44562</v>
      </c>
      <c r="L27" s="967">
        <v>44926</v>
      </c>
      <c r="M27" s="965"/>
      <c r="N27" s="965">
        <v>1</v>
      </c>
      <c r="O27" s="965"/>
      <c r="P27" s="965"/>
      <c r="Q27" s="968" t="s">
        <v>41</v>
      </c>
      <c r="R27" s="965">
        <v>2</v>
      </c>
      <c r="S27" s="965">
        <v>2</v>
      </c>
      <c r="T27" s="445"/>
      <c r="U27" s="965"/>
      <c r="V27" s="965"/>
      <c r="W27" s="965"/>
      <c r="X27" s="965"/>
      <c r="Y27" s="965"/>
      <c r="Z27" s="965"/>
      <c r="AA27" s="965"/>
      <c r="AB27" s="965"/>
      <c r="AC27" s="965"/>
      <c r="AD27" s="965"/>
      <c r="AE27" s="965"/>
      <c r="AF27" s="965"/>
      <c r="AG27" s="965">
        <v>1</v>
      </c>
      <c r="AH27" s="965"/>
      <c r="AI27" s="965"/>
      <c r="AJ27" s="965"/>
      <c r="AK27" s="965"/>
      <c r="AL27" s="965"/>
      <c r="AM27" s="965"/>
      <c r="AN27" s="965"/>
      <c r="AO27" s="445"/>
      <c r="AP27" s="969"/>
      <c r="AQ27" s="965">
        <v>2</v>
      </c>
      <c r="AR27" s="965"/>
      <c r="AS27" s="970"/>
      <c r="AT27" s="965"/>
      <c r="AU27" s="965"/>
      <c r="AV27" s="965"/>
      <c r="AW27" s="965"/>
      <c r="AX27" s="965"/>
      <c r="AY27" s="964" t="s">
        <v>41</v>
      </c>
      <c r="AZ27" s="969" t="s">
        <v>137</v>
      </c>
      <c r="BA27" s="965"/>
      <c r="BB27" s="965"/>
      <c r="BC27" s="965"/>
      <c r="BD27" s="445"/>
      <c r="BE27" s="445"/>
      <c r="BF27" s="964"/>
      <c r="BG27" s="965">
        <v>1</v>
      </c>
      <c r="BH27" s="965"/>
      <c r="BI27" s="965"/>
      <c r="BJ27" s="965">
        <v>1</v>
      </c>
      <c r="BK27" s="965"/>
      <c r="BL27" s="965"/>
      <c r="BM27" s="965">
        <v>1</v>
      </c>
      <c r="BN27" s="965"/>
      <c r="BO27" s="965"/>
      <c r="BP27" s="964"/>
      <c r="BQ27" s="971"/>
      <c r="BR27" s="970"/>
      <c r="BS27" s="964"/>
      <c r="BT27" s="420"/>
      <c r="BU27" s="420"/>
      <c r="BV27" s="422"/>
      <c r="BW27" s="420"/>
      <c r="BX27" s="445"/>
      <c r="BY27" s="445"/>
      <c r="BZ27" s="445"/>
      <c r="CA27" s="445"/>
      <c r="CB27" s="445"/>
      <c r="CC27" s="702"/>
      <c r="CD27" s="445"/>
      <c r="CE27" s="972" t="str">
        <f>IFERROR(WWWW[[#This Row],['#_Water sources passed]]/WWWW[[#This Row],['#_Water sources tested for fecal coliform ]],"no test")</f>
        <v>no test</v>
      </c>
      <c r="CF27" s="970" t="str">
        <f>IFERROR(WWWW[[#This Row],['#_Household passed]]/WWWW[[#This Row],['#_Household water samples tested for fecal coliform]],"no test")</f>
        <v>no test</v>
      </c>
      <c r="CG27" s="971" t="str">
        <f>IF(AND(WWWW[[#This Row],[% of water sources passed]]="no test",WWWW[[#This Row],[% Household passed]]="no test"),"No Test","Tested")</f>
        <v>No Test</v>
      </c>
      <c r="CH27" s="971">
        <f>WWWW[[#This Row],['#_Constructed/existing protected hand dug well]]-WWWW[[#This Row],['#_Non-functional protected hand dug well]]</f>
        <v>0</v>
      </c>
      <c r="CI27" s="971">
        <f>(WWWW[[#This Row],['#_Constructed/Existing tube wells/boreholes/handpumps_WASH_agency]]+WWWW[[#This Row],['#_Non-Cluster partner water tube-wells/boreholes/handpumps]])-WWWW[[#This Row],['#_Non-functional tube wells/boreholes/handpumps]]</f>
        <v>0</v>
      </c>
      <c r="CJ27" s="971">
        <f>WWWW[[#This Row],['#_Constructed/Existingwater storage tank with gravity fed reticulation system]]-WWWW[[#This Row],['#_Non-functional storage tank gravity fed reticulation system]]</f>
        <v>0</v>
      </c>
      <c r="CK27" s="971">
        <f>(WWWW[[#This Row],['#_Water_Liters_supplied_by_Water boating or water trucking]]/90)/15</f>
        <v>0</v>
      </c>
      <c r="CL27" s="971">
        <f>WWWW[[#This Row],['#_Water_Liters_from_Constructed/Existing water distribution system from river or natural spring]]/90/15</f>
        <v>0</v>
      </c>
      <c r="CM27" s="421">
        <f>IF(WWWW[[#This Row],['#_of water points in TLS/CFS]]*500&gt;WWWW[[#This Row],[Total PoP ]],WWWW[[#This Row],[Total PoP ]],WWWW[[#This Row],['#_of water points in TLS/CFS]]*500)</f>
        <v>0</v>
      </c>
      <c r="CN27" s="421">
        <f>IF(WWWW[[#This Row],['#_of water points in THF]]*500&gt;WWWW[[#This Row],[Total PoP ]],WWWW[[#This Row],[Total PoP ]],WWWW[[#This Row],['#_of water points in THF]]*500)</f>
        <v>0</v>
      </c>
      <c r="CO27" s="421"/>
      <c r="CP2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 s="970">
        <f>IF(WWWW[[#This Row],[Location Type 1]]="Village",WWWW[[#This Row],[Access to safe drinking water for Village]],WWWW[[#This Row],[Access to safe drinking water for Camp]])</f>
        <v>0</v>
      </c>
      <c r="CS27" s="968">
        <f>WWWW[[#This Row],[%Equitable and continuous access to sufficient quantity of safe drinking water]]*WWWW[[#This Row],[Total PoP ]]</f>
        <v>0</v>
      </c>
      <c r="CT27" s="970">
        <f>IF((WWWW[[#This Row],['#_Constructed/Existing protected/fenced ponds]]*250)/WWWW[[#This Row],[Total PoP ]]&gt;1,1,(WWWW[[#This Row],['#_Constructed/Existing protected/fenced ponds]]*250)/WWWW[[#This Row],[Total PoP ]])</f>
        <v>0</v>
      </c>
      <c r="CU27" s="968">
        <f>WWWW[[#This Row],[% Access to unimproved water points]]*WWWW[[#This Row],[Total PoP ]]</f>
        <v>0</v>
      </c>
      <c r="CV2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 s="968">
        <f>WWWW[[#This Row],[HRP1]]/500</f>
        <v>0</v>
      </c>
      <c r="CY27" s="973">
        <f>1-WWWW[[#This Row],[% Equitable and continuous access to sufficient quantity of domestic water]]</f>
        <v>1</v>
      </c>
      <c r="CZ27" s="968">
        <f>WWWW[[#This Row],[%equitable and continuous access to sufficient quantity of safe drinking and domestic water''s GAP]]*WWWW[[#This Row],[Total PoP ]]</f>
        <v>24</v>
      </c>
      <c r="DA27" s="971">
        <f>IF(WWWW[[#This Row],[Total required water points]]-WWWW[[#This Row],['#Water points coverage]]&lt;0,0,WWWW[[#This Row],[Total required water points]]-WWWW[[#This Row],['#Water points coverage]])</f>
        <v>1</v>
      </c>
      <c r="DB27" s="971">
        <f>ROUND(IF(WWWW[[#This Row],[Total PoP ]]&lt;500,1,WWWW[[#This Row],[Total PoP ]]/500),0)</f>
        <v>1</v>
      </c>
      <c r="DC27" s="971">
        <f>(WWWW[[#This Row],['#_Constructed latrines_by_WASHAgencies]]+WWWW[[#This Row],['#_Non Cluster partner latrines]])-WWWW[[#This Row],['#_Non-functional latrines]]</f>
        <v>2</v>
      </c>
      <c r="DD27" s="619">
        <f>WWWW[[#This Row],[HRP2]]/WWWW[[#This Row],[Total PoP ]]</f>
        <v>1</v>
      </c>
      <c r="DE2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2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 s="421">
        <f>IF(WWWW[[#This Row],['# of functional latrines in THF supported by WASH partners during the reporting period2]]="",0,WWWW[[#This Row],['# of functional latrines in THF supported by WASH partners during the reporting period2]]*50)</f>
        <v>0</v>
      </c>
      <c r="DI27" s="971">
        <f>ROUND(IF(WWWW[[#This Row],[Location Type 1]]="camp",WWWW[[#This Row],[Total PoP ]]/20,IF(WWWW[[#This Row],[Location Type 1]]="Temporary Location",WWWW[[#This Row],[Total PoP ]]/50,(WWWW[[#This Row],[Total PoP ]]/6))),0)</f>
        <v>1</v>
      </c>
      <c r="DJ27" s="971">
        <f>IF(WWWW[[#This Row],[Total required Latrines]]-(WWWW[[#This Row],['#_Constructed latrines_by_WASHAgencies]]+WWWW[[#This Row],['#_Non Cluster partner latrines]])&lt;0,0,WWWW[[#This Row],[Total required Latrines]]-(WWWW[[#This Row],['#_Constructed latrines_by_WASHAgencies]]+WWWW[[#This Row],['#_Non Cluster partner latrines]]))</f>
        <v>0</v>
      </c>
      <c r="DK27" s="973">
        <f>1-WWWW[[#This Row],[% people access to functioning Latrine]]</f>
        <v>0</v>
      </c>
      <c r="DL27" s="972">
        <f>IF(OR(WWWW[[#This Row],['#_Non-functional latrines]]="",WWWW[[#This Row],['#_Non-functional latrines]]=0),0,WWWW[[#This Row],['#_Non-functional latrines]]/(WWWW[[#This Row],['#_Constructed latrines_by_WASHAgencies]]+WWWW[[#This Row],['#_Non Cluster partner latrines]]))</f>
        <v>0</v>
      </c>
      <c r="DM27" s="968">
        <f>IF(500*(WWWW[[#This Row],['#_male hygiene promoters]]+WWWW[[#This Row],['#_female hygiene promoters]])&gt;WWWW[[#This Row],[Total PoP ]],WWWW[[#This Row],[Total PoP ]],500*(WWWW[[#This Row],['#_male hygiene promoters]]+WWWW[[#This Row],['#_female hygiene promoters]]))</f>
        <v>24</v>
      </c>
      <c r="DN2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 s="971">
        <f>IF(WWWW[[#This Row],['# People with access to soap]]&gt;WWWW[[#This Row],['# People with access to Sanity Pads]],WWWW[[#This Row],['# People with access to soap]],WWWW[[#This Row],['# People with access to Sanity Pads]])</f>
        <v>0</v>
      </c>
      <c r="DQ27" s="971">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27" s="973">
        <f>IF(WWWW[[#This Row],[HRP3]]/WWWW[[#This Row],[Total PoP ]]&gt;1,1,WWWW[[#This Row],[HRP3]]/WWWW[[#This Row],[Total PoP ]])</f>
        <v>1</v>
      </c>
      <c r="DS27" s="972">
        <f>1-WWWW[[#This Row],[Hygiene Coverage%]]</f>
        <v>0</v>
      </c>
      <c r="DT27" s="970">
        <f>WWWW[[#This Row],['# people reached by regular dedicated hygiene promotion_5]]/WWWW[[#This Row],[Total PoP ]]</f>
        <v>1</v>
      </c>
      <c r="DU2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 s="971">
        <f>WWWW[[#This Row],['#_Constructed/Existing hand washing stations]]-WWWW[[#This Row],['#_Non-Functional_hand_washing_stations]]</f>
        <v>1</v>
      </c>
      <c r="DX27" s="968">
        <f>IF(WWWW[[#This Row],['# Functional hand washing stations during reporting period]]*20&gt;WWWW[[#This Row],[Total HH]],WWWW[[#This Row],[Total HH]],WWWW[[#This Row],['# Functional hand washing stations during reporting period]]*20)</f>
        <v>5</v>
      </c>
      <c r="DY27" s="968">
        <f>IF(WWWW[[#This Row],[Is sufficient soap available for TLS? (Yes/No)]]="yes",WWWW[[#This Row],['#_Constructed/Existing hand washing stations at TLS/CFS/THF]],0)</f>
        <v>0</v>
      </c>
      <c r="DZ27" s="425">
        <f>IF(WWWW[[#This Row],['# Functional hand washing stations during reporting period]]*100&gt;WWWW[[#This Row],[Total PoP ]],WWWW[[#This Row],[Total PoP ]],WWWW[[#This Row],['# Functional hand washing stations during reporting period]]*100)</f>
        <v>24</v>
      </c>
      <c r="EA27" s="425" t="str">
        <f>IF(OR(WWWW[[#This Row],['#_students at TLS_CFS]]="",WWWW[[#This Row],['#_students at TLS_CFS]]=0),"No","Yes")</f>
        <v>No</v>
      </c>
      <c r="EB2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 s="570">
        <f>WWWW[[#This Row],[%_of_affected_people_surveyed_who_report_feeling_satistfied_with_the_latrine_design_and_sanitation_service]]*WWWW[[#This Row],[Total PoP ]]</f>
        <v>0</v>
      </c>
      <c r="ED27" s="570">
        <f>WWWW[[#This Row],[%_of_affected_people_surveyed_who_report_feeling_satistfied_with_the_water_point_design_and_water_service]]*WWWW[[#This Row],[Total PoP ]]</f>
        <v>0</v>
      </c>
      <c r="EE27" s="570">
        <f>WWWW[[#This Row],[%_of_complaints_received_that_result_in_timely_corrective_action_and_feedback_to_the_community]]*WWWW[[#This Row],[Total PoP ]]</f>
        <v>0</v>
      </c>
      <c r="EF2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 s="964" t="str">
        <f>VLOOKUP(WWWW[[#This Row],[Site Name]],SiteDB6[[Site Name]:[CCCM Management]],6,FALSE)</f>
        <v>Yes</v>
      </c>
      <c r="EJ27" s="964" t="str">
        <f>VLOOKUP(WWWW[[#This Row],[Site Name]],SiteDB6[[Site Name]:[CCCM Focal Agency]],7,FALSE)</f>
        <v>Shalom</v>
      </c>
      <c r="EK27" s="964" t="str">
        <f>VLOOKUP(WWWW[[#This Row],[Site Name]],SiteDB6[[Site Name]:[Location Type 1]],9,FALSE)</f>
        <v>Camp</v>
      </c>
      <c r="EL27" s="964" t="str">
        <f>VLOOKUP(WWWW[[#This Row],[Site Name]],SiteDB6[[Site Name]:[Type of Accommodation]],10,FALSE)</f>
        <v>Camp like setting</v>
      </c>
      <c r="EM27" s="964" t="str">
        <f>VLOOKUP(WWWW[[#This Row],[Site Name]],SiteDB6[[Site Name]:[Ethnic or GCA/NGCA]],11,FALSE)</f>
        <v>GCA</v>
      </c>
      <c r="EN27" s="964">
        <f>VLOOKUP(WWWW[[#This Row],[Site Name]],SiteDB6[[Site Name]:[Lat]],12,FALSE)</f>
        <v>25.582065</v>
      </c>
      <c r="EO27" s="964">
        <f>VLOOKUP(WWWW[[#This Row],[Site Name]],SiteDB6[[Site Name]:[Long]],13,FALSE)</f>
        <v>96.283377000000002</v>
      </c>
      <c r="EP27" s="964" t="str">
        <f>VLOOKUP(WWWW[[#This Row],[Site Name]],SiteDB6[[Site Name]:[Pcode]],3,FALSE)</f>
        <v>MMR001CMP109</v>
      </c>
      <c r="EQ27" s="969" t="str">
        <f t="shared" si="1"/>
        <v>Covered</v>
      </c>
      <c r="ER27" s="969" t="s">
        <v>3147</v>
      </c>
      <c r="ES27" s="964">
        <f>VLOOKUP(WWWW[[#This Row],[Site Name]],SiteDB6[[Site Name]:[Pop
(Kachin/Shan-CCCM as of March 2023)]],16,FALSE)</f>
        <v>5</v>
      </c>
      <c r="ET27" s="964">
        <f>VLOOKUP(WWWW[[#This Row],[Site Name]],SiteDB6[[Site Name]:[Pop
(Kachin/Shan-CCCM as of March 2023)]],17,FALSE)</f>
        <v>26</v>
      </c>
    </row>
    <row r="28" spans="1:150">
      <c r="A28" s="962" t="s">
        <v>2977</v>
      </c>
      <c r="B28" s="962" t="s">
        <v>276</v>
      </c>
      <c r="C28" s="963" t="s">
        <v>276</v>
      </c>
      <c r="D28" s="963" t="s">
        <v>2898</v>
      </c>
      <c r="E28" s="963" t="s">
        <v>37</v>
      </c>
      <c r="F28" s="963" t="s">
        <v>195</v>
      </c>
      <c r="G28" s="964" t="str">
        <f>VLOOKUP(WWWW[[#This Row],[Site Name]],SiteDB6[[Site Name]:[Location Type]],8,FALSE)</f>
        <v>Camp</v>
      </c>
      <c r="H28" s="963" t="s">
        <v>277</v>
      </c>
      <c r="I28" s="965">
        <v>145</v>
      </c>
      <c r="J28" s="965">
        <v>715</v>
      </c>
      <c r="K28" s="966">
        <v>44652</v>
      </c>
      <c r="L28" s="967">
        <v>45016</v>
      </c>
      <c r="M28" s="965"/>
      <c r="N28" s="965"/>
      <c r="O28" s="965">
        <v>3</v>
      </c>
      <c r="P28" s="965"/>
      <c r="Q28" s="968" t="s">
        <v>41</v>
      </c>
      <c r="R28" s="965">
        <v>5</v>
      </c>
      <c r="S28" s="965">
        <v>6</v>
      </c>
      <c r="T28" s="445">
        <v>2</v>
      </c>
      <c r="U28" s="965"/>
      <c r="V28" s="965"/>
      <c r="W28" s="965">
        <v>8</v>
      </c>
      <c r="X28" s="965"/>
      <c r="Y28" s="965"/>
      <c r="Z28" s="965"/>
      <c r="AA28" s="965"/>
      <c r="AB28" s="965"/>
      <c r="AC28" s="965"/>
      <c r="AD28" s="965"/>
      <c r="AE28" s="965"/>
      <c r="AF28" s="965"/>
      <c r="AG28" s="965">
        <v>3</v>
      </c>
      <c r="AH28" s="965"/>
      <c r="AI28" s="965">
        <v>5</v>
      </c>
      <c r="AJ28" s="965">
        <v>5</v>
      </c>
      <c r="AK28" s="965">
        <v>21</v>
      </c>
      <c r="AL28" s="965">
        <v>21</v>
      </c>
      <c r="AM28" s="965"/>
      <c r="AN28" s="965"/>
      <c r="AO28" s="445"/>
      <c r="AP28" s="969"/>
      <c r="AQ28" s="965">
        <v>52</v>
      </c>
      <c r="AR28" s="965"/>
      <c r="AS28" s="970"/>
      <c r="AT28" s="965"/>
      <c r="AU28" s="965">
        <v>5</v>
      </c>
      <c r="AV28" s="965">
        <v>129</v>
      </c>
      <c r="AW28" s="965">
        <v>144</v>
      </c>
      <c r="AX28" s="965"/>
      <c r="AY28" s="964" t="s">
        <v>41</v>
      </c>
      <c r="AZ28" s="969" t="s">
        <v>137</v>
      </c>
      <c r="BA28" s="965"/>
      <c r="BB28" s="965">
        <v>2</v>
      </c>
      <c r="BC28" s="965"/>
      <c r="BD28" s="445"/>
      <c r="BE28" s="445">
        <v>9</v>
      </c>
      <c r="BF28" s="964"/>
      <c r="BG28" s="965">
        <v>12</v>
      </c>
      <c r="BH28" s="965"/>
      <c r="BI28" s="965">
        <v>1</v>
      </c>
      <c r="BJ28" s="965">
        <v>5</v>
      </c>
      <c r="BK28" s="965"/>
      <c r="BL28" s="965"/>
      <c r="BM28" s="965">
        <v>3</v>
      </c>
      <c r="BN28" s="965">
        <v>108</v>
      </c>
      <c r="BO28" s="965">
        <v>100</v>
      </c>
      <c r="BP28" s="964" t="s">
        <v>136</v>
      </c>
      <c r="BQ28" s="971">
        <v>1</v>
      </c>
      <c r="BR28" s="970">
        <v>0.8</v>
      </c>
      <c r="BS28" s="964"/>
      <c r="BT28" s="420">
        <v>1</v>
      </c>
      <c r="BU28" s="420">
        <v>1</v>
      </c>
      <c r="BV28" s="422">
        <v>1</v>
      </c>
      <c r="BW28" s="420">
        <v>1</v>
      </c>
      <c r="BX28" s="445"/>
      <c r="BY28" s="445"/>
      <c r="BZ28" s="445"/>
      <c r="CA28" s="445"/>
      <c r="CB28" s="445"/>
      <c r="CC28" s="702"/>
      <c r="CD28" s="445"/>
      <c r="CE28" s="972">
        <f>IFERROR(WWWW[[#This Row],['#_Water sources passed]]/WWWW[[#This Row],['#_Water sources tested for fecal coliform ]],"no test")</f>
        <v>1</v>
      </c>
      <c r="CF28" s="970">
        <f>IFERROR(WWWW[[#This Row],['#_Household passed]]/WWWW[[#This Row],['#_Household water samples tested for fecal coliform]],"no test")</f>
        <v>1</v>
      </c>
      <c r="CG28" s="971" t="str">
        <f>IF(AND(WWWW[[#This Row],[% of water sources passed]]="no test",WWWW[[#This Row],[% Household passed]]="no test"),"No Test","Tested")</f>
        <v>Tested</v>
      </c>
      <c r="CH28" s="971">
        <f>WWWW[[#This Row],['#_Constructed/existing protected hand dug well]]-WWWW[[#This Row],['#_Non-functional protected hand dug well]]</f>
        <v>2</v>
      </c>
      <c r="CI28" s="971">
        <f>(WWWW[[#This Row],['#_Constructed/Existing tube wells/boreholes/handpumps_WASH_agency]]+WWWW[[#This Row],['#_Non-Cluster partner water tube-wells/boreholes/handpumps]])-WWWW[[#This Row],['#_Non-functional tube wells/boreholes/handpumps]]</f>
        <v>8</v>
      </c>
      <c r="CJ28" s="971">
        <f>WWWW[[#This Row],['#_Constructed/Existingwater storage tank with gravity fed reticulation system]]-WWWW[[#This Row],['#_Non-functional storage tank gravity fed reticulation system]]</f>
        <v>0</v>
      </c>
      <c r="CK28" s="971">
        <f>(WWWW[[#This Row],['#_Water_Liters_supplied_by_Water boating or water trucking]]/90)/15</f>
        <v>0</v>
      </c>
      <c r="CL28" s="971">
        <f>WWWW[[#This Row],['#_Water_Liters_from_Constructed/Existing water distribution system from river or natural spring]]/90/15</f>
        <v>0</v>
      </c>
      <c r="CM28" s="421">
        <f>IF(WWWW[[#This Row],['#_of water points in TLS/CFS]]*500&gt;WWWW[[#This Row],[Total PoP ]],WWWW[[#This Row],[Total PoP ]],WWWW[[#This Row],['#_of water points in TLS/CFS]]*500)</f>
        <v>0</v>
      </c>
      <c r="CN28" s="421">
        <f>IF(WWWW[[#This Row],['#_of water points in THF]]*500&gt;WWWW[[#This Row],[Total PoP ]],WWWW[[#This Row],[Total PoP ]],WWWW[[#This Row],['#_of water points in THF]]*500)</f>
        <v>0</v>
      </c>
      <c r="CO28" s="421"/>
      <c r="CP2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 s="970">
        <f>IF(WWWW[[#This Row],[Location Type 1]]="Village",WWWW[[#This Row],[Access to safe drinking water for Village]],WWWW[[#This Row],[Access to safe drinking water for Camp]])</f>
        <v>1</v>
      </c>
      <c r="CS28" s="968">
        <f>WWWW[[#This Row],[%Equitable and continuous access to sufficient quantity of safe drinking water]]*WWWW[[#This Row],[Total PoP ]]</f>
        <v>715</v>
      </c>
      <c r="CT28" s="970">
        <f>IF((WWWW[[#This Row],['#_Constructed/Existing protected/fenced ponds]]*250)/WWWW[[#This Row],[Total PoP ]]&gt;1,1,(WWWW[[#This Row],['#_Constructed/Existing protected/fenced ponds]]*250)/WWWW[[#This Row],[Total PoP ]])</f>
        <v>0</v>
      </c>
      <c r="CU28" s="968">
        <f>WWWW[[#This Row],[% Access to unimproved water points]]*WWWW[[#This Row],[Total PoP ]]</f>
        <v>0</v>
      </c>
      <c r="CV2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CX28" s="968">
        <f>WWWW[[#This Row],[HRP1]]/500</f>
        <v>1.43</v>
      </c>
      <c r="CY28" s="973">
        <f>1-WWWW[[#This Row],[% Equitable and continuous access to sufficient quantity of domestic water]]</f>
        <v>0</v>
      </c>
      <c r="CZ28" s="968">
        <f>WWWW[[#This Row],[%equitable and continuous access to sufficient quantity of safe drinking and domestic water''s GAP]]*WWWW[[#This Row],[Total PoP ]]</f>
        <v>0</v>
      </c>
      <c r="DA28" s="971">
        <f>IF(WWWW[[#This Row],[Total required water points]]-WWWW[[#This Row],['#Water points coverage]]&lt;0,0,WWWW[[#This Row],[Total required water points]]-WWWW[[#This Row],['#Water points coverage]])</f>
        <v>0</v>
      </c>
      <c r="DB28" s="971">
        <f>ROUND(IF(WWWW[[#This Row],[Total PoP ]]&lt;500,1,WWWW[[#This Row],[Total PoP ]]/500),0)</f>
        <v>1</v>
      </c>
      <c r="DC28" s="971">
        <f>(WWWW[[#This Row],['#_Constructed latrines_by_WASHAgencies]]+WWWW[[#This Row],['#_Non Cluster partner latrines]])-WWWW[[#This Row],['#_Non-functional latrines]]</f>
        <v>52</v>
      </c>
      <c r="DD28" s="619">
        <f>WWWW[[#This Row],[HRP2]]/WWWW[[#This Row],[Total PoP ]]</f>
        <v>1</v>
      </c>
      <c r="DE2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715</v>
      </c>
      <c r="DF2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715</v>
      </c>
      <c r="DG2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 s="421">
        <f>IF(WWWW[[#This Row],['# of functional latrines in THF supported by WASH partners during the reporting period2]]="",0,WWWW[[#This Row],['# of functional latrines in THF supported by WASH partners during the reporting period2]]*50)</f>
        <v>0</v>
      </c>
      <c r="DI28" s="971">
        <f>ROUND(IF(WWWW[[#This Row],[Location Type 1]]="camp",WWWW[[#This Row],[Total PoP ]]/20,IF(WWWW[[#This Row],[Location Type 1]]="Temporary Location",WWWW[[#This Row],[Total PoP ]]/50,(WWWW[[#This Row],[Total PoP ]]/6))),0)</f>
        <v>36</v>
      </c>
      <c r="DJ28" s="971">
        <f>IF(WWWW[[#This Row],[Total required Latrines]]-(WWWW[[#This Row],['#_Constructed latrines_by_WASHAgencies]]+WWWW[[#This Row],['#_Non Cluster partner latrines]])&lt;0,0,WWWW[[#This Row],[Total required Latrines]]-(WWWW[[#This Row],['#_Constructed latrines_by_WASHAgencies]]+WWWW[[#This Row],['#_Non Cluster partner latrines]]))</f>
        <v>0</v>
      </c>
      <c r="DK28" s="973">
        <f>1-WWWW[[#This Row],[% people access to functioning Latrine]]</f>
        <v>0</v>
      </c>
      <c r="DL28" s="972">
        <f>IF(OR(WWWW[[#This Row],['#_Non-functional latrines]]="",WWWW[[#This Row],['#_Non-functional latrines]]=0),0,WWWW[[#This Row],['#_Non-functional latrines]]/(WWWW[[#This Row],['#_Constructed latrines_by_WASHAgencies]]+WWWW[[#This Row],['#_Non Cluster partner latrines]]))</f>
        <v>0</v>
      </c>
      <c r="DM28" s="968">
        <f>IF(500*(WWWW[[#This Row],['#_male hygiene promoters]]+WWWW[[#This Row],['#_female hygiene promoters]])&gt;WWWW[[#This Row],[Total PoP ]],WWWW[[#This Row],[Total PoP ]],500*(WWWW[[#This Row],['#_male hygiene promoters]]+WWWW[[#This Row],['#_female hygiene promoters]]))</f>
        <v>715</v>
      </c>
      <c r="DN2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540</v>
      </c>
      <c r="DO2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28" s="971">
        <f>IF(WWWW[[#This Row],['# People with access to soap]]&gt;WWWW[[#This Row],['# People with access to Sanity Pads]],WWWW[[#This Row],['# People with access to soap]],WWWW[[#This Row],['# People with access to Sanity Pads]])</f>
        <v>540</v>
      </c>
      <c r="DQ28" s="971">
        <f>IF(WWWW[[#This Row],['# people reached by regular dedicated hygiene promotion_5]]&gt;WWWW[[#This Row],['# People received regular supply of hygiene items_6]],WWWW[[#This Row],['# people reached by regular dedicated hygiene promotion_5]],WWWW[[#This Row],['# People received regular supply of hygiene items_6]])</f>
        <v>715</v>
      </c>
      <c r="DR28" s="973">
        <f>IF(WWWW[[#This Row],[HRP3]]/WWWW[[#This Row],[Total PoP ]]&gt;1,1,WWWW[[#This Row],[HRP3]]/WWWW[[#This Row],[Total PoP ]])</f>
        <v>1</v>
      </c>
      <c r="DS28" s="972">
        <f>1-WWWW[[#This Row],[Hygiene Coverage%]]</f>
        <v>0</v>
      </c>
      <c r="DT28" s="970">
        <f>WWWW[[#This Row],['# people reached by regular dedicated hygiene promotion_5]]/WWWW[[#This Row],[Total PoP ]]</f>
        <v>1</v>
      </c>
      <c r="DU2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0.68965517241379315</v>
      </c>
      <c r="DW28" s="971">
        <f>WWWW[[#This Row],['#_Constructed/Existing hand washing stations]]-WWWW[[#This Row],['#_Non-Functional_hand_washing_stations]]</f>
        <v>12</v>
      </c>
      <c r="DX28" s="968">
        <f>IF(WWWW[[#This Row],['# Functional hand washing stations during reporting period]]*20&gt;WWWW[[#This Row],[Total HH]],WWWW[[#This Row],[Total HH]],WWWW[[#This Row],['# Functional hand washing stations during reporting period]]*20)</f>
        <v>145</v>
      </c>
      <c r="DY28" s="968">
        <f>IF(WWWW[[#This Row],[Is sufficient soap available for TLS? (Yes/No)]]="yes",WWWW[[#This Row],['#_Constructed/Existing hand washing stations at TLS/CFS/THF]],0)</f>
        <v>0</v>
      </c>
      <c r="DZ28" s="425">
        <f>IF(WWWW[[#This Row],['# Functional hand washing stations during reporting period]]*100&gt;WWWW[[#This Row],[Total PoP ]],WWWW[[#This Row],[Total PoP ]],WWWW[[#This Row],['# Functional hand washing stations during reporting period]]*100)</f>
        <v>715</v>
      </c>
      <c r="EA28" s="425" t="str">
        <f>IF(OR(WWWW[[#This Row],['#_students at TLS_CFS]]="",WWWW[[#This Row],['#_students at TLS_CFS]]=0),"No","Yes")</f>
        <v>No</v>
      </c>
      <c r="EB28" s="619">
        <f>IF(WWWW[[#This Row],['#_of_affected_people_surveyed_who_report_feeling_informed_about_the_different_WASH_services_available_to_them]]="","",WWWW[[#This Row],['#_of_affected_people_surveyed_who_report_feeling_informed_about_the_different_WASH_services_available_to_them]]/WWWW[[#This Row],[Total PoP ]])</f>
        <v>1.3986013986013986E-3</v>
      </c>
      <c r="EC28" s="570">
        <f>WWWW[[#This Row],[%_of_affected_people_surveyed_who_report_feeling_satistfied_with_the_latrine_design_and_sanitation_service]]*WWWW[[#This Row],[Total PoP ]]</f>
        <v>715</v>
      </c>
      <c r="ED28" s="570">
        <f>WWWW[[#This Row],[%_of_affected_people_surveyed_who_report_feeling_satistfied_with_the_water_point_design_and_water_service]]*WWWW[[#This Row],[Total PoP ]]</f>
        <v>715</v>
      </c>
      <c r="EE28" s="570">
        <f>WWWW[[#This Row],[%_of_complaints_received_that_result_in_timely_corrective_action_and_feedback_to_the_community]]*WWWW[[#This Row],[Total PoP ]]</f>
        <v>715</v>
      </c>
      <c r="EF2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715</v>
      </c>
      <c r="EG2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 s="964" t="str">
        <f>VLOOKUP(WWWW[[#This Row],[Site Name]],SiteDB6[[Site Name]:[CCCM Management]],6,FALSE)</f>
        <v>Yes</v>
      </c>
      <c r="EJ28" s="964" t="str">
        <f>VLOOKUP(WWWW[[#This Row],[Site Name]],SiteDB6[[Site Name]:[CCCM Focal Agency]],7,FALSE)</f>
        <v>KMSS-BMO</v>
      </c>
      <c r="EK28" s="964" t="str">
        <f>VLOOKUP(WWWW[[#This Row],[Site Name]],SiteDB6[[Site Name]:[Location Type 1]],9,FALSE)</f>
        <v>Camp</v>
      </c>
      <c r="EL28" s="964" t="str">
        <f>VLOOKUP(WWWW[[#This Row],[Site Name]],SiteDB6[[Site Name]:[Type of Accommodation]],10,FALSE)</f>
        <v>Camp</v>
      </c>
      <c r="EM28" s="964" t="str">
        <f>VLOOKUP(WWWW[[#This Row],[Site Name]],SiteDB6[[Site Name]:[Ethnic or GCA/NGCA]],11,FALSE)</f>
        <v>GCA</v>
      </c>
      <c r="EN28" s="964">
        <f>VLOOKUP(WWWW[[#This Row],[Site Name]],SiteDB6[[Site Name]:[Lat]],12,FALSE)</f>
        <v>24.260719999999999</v>
      </c>
      <c r="EO28" s="964">
        <f>VLOOKUP(WWWW[[#This Row],[Site Name]],SiteDB6[[Site Name]:[Long]],13,FALSE)</f>
        <v>97.238829999999993</v>
      </c>
      <c r="EP28" s="964" t="str">
        <f>VLOOKUP(WWWW[[#This Row],[Site Name]],SiteDB6[[Site Name]:[Pcode]],3,FALSE)</f>
        <v>MMR001CMP050</v>
      </c>
      <c r="EQ28" s="969" t="str">
        <f t="shared" si="1"/>
        <v>Covered</v>
      </c>
      <c r="ER28" s="969" t="s">
        <v>3147</v>
      </c>
      <c r="ES28" s="964">
        <f>VLOOKUP(WWWW[[#This Row],[Site Name]],SiteDB6[[Site Name]:[Pop
(Kachin/Shan-CCCM as of March 2023)]],16,FALSE)</f>
        <v>145</v>
      </c>
      <c r="ET28" s="964">
        <f>VLOOKUP(WWWW[[#This Row],[Site Name]],SiteDB6[[Site Name]:[Pop
(Kachin/Shan-CCCM as of March 2023)]],17,FALSE)</f>
        <v>671</v>
      </c>
    </row>
    <row r="29" spans="1:150" hidden="1">
      <c r="A29" s="962" t="s">
        <v>2977</v>
      </c>
      <c r="B29" s="963" t="s">
        <v>141</v>
      </c>
      <c r="C29" s="963" t="s">
        <v>141</v>
      </c>
      <c r="D29" s="963" t="s">
        <v>241</v>
      </c>
      <c r="E29" s="963" t="s">
        <v>37</v>
      </c>
      <c r="F29" s="963" t="s">
        <v>152</v>
      </c>
      <c r="G29" s="964" t="str">
        <f>VLOOKUP(WWWW[[#This Row],[Site Name]],SiteDB6[[Site Name]:[Location Type]],8,FALSE)</f>
        <v>Camp</v>
      </c>
      <c r="H29" s="963" t="s">
        <v>1613</v>
      </c>
      <c r="I29" s="965">
        <v>15</v>
      </c>
      <c r="J29" s="965">
        <v>76</v>
      </c>
      <c r="K29" s="966">
        <v>44811</v>
      </c>
      <c r="L29" s="967">
        <v>45175</v>
      </c>
      <c r="M29" s="965"/>
      <c r="N29" s="965">
        <v>1</v>
      </c>
      <c r="O29" s="965"/>
      <c r="P29" s="965"/>
      <c r="Q29" s="968" t="s">
        <v>41</v>
      </c>
      <c r="R29" s="965">
        <v>2</v>
      </c>
      <c r="S29" s="965">
        <v>3</v>
      </c>
      <c r="T29" s="445">
        <v>1</v>
      </c>
      <c r="U29" s="965"/>
      <c r="V29" s="965"/>
      <c r="W29" s="965">
        <v>1</v>
      </c>
      <c r="X29" s="965"/>
      <c r="Y29" s="965"/>
      <c r="Z29" s="965"/>
      <c r="AA29" s="965"/>
      <c r="AB29" s="965"/>
      <c r="AC29" s="965"/>
      <c r="AD29" s="965"/>
      <c r="AE29" s="965"/>
      <c r="AF29" s="965"/>
      <c r="AG29" s="965"/>
      <c r="AH29" s="965">
        <v>2</v>
      </c>
      <c r="AI29" s="965"/>
      <c r="AJ29" s="965"/>
      <c r="AK29" s="965"/>
      <c r="AL29" s="965"/>
      <c r="AM29" s="965"/>
      <c r="AN29" s="965"/>
      <c r="AO29" s="445"/>
      <c r="AP29" s="969"/>
      <c r="AQ29" s="965">
        <v>3</v>
      </c>
      <c r="AR29" s="965"/>
      <c r="AS29" s="970"/>
      <c r="AT29" s="965"/>
      <c r="AU29" s="965"/>
      <c r="AV29" s="965"/>
      <c r="AW29" s="965"/>
      <c r="AX29" s="965">
        <v>2</v>
      </c>
      <c r="AY29" s="964" t="s">
        <v>41</v>
      </c>
      <c r="AZ29" s="969" t="s">
        <v>137</v>
      </c>
      <c r="BA29" s="965"/>
      <c r="BB29" s="965"/>
      <c r="BC29" s="965"/>
      <c r="BD29" s="445"/>
      <c r="BE29" s="445"/>
      <c r="BF29" s="964"/>
      <c r="BG29" s="965">
        <v>2</v>
      </c>
      <c r="BH29" s="965"/>
      <c r="BI29" s="965"/>
      <c r="BJ29" s="965">
        <v>2</v>
      </c>
      <c r="BK29" s="965"/>
      <c r="BL29" s="965"/>
      <c r="BM29" s="965"/>
      <c r="BN29" s="965"/>
      <c r="BO29" s="965"/>
      <c r="BP29" s="964"/>
      <c r="BQ29" s="971"/>
      <c r="BR29" s="970"/>
      <c r="BS29" s="964"/>
      <c r="BT29" s="420"/>
      <c r="BU29" s="420"/>
      <c r="BV29" s="422"/>
      <c r="BW29" s="420"/>
      <c r="BX29" s="445"/>
      <c r="BY29" s="445"/>
      <c r="BZ29" s="445"/>
      <c r="CA29" s="445"/>
      <c r="CB29" s="445"/>
      <c r="CC29" s="702"/>
      <c r="CD29" s="445"/>
      <c r="CE29" s="972" t="str">
        <f>IFERROR(WWWW[[#This Row],['#_Water sources passed]]/WWWW[[#This Row],['#_Water sources tested for fecal coliform ]],"no test")</f>
        <v>no test</v>
      </c>
      <c r="CF29" s="970" t="str">
        <f>IFERROR(WWWW[[#This Row],['#_Household passed]]/WWWW[[#This Row],['#_Household water samples tested for fecal coliform]],"no test")</f>
        <v>no test</v>
      </c>
      <c r="CG29" s="971" t="str">
        <f>IF(AND(WWWW[[#This Row],[% of water sources passed]]="no test",WWWW[[#This Row],[% Household passed]]="no test"),"No Test","Tested")</f>
        <v>No Test</v>
      </c>
      <c r="CH29" s="971">
        <f>WWWW[[#This Row],['#_Constructed/existing protected hand dug well]]-WWWW[[#This Row],['#_Non-functional protected hand dug well]]</f>
        <v>1</v>
      </c>
      <c r="CI29" s="971">
        <f>(WWWW[[#This Row],['#_Constructed/Existing tube wells/boreholes/handpumps_WASH_agency]]+WWWW[[#This Row],['#_Non-Cluster partner water tube-wells/boreholes/handpumps]])-WWWW[[#This Row],['#_Non-functional tube wells/boreholes/handpumps]]</f>
        <v>1</v>
      </c>
      <c r="CJ29" s="971">
        <f>WWWW[[#This Row],['#_Constructed/Existingwater storage tank with gravity fed reticulation system]]-WWWW[[#This Row],['#_Non-functional storage tank gravity fed reticulation system]]</f>
        <v>0</v>
      </c>
      <c r="CK29" s="971">
        <f>(WWWW[[#This Row],['#_Water_Liters_supplied_by_Water boating or water trucking]]/90)/15</f>
        <v>0</v>
      </c>
      <c r="CL29" s="971">
        <f>WWWW[[#This Row],['#_Water_Liters_from_Constructed/Existing water distribution system from river or natural spring]]/90/15</f>
        <v>0</v>
      </c>
      <c r="CM29" s="421">
        <f>IF(WWWW[[#This Row],['#_of water points in TLS/CFS]]*500&gt;WWWW[[#This Row],[Total PoP ]],WWWW[[#This Row],[Total PoP ]],WWWW[[#This Row],['#_of water points in TLS/CFS]]*500)</f>
        <v>0</v>
      </c>
      <c r="CN29" s="421">
        <f>IF(WWWW[[#This Row],['#_of water points in THF]]*500&gt;WWWW[[#This Row],[Total PoP ]],WWWW[[#This Row],[Total PoP ]],WWWW[[#This Row],['#_of water points in THF]]*500)</f>
        <v>0</v>
      </c>
      <c r="CO29" s="421"/>
      <c r="CP2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 s="970">
        <f>IF(WWWW[[#This Row],[Location Type 1]]="Village",WWWW[[#This Row],[Access to safe drinking water for Village]],WWWW[[#This Row],[Access to safe drinking water for Camp]])</f>
        <v>1</v>
      </c>
      <c r="CS29" s="968">
        <f>WWWW[[#This Row],[%Equitable and continuous access to sufficient quantity of safe drinking water]]*WWWW[[#This Row],[Total PoP ]]</f>
        <v>76</v>
      </c>
      <c r="CT29" s="970">
        <f>IF((WWWW[[#This Row],['#_Constructed/Existing protected/fenced ponds]]*250)/WWWW[[#This Row],[Total PoP ]]&gt;1,1,(WWWW[[#This Row],['#_Constructed/Existing protected/fenced ponds]]*250)/WWWW[[#This Row],[Total PoP ]])</f>
        <v>0</v>
      </c>
      <c r="CU29" s="968">
        <f>WWWW[[#This Row],[% Access to unimproved water points]]*WWWW[[#This Row],[Total PoP ]]</f>
        <v>0</v>
      </c>
      <c r="CV2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X29" s="968">
        <f>WWWW[[#This Row],[HRP1]]/500</f>
        <v>0.152</v>
      </c>
      <c r="CY29" s="973">
        <f>1-WWWW[[#This Row],[% Equitable and continuous access to sufficient quantity of domestic water]]</f>
        <v>0</v>
      </c>
      <c r="CZ29" s="968">
        <f>WWWW[[#This Row],[%equitable and continuous access to sufficient quantity of safe drinking and domestic water''s GAP]]*WWWW[[#This Row],[Total PoP ]]</f>
        <v>0</v>
      </c>
      <c r="DA29" s="971">
        <f>IF(WWWW[[#This Row],[Total required water points]]-WWWW[[#This Row],['#Water points coverage]]&lt;0,0,WWWW[[#This Row],[Total required water points]]-WWWW[[#This Row],['#Water points coverage]])</f>
        <v>0.84799999999999998</v>
      </c>
      <c r="DB29" s="971">
        <f>ROUND(IF(WWWW[[#This Row],[Total PoP ]]&lt;500,1,WWWW[[#This Row],[Total PoP ]]/500),0)</f>
        <v>1</v>
      </c>
      <c r="DC29" s="971">
        <f>(WWWW[[#This Row],['#_Constructed latrines_by_WASHAgencies]]+WWWW[[#This Row],['#_Non Cluster partner latrines]])-WWWW[[#This Row],['#_Non-functional latrines]]</f>
        <v>3</v>
      </c>
      <c r="DD29" s="619">
        <f>WWWW[[#This Row],[HRP2]]/WWWW[[#This Row],[Total PoP ]]</f>
        <v>0.78947368421052633</v>
      </c>
      <c r="DE2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2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 s="421">
        <f>IF(WWWW[[#This Row],['# of functional latrines in THF supported by WASH partners during the reporting period2]]="",0,WWWW[[#This Row],['# of functional latrines in THF supported by WASH partners during the reporting period2]]*50)</f>
        <v>0</v>
      </c>
      <c r="DI29" s="971">
        <f>ROUND(IF(WWWW[[#This Row],[Location Type 1]]="camp",WWWW[[#This Row],[Total PoP ]]/20,IF(WWWW[[#This Row],[Location Type 1]]="Temporary Location",WWWW[[#This Row],[Total PoP ]]/50,(WWWW[[#This Row],[Total PoP ]]/6))),0)</f>
        <v>4</v>
      </c>
      <c r="DJ29" s="971">
        <f>IF(WWWW[[#This Row],[Total required Latrines]]-(WWWW[[#This Row],['#_Constructed latrines_by_WASHAgencies]]+WWWW[[#This Row],['#_Non Cluster partner latrines]])&lt;0,0,WWWW[[#This Row],[Total required Latrines]]-(WWWW[[#This Row],['#_Constructed latrines_by_WASHAgencies]]+WWWW[[#This Row],['#_Non Cluster partner latrines]]))</f>
        <v>1</v>
      </c>
      <c r="DK29" s="973">
        <f>1-WWWW[[#This Row],[% people access to functioning Latrine]]</f>
        <v>0.21052631578947367</v>
      </c>
      <c r="DL29" s="972">
        <f>IF(OR(WWWW[[#This Row],['#_Non-functional latrines]]="",WWWW[[#This Row],['#_Non-functional latrines]]=0),0,WWWW[[#This Row],['#_Non-functional latrines]]/(WWWW[[#This Row],['#_Constructed latrines_by_WASHAgencies]]+WWWW[[#This Row],['#_Non Cluster partner latrines]]))</f>
        <v>0</v>
      </c>
      <c r="DM29" s="968">
        <f>IF(500*(WWWW[[#This Row],['#_male hygiene promoters]]+WWWW[[#This Row],['#_female hygiene promoters]])&gt;WWWW[[#This Row],[Total PoP ]],WWWW[[#This Row],[Total PoP ]],500*(WWWW[[#This Row],['#_male hygiene promoters]]+WWWW[[#This Row],['#_female hygiene promoters]]))</f>
        <v>0</v>
      </c>
      <c r="DN2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 s="971">
        <f>IF(WWWW[[#This Row],['# People with access to soap]]&gt;WWWW[[#This Row],['# People with access to Sanity Pads]],WWWW[[#This Row],['# People with access to soap]],WWWW[[#This Row],['# People with access to Sanity Pads]])</f>
        <v>0</v>
      </c>
      <c r="DQ2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9" s="973">
        <f>IF(WWWW[[#This Row],[HRP3]]/WWWW[[#This Row],[Total PoP ]]&gt;1,1,WWWW[[#This Row],[HRP3]]/WWWW[[#This Row],[Total PoP ]])</f>
        <v>0</v>
      </c>
      <c r="DS29" s="972">
        <f>1-WWWW[[#This Row],[Hygiene Coverage%]]</f>
        <v>1</v>
      </c>
      <c r="DT29" s="970">
        <f>WWWW[[#This Row],['# people reached by regular dedicated hygiene promotion_5]]/WWWW[[#This Row],[Total PoP ]]</f>
        <v>0</v>
      </c>
      <c r="DU2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 s="971">
        <f>WWWW[[#This Row],['#_Constructed/Existing hand washing stations]]-WWWW[[#This Row],['#_Non-Functional_hand_washing_stations]]</f>
        <v>2</v>
      </c>
      <c r="DX29" s="968">
        <f>IF(WWWW[[#This Row],['# Functional hand washing stations during reporting period]]*20&gt;WWWW[[#This Row],[Total HH]],WWWW[[#This Row],[Total HH]],WWWW[[#This Row],['# Functional hand washing stations during reporting period]]*20)</f>
        <v>15</v>
      </c>
      <c r="DY29" s="968">
        <f>IF(WWWW[[#This Row],[Is sufficient soap available for TLS? (Yes/No)]]="yes",WWWW[[#This Row],['#_Constructed/Existing hand washing stations at TLS/CFS/THF]],0)</f>
        <v>0</v>
      </c>
      <c r="DZ29" s="425">
        <f>IF(WWWW[[#This Row],['# Functional hand washing stations during reporting period]]*100&gt;WWWW[[#This Row],[Total PoP ]],WWWW[[#This Row],[Total PoP ]],WWWW[[#This Row],['# Functional hand washing stations during reporting period]]*100)</f>
        <v>76</v>
      </c>
      <c r="EA29" s="425" t="str">
        <f>IF(OR(WWWW[[#This Row],['#_students at TLS_CFS]]="",WWWW[[#This Row],['#_students at TLS_CFS]]=0),"No","Yes")</f>
        <v>No</v>
      </c>
      <c r="EB2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 s="570">
        <f>WWWW[[#This Row],[%_of_affected_people_surveyed_who_report_feeling_satistfied_with_the_latrine_design_and_sanitation_service]]*WWWW[[#This Row],[Total PoP ]]</f>
        <v>0</v>
      </c>
      <c r="ED29" s="570">
        <f>WWWW[[#This Row],[%_of_affected_people_surveyed_who_report_feeling_satistfied_with_the_water_point_design_and_water_service]]*WWWW[[#This Row],[Total PoP ]]</f>
        <v>0</v>
      </c>
      <c r="EE29" s="570">
        <f>WWWW[[#This Row],[%_of_complaints_received_that_result_in_timely_corrective_action_and_feedback_to_the_community]]*WWWW[[#This Row],[Total PoP ]]</f>
        <v>0</v>
      </c>
      <c r="EF2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 s="964" t="str">
        <f>VLOOKUP(WWWW[[#This Row],[Site Name]],SiteDB6[[Site Name]:[CCCM Management]],6,FALSE)</f>
        <v>Yes</v>
      </c>
      <c r="EJ29" s="964" t="str">
        <f>VLOOKUP(WWWW[[#This Row],[Site Name]],SiteDB6[[Site Name]:[CCCM Focal Agency]],7,FALSE)</f>
        <v>KBC-MYT</v>
      </c>
      <c r="EK29" s="964" t="str">
        <f>VLOOKUP(WWWW[[#This Row],[Site Name]],SiteDB6[[Site Name]:[Location Type 1]],9,FALSE)</f>
        <v>Camp</v>
      </c>
      <c r="EL29" s="964" t="str">
        <f>VLOOKUP(WWWW[[#This Row],[Site Name]],SiteDB6[[Site Name]:[Type of Accommodation]],10,FALSE)</f>
        <v>Camp</v>
      </c>
      <c r="EM29" s="964" t="str">
        <f>VLOOKUP(WWWW[[#This Row],[Site Name]],SiteDB6[[Site Name]:[Ethnic or GCA/NGCA]],11,FALSE)</f>
        <v>GCA</v>
      </c>
      <c r="EN29" s="964">
        <f>VLOOKUP(WWWW[[#This Row],[Site Name]],SiteDB6[[Site Name]:[Lat]],12,FALSE)</f>
        <v>25.296579999999999</v>
      </c>
      <c r="EO29" s="964">
        <f>VLOOKUP(WWWW[[#This Row],[Site Name]],SiteDB6[[Site Name]:[Long]],13,FALSE)</f>
        <v>96.942279999999997</v>
      </c>
      <c r="EP29" s="964" t="str">
        <f>VLOOKUP(WWWW[[#This Row],[Site Name]],SiteDB6[[Site Name]:[Pcode]],3,FALSE)</f>
        <v>MMR001CMP077</v>
      </c>
      <c r="EQ29" s="969" t="str">
        <f t="shared" si="1"/>
        <v>Covered</v>
      </c>
      <c r="ER29" s="969" t="s">
        <v>3147</v>
      </c>
      <c r="ES29" s="964">
        <f>VLOOKUP(WWWW[[#This Row],[Site Name]],SiteDB6[[Site Name]:[Pop
(Kachin/Shan-CCCM as of March 2023)]],16,FALSE)</f>
        <v>16</v>
      </c>
      <c r="ET29" s="964">
        <f>VLOOKUP(WWWW[[#This Row],[Site Name]],SiteDB6[[Site Name]:[Pop
(Kachin/Shan-CCCM as of March 2023)]],17,FALSE)</f>
        <v>74</v>
      </c>
    </row>
    <row r="30" spans="1:150">
      <c r="A30" s="962" t="s">
        <v>2977</v>
      </c>
      <c r="B30" s="962" t="s">
        <v>192</v>
      </c>
      <c r="C30" s="962" t="s">
        <v>192</v>
      </c>
      <c r="D30" s="963" t="s">
        <v>2899</v>
      </c>
      <c r="E30" s="963" t="s">
        <v>37</v>
      </c>
      <c r="F30" s="963" t="s">
        <v>195</v>
      </c>
      <c r="G30" s="964" t="str">
        <f>VLOOKUP(WWWW[[#This Row],[Site Name]],SiteDB6[[Site Name]:[Location Type]],8,FALSE)</f>
        <v>Camp</v>
      </c>
      <c r="H30" s="963" t="s">
        <v>196</v>
      </c>
      <c r="I30" s="965">
        <v>36</v>
      </c>
      <c r="J30" s="965">
        <v>222</v>
      </c>
      <c r="K30" s="966" t="s">
        <v>3154</v>
      </c>
      <c r="L30" s="967" t="s">
        <v>3155</v>
      </c>
      <c r="M30" s="965"/>
      <c r="N30" s="965"/>
      <c r="O30" s="965"/>
      <c r="P30" s="965"/>
      <c r="Q30" s="968" t="s">
        <v>41</v>
      </c>
      <c r="R30" s="965">
        <v>1</v>
      </c>
      <c r="S30" s="965">
        <v>1</v>
      </c>
      <c r="T30" s="445">
        <v>1</v>
      </c>
      <c r="U30" s="965"/>
      <c r="V30" s="965"/>
      <c r="W30" s="965">
        <v>1</v>
      </c>
      <c r="X30" s="965"/>
      <c r="Y30" s="965"/>
      <c r="Z30" s="965"/>
      <c r="AA30" s="965"/>
      <c r="AB30" s="965"/>
      <c r="AC30" s="965"/>
      <c r="AD30" s="965"/>
      <c r="AE30" s="965"/>
      <c r="AF30" s="965"/>
      <c r="AG30" s="965">
        <v>1</v>
      </c>
      <c r="AH30" s="965"/>
      <c r="AI30" s="965"/>
      <c r="AJ30" s="965"/>
      <c r="AK30" s="965"/>
      <c r="AL30" s="965"/>
      <c r="AM30" s="965"/>
      <c r="AN30" s="965"/>
      <c r="AO30" s="445"/>
      <c r="AP30" s="969"/>
      <c r="AQ30" s="965">
        <v>2</v>
      </c>
      <c r="AR30" s="965"/>
      <c r="AS30" s="970"/>
      <c r="AT30" s="965"/>
      <c r="AU30" s="965"/>
      <c r="AV30" s="965"/>
      <c r="AW30" s="965"/>
      <c r="AX30" s="965"/>
      <c r="AY30" s="964" t="s">
        <v>41</v>
      </c>
      <c r="AZ30" s="969" t="s">
        <v>137</v>
      </c>
      <c r="BA30" s="965"/>
      <c r="BB30" s="965"/>
      <c r="BC30" s="965"/>
      <c r="BD30" s="445"/>
      <c r="BE30" s="445"/>
      <c r="BF30" s="964"/>
      <c r="BG30" s="965"/>
      <c r="BH30" s="965"/>
      <c r="BI30" s="965">
        <v>3</v>
      </c>
      <c r="BJ30" s="965"/>
      <c r="BK30" s="965"/>
      <c r="BL30" s="965"/>
      <c r="BM30" s="965"/>
      <c r="BN30" s="965"/>
      <c r="BO30" s="965"/>
      <c r="BP30" s="964"/>
      <c r="BQ30" s="971"/>
      <c r="BR30" s="970"/>
      <c r="BS30" s="964"/>
      <c r="BT30" s="420"/>
      <c r="BU30" s="420"/>
      <c r="BV30" s="422"/>
      <c r="BW30" s="420"/>
      <c r="BX30" s="445"/>
      <c r="BY30" s="445"/>
      <c r="BZ30" s="445"/>
      <c r="CA30" s="445"/>
      <c r="CB30" s="445"/>
      <c r="CC30" s="702"/>
      <c r="CD30" s="445"/>
      <c r="CE30" s="972" t="str">
        <f>IFERROR(WWWW[[#This Row],['#_Water sources passed]]/WWWW[[#This Row],['#_Water sources tested for fecal coliform ]],"no test")</f>
        <v>no test</v>
      </c>
      <c r="CF30" s="970" t="str">
        <f>IFERROR(WWWW[[#This Row],['#_Household passed]]/WWWW[[#This Row],['#_Household water samples tested for fecal coliform]],"no test")</f>
        <v>no test</v>
      </c>
      <c r="CG30" s="971" t="str">
        <f>IF(AND(WWWW[[#This Row],[% of water sources passed]]="no test",WWWW[[#This Row],[% Household passed]]="no test"),"No Test","Tested")</f>
        <v>No Test</v>
      </c>
      <c r="CH30" s="971">
        <f>WWWW[[#This Row],['#_Constructed/existing protected hand dug well]]-WWWW[[#This Row],['#_Non-functional protected hand dug well]]</f>
        <v>1</v>
      </c>
      <c r="CI30" s="971">
        <f>(WWWW[[#This Row],['#_Constructed/Existing tube wells/boreholes/handpumps_WASH_agency]]+WWWW[[#This Row],['#_Non-Cluster partner water tube-wells/boreholes/handpumps]])-WWWW[[#This Row],['#_Non-functional tube wells/boreholes/handpumps]]</f>
        <v>1</v>
      </c>
      <c r="CJ30" s="971">
        <f>WWWW[[#This Row],['#_Constructed/Existingwater storage tank with gravity fed reticulation system]]-WWWW[[#This Row],['#_Non-functional storage tank gravity fed reticulation system]]</f>
        <v>0</v>
      </c>
      <c r="CK30" s="971">
        <f>(WWWW[[#This Row],['#_Water_Liters_supplied_by_Water boating or water trucking]]/90)/15</f>
        <v>0</v>
      </c>
      <c r="CL30" s="971">
        <f>WWWW[[#This Row],['#_Water_Liters_from_Constructed/Existing water distribution system from river or natural spring]]/90/15</f>
        <v>0</v>
      </c>
      <c r="CM30" s="421">
        <f>IF(WWWW[[#This Row],['#_of water points in TLS/CFS]]*500&gt;WWWW[[#This Row],[Total PoP ]],WWWW[[#This Row],[Total PoP ]],WWWW[[#This Row],['#_of water points in TLS/CFS]]*500)</f>
        <v>0</v>
      </c>
      <c r="CN30" s="421">
        <f>IF(WWWW[[#This Row],['#_of water points in THF]]*500&gt;WWWW[[#This Row],[Total PoP ]],WWWW[[#This Row],[Total PoP ]],WWWW[[#This Row],['#_of water points in THF]]*500)</f>
        <v>0</v>
      </c>
      <c r="CO30" s="421"/>
      <c r="CP3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 s="970">
        <f>IF(WWWW[[#This Row],[Location Type 1]]="Village",WWWW[[#This Row],[Access to safe drinking water for Village]],WWWW[[#This Row],[Access to safe drinking water for Camp]])</f>
        <v>1</v>
      </c>
      <c r="CS30" s="968">
        <f>WWWW[[#This Row],[%Equitable and continuous access to sufficient quantity of safe drinking water]]*WWWW[[#This Row],[Total PoP ]]</f>
        <v>222</v>
      </c>
      <c r="CT30" s="970">
        <f>IF((WWWW[[#This Row],['#_Constructed/Existing protected/fenced ponds]]*250)/WWWW[[#This Row],[Total PoP ]]&gt;1,1,(WWWW[[#This Row],['#_Constructed/Existing protected/fenced ponds]]*250)/WWWW[[#This Row],[Total PoP ]])</f>
        <v>0</v>
      </c>
      <c r="CU30" s="968">
        <f>WWWW[[#This Row],[% Access to unimproved water points]]*WWWW[[#This Row],[Total PoP ]]</f>
        <v>0</v>
      </c>
      <c r="CV3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X30" s="968">
        <f>WWWW[[#This Row],[HRP1]]/500</f>
        <v>0.44400000000000001</v>
      </c>
      <c r="CY30" s="973">
        <f>1-WWWW[[#This Row],[% Equitable and continuous access to sufficient quantity of domestic water]]</f>
        <v>0</v>
      </c>
      <c r="CZ30" s="968">
        <f>WWWW[[#This Row],[%equitable and continuous access to sufficient quantity of safe drinking and domestic water''s GAP]]*WWWW[[#This Row],[Total PoP ]]</f>
        <v>0</v>
      </c>
      <c r="DA30" s="971">
        <f>IF(WWWW[[#This Row],[Total required water points]]-WWWW[[#This Row],['#Water points coverage]]&lt;0,0,WWWW[[#This Row],[Total required water points]]-WWWW[[#This Row],['#Water points coverage]])</f>
        <v>0.55600000000000005</v>
      </c>
      <c r="DB30" s="971">
        <f>ROUND(IF(WWWW[[#This Row],[Total PoP ]]&lt;500,1,WWWW[[#This Row],[Total PoP ]]/500),0)</f>
        <v>1</v>
      </c>
      <c r="DC30" s="971">
        <f>(WWWW[[#This Row],['#_Constructed latrines_by_WASHAgencies]]+WWWW[[#This Row],['#_Non Cluster partner latrines]])-WWWW[[#This Row],['#_Non-functional latrines]]</f>
        <v>2</v>
      </c>
      <c r="DD30" s="619">
        <f>WWWW[[#This Row],[HRP2]]/WWWW[[#This Row],[Total PoP ]]</f>
        <v>0.18018018018018017</v>
      </c>
      <c r="DE3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 s="421">
        <f>IF(WWWW[[#This Row],['# of functional latrines in THF supported by WASH partners during the reporting period2]]="",0,WWWW[[#This Row],['# of functional latrines in THF supported by WASH partners during the reporting period2]]*50)</f>
        <v>0</v>
      </c>
      <c r="DI30" s="971">
        <f>ROUND(IF(WWWW[[#This Row],[Location Type 1]]="camp",WWWW[[#This Row],[Total PoP ]]/20,IF(WWWW[[#This Row],[Location Type 1]]="Temporary Location",WWWW[[#This Row],[Total PoP ]]/50,(WWWW[[#This Row],[Total PoP ]]/6))),0)</f>
        <v>11</v>
      </c>
      <c r="DJ30" s="971">
        <f>IF(WWWW[[#This Row],[Total required Latrines]]-(WWWW[[#This Row],['#_Constructed latrines_by_WASHAgencies]]+WWWW[[#This Row],['#_Non Cluster partner latrines]])&lt;0,0,WWWW[[#This Row],[Total required Latrines]]-(WWWW[[#This Row],['#_Constructed latrines_by_WASHAgencies]]+WWWW[[#This Row],['#_Non Cluster partner latrines]]))</f>
        <v>9</v>
      </c>
      <c r="DK30" s="973">
        <f>1-WWWW[[#This Row],[% people access to functioning Latrine]]</f>
        <v>0.81981981981981988</v>
      </c>
      <c r="DL30" s="972">
        <f>IF(OR(WWWW[[#This Row],['#_Non-functional latrines]]="",WWWW[[#This Row],['#_Non-functional latrines]]=0),0,WWWW[[#This Row],['#_Non-functional latrines]]/(WWWW[[#This Row],['#_Constructed latrines_by_WASHAgencies]]+WWWW[[#This Row],['#_Non Cluster partner latrines]]))</f>
        <v>0</v>
      </c>
      <c r="DM30" s="968">
        <f>IF(500*(WWWW[[#This Row],['#_male hygiene promoters]]+WWWW[[#This Row],['#_female hygiene promoters]])&gt;WWWW[[#This Row],[Total PoP ]],WWWW[[#This Row],[Total PoP ]],500*(WWWW[[#This Row],['#_male hygiene promoters]]+WWWW[[#This Row],['#_female hygiene promoters]]))</f>
        <v>0</v>
      </c>
      <c r="DN3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 s="971">
        <f>IF(WWWW[[#This Row],['# People with access to soap]]&gt;WWWW[[#This Row],['# People with access to Sanity Pads]],WWWW[[#This Row],['# People with access to soap]],WWWW[[#This Row],['# People with access to Sanity Pads]])</f>
        <v>0</v>
      </c>
      <c r="DQ30"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 s="973">
        <f>IF(WWWW[[#This Row],[HRP3]]/WWWW[[#This Row],[Total PoP ]]&gt;1,1,WWWW[[#This Row],[HRP3]]/WWWW[[#This Row],[Total PoP ]])</f>
        <v>0</v>
      </c>
      <c r="DS30" s="972">
        <f>1-WWWW[[#This Row],[Hygiene Coverage%]]</f>
        <v>1</v>
      </c>
      <c r="DT30" s="970">
        <f>WWWW[[#This Row],['# people reached by regular dedicated hygiene promotion_5]]/WWWW[[#This Row],[Total PoP ]]</f>
        <v>0</v>
      </c>
      <c r="DU3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 s="971">
        <f>WWWW[[#This Row],['#_Constructed/Existing hand washing stations]]-WWWW[[#This Row],['#_Non-Functional_hand_washing_stations]]</f>
        <v>0</v>
      </c>
      <c r="DX30" s="968">
        <f>IF(WWWW[[#This Row],['# Functional hand washing stations during reporting period]]*20&gt;WWWW[[#This Row],[Total HH]],WWWW[[#This Row],[Total HH]],WWWW[[#This Row],['# Functional hand washing stations during reporting period]]*20)</f>
        <v>0</v>
      </c>
      <c r="DY30" s="968">
        <f>IF(WWWW[[#This Row],[Is sufficient soap available for TLS? (Yes/No)]]="yes",WWWW[[#This Row],['#_Constructed/Existing hand washing stations at TLS/CFS/THF]],0)</f>
        <v>0</v>
      </c>
      <c r="DZ30" s="425">
        <f>IF(WWWW[[#This Row],['# Functional hand washing stations during reporting period]]*100&gt;WWWW[[#This Row],[Total PoP ]],WWWW[[#This Row],[Total PoP ]],WWWW[[#This Row],['# Functional hand washing stations during reporting period]]*100)</f>
        <v>0</v>
      </c>
      <c r="EA30" s="425" t="str">
        <f>IF(OR(WWWW[[#This Row],['#_students at TLS_CFS]]="",WWWW[[#This Row],['#_students at TLS_CFS]]=0),"No","Yes")</f>
        <v>No</v>
      </c>
      <c r="EB3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 s="570">
        <f>WWWW[[#This Row],[%_of_affected_people_surveyed_who_report_feeling_satistfied_with_the_latrine_design_and_sanitation_service]]*WWWW[[#This Row],[Total PoP ]]</f>
        <v>0</v>
      </c>
      <c r="ED30" s="570">
        <f>WWWW[[#This Row],[%_of_affected_people_surveyed_who_report_feeling_satistfied_with_the_water_point_design_and_water_service]]*WWWW[[#This Row],[Total PoP ]]</f>
        <v>0</v>
      </c>
      <c r="EE30" s="570">
        <f>WWWW[[#This Row],[%_of_complaints_received_that_result_in_timely_corrective_action_and_feedback_to_the_community]]*WWWW[[#This Row],[Total PoP ]]</f>
        <v>0</v>
      </c>
      <c r="EF3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 s="964" t="str">
        <f>VLOOKUP(WWWW[[#This Row],[Site Name]],SiteDB6[[Site Name]:[CCCM Management]],6,FALSE)</f>
        <v>Yes</v>
      </c>
      <c r="EJ30" s="964" t="str">
        <f>VLOOKUP(WWWW[[#This Row],[Site Name]],SiteDB6[[Site Name]:[CCCM Focal Agency]],7,FALSE)</f>
        <v>KBC-BMO</v>
      </c>
      <c r="EK30" s="964" t="str">
        <f>VLOOKUP(WWWW[[#This Row],[Site Name]],SiteDB6[[Site Name]:[Location Type 1]],9,FALSE)</f>
        <v>Camp</v>
      </c>
      <c r="EL30" s="964" t="str">
        <f>VLOOKUP(WWWW[[#This Row],[Site Name]],SiteDB6[[Site Name]:[Type of Accommodation]],10,FALSE)</f>
        <v>Camp</v>
      </c>
      <c r="EM30" s="964" t="str">
        <f>VLOOKUP(WWWW[[#This Row],[Site Name]],SiteDB6[[Site Name]:[Ethnic or GCA/NGCA]],11,FALSE)</f>
        <v>GCA</v>
      </c>
      <c r="EN30" s="964">
        <f>VLOOKUP(WWWW[[#This Row],[Site Name]],SiteDB6[[Site Name]:[Lat]],12,FALSE)</f>
        <v>24.260466999999998</v>
      </c>
      <c r="EO30" s="964">
        <f>VLOOKUP(WWWW[[#This Row],[Site Name]],SiteDB6[[Site Name]:[Long]],13,FALSE)</f>
        <v>97.252650000000003</v>
      </c>
      <c r="EP30" s="964" t="str">
        <f>VLOOKUP(WWWW[[#This Row],[Site Name]],SiteDB6[[Site Name]:[Pcode]],3,FALSE)</f>
        <v>MMR001CMP194</v>
      </c>
      <c r="EQ30" s="969" t="str">
        <f t="shared" si="1"/>
        <v>Covered</v>
      </c>
      <c r="ER30" s="969" t="s">
        <v>3147</v>
      </c>
      <c r="ES30" s="964">
        <f>VLOOKUP(WWWW[[#This Row],[Site Name]],SiteDB6[[Site Name]:[Pop
(Kachin/Shan-CCCM as of March 2023)]],16,FALSE)</f>
        <v>7</v>
      </c>
      <c r="ET30" s="964">
        <f>VLOOKUP(WWWW[[#This Row],[Site Name]],SiteDB6[[Site Name]:[Pop
(Kachin/Shan-CCCM as of March 2023)]],17,FALSE)</f>
        <v>29</v>
      </c>
    </row>
    <row r="31" spans="1:150" hidden="1">
      <c r="A31" s="962" t="s">
        <v>2977</v>
      </c>
      <c r="B31" s="962" t="s">
        <v>309</v>
      </c>
      <c r="C31" s="963" t="s">
        <v>309</v>
      </c>
      <c r="D31" s="963"/>
      <c r="E31" s="963" t="s">
        <v>37</v>
      </c>
      <c r="F31" s="963" t="s">
        <v>205</v>
      </c>
      <c r="G31" s="964" t="str">
        <f>VLOOKUP(WWWW[[#This Row],[Site Name]],SiteDB6[[Site Name]:[Location Type]],8,FALSE)</f>
        <v>Camp</v>
      </c>
      <c r="H31" s="963" t="s">
        <v>2884</v>
      </c>
      <c r="I31" s="965">
        <v>15</v>
      </c>
      <c r="J31" s="965">
        <v>101</v>
      </c>
      <c r="K31" s="966"/>
      <c r="L31" s="967"/>
      <c r="M31" s="965"/>
      <c r="N31" s="965"/>
      <c r="O31" s="965"/>
      <c r="P31" s="965"/>
      <c r="Q31" s="968"/>
      <c r="R31" s="965"/>
      <c r="S31" s="965">
        <v>1</v>
      </c>
      <c r="T31" s="445"/>
      <c r="U31" s="965"/>
      <c r="V31" s="965"/>
      <c r="W31" s="965"/>
      <c r="X31" s="965"/>
      <c r="Y31" s="965"/>
      <c r="Z31" s="965"/>
      <c r="AA31" s="965"/>
      <c r="AB31" s="965"/>
      <c r="AC31" s="965"/>
      <c r="AD31" s="965"/>
      <c r="AE31" s="965"/>
      <c r="AF31" s="965"/>
      <c r="AG31" s="965"/>
      <c r="AH31" s="965"/>
      <c r="AI31" s="965"/>
      <c r="AJ31" s="965"/>
      <c r="AK31" s="965"/>
      <c r="AL31" s="965"/>
      <c r="AM31" s="965"/>
      <c r="AN31" s="965"/>
      <c r="AO31" s="445"/>
      <c r="AP31" s="969"/>
      <c r="AQ31" s="965"/>
      <c r="AR31" s="965"/>
      <c r="AS31" s="970"/>
      <c r="AT31" s="965"/>
      <c r="AU31" s="965"/>
      <c r="AV31" s="965"/>
      <c r="AW31" s="965"/>
      <c r="AX31" s="965"/>
      <c r="AY31" s="964" t="s">
        <v>140</v>
      </c>
      <c r="AZ31" s="969" t="s">
        <v>140</v>
      </c>
      <c r="BA31" s="965"/>
      <c r="BB31" s="965"/>
      <c r="BC31" s="965"/>
      <c r="BD31" s="445"/>
      <c r="BE31" s="445"/>
      <c r="BF31" s="964"/>
      <c r="BG31" s="965">
        <v>1</v>
      </c>
      <c r="BH31" s="965"/>
      <c r="BI31" s="965"/>
      <c r="BJ31" s="965">
        <v>3</v>
      </c>
      <c r="BK31" s="965"/>
      <c r="BL31" s="965"/>
      <c r="BM31" s="965"/>
      <c r="BN31" s="965"/>
      <c r="BO31" s="965"/>
      <c r="BP31" s="964"/>
      <c r="BQ31" s="971"/>
      <c r="BR31" s="970"/>
      <c r="BS31" s="964"/>
      <c r="BT31" s="420"/>
      <c r="BU31" s="420"/>
      <c r="BV31" s="422"/>
      <c r="BW31" s="420"/>
      <c r="BX31" s="445"/>
      <c r="BY31" s="445"/>
      <c r="BZ31" s="445"/>
      <c r="CA31" s="445"/>
      <c r="CB31" s="445"/>
      <c r="CC31" s="702"/>
      <c r="CD31" s="445"/>
      <c r="CE31" s="972" t="str">
        <f>IFERROR(WWWW[[#This Row],['#_Water sources passed]]/WWWW[[#This Row],['#_Water sources tested for fecal coliform ]],"no test")</f>
        <v>no test</v>
      </c>
      <c r="CF31" s="970" t="str">
        <f>IFERROR(WWWW[[#This Row],['#_Household passed]]/WWWW[[#This Row],['#_Household water samples tested for fecal coliform]],"no test")</f>
        <v>no test</v>
      </c>
      <c r="CG31" s="971" t="str">
        <f>IF(AND(WWWW[[#This Row],[% of water sources passed]]="no test",WWWW[[#This Row],[% Household passed]]="no test"),"No Test","Tested")</f>
        <v>No Test</v>
      </c>
      <c r="CH31" s="971">
        <f>WWWW[[#This Row],['#_Constructed/existing protected hand dug well]]-WWWW[[#This Row],['#_Non-functional protected hand dug well]]</f>
        <v>0</v>
      </c>
      <c r="CI31" s="971">
        <f>(WWWW[[#This Row],['#_Constructed/Existing tube wells/boreholes/handpumps_WASH_agency]]+WWWW[[#This Row],['#_Non-Cluster partner water tube-wells/boreholes/handpumps]])-WWWW[[#This Row],['#_Non-functional tube wells/boreholes/handpumps]]</f>
        <v>0</v>
      </c>
      <c r="CJ31" s="971">
        <f>WWWW[[#This Row],['#_Constructed/Existingwater storage tank with gravity fed reticulation system]]-WWWW[[#This Row],['#_Non-functional storage tank gravity fed reticulation system]]</f>
        <v>0</v>
      </c>
      <c r="CK31" s="971">
        <f>(WWWW[[#This Row],['#_Water_Liters_supplied_by_Water boating or water trucking]]/90)/15</f>
        <v>0</v>
      </c>
      <c r="CL31" s="971">
        <f>WWWW[[#This Row],['#_Water_Liters_from_Constructed/Existing water distribution system from river or natural spring]]/90/15</f>
        <v>0</v>
      </c>
      <c r="CM31" s="421">
        <f>IF(WWWW[[#This Row],['#_of water points in TLS/CFS]]*500&gt;WWWW[[#This Row],[Total PoP ]],WWWW[[#This Row],[Total PoP ]],WWWW[[#This Row],['#_of water points in TLS/CFS]]*500)</f>
        <v>0</v>
      </c>
      <c r="CN31" s="421">
        <f>IF(WWWW[[#This Row],['#_of water points in THF]]*500&gt;WWWW[[#This Row],[Total PoP ]],WWWW[[#This Row],[Total PoP ]],WWWW[[#This Row],['#_of water points in THF]]*500)</f>
        <v>0</v>
      </c>
      <c r="CO31" s="421"/>
      <c r="CP3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 s="970">
        <f>IF(WWWW[[#This Row],[Location Type 1]]="Village",WWWW[[#This Row],[Access to safe drinking water for Village]],WWWW[[#This Row],[Access to safe drinking water for Camp]])</f>
        <v>0</v>
      </c>
      <c r="CS31" s="968">
        <f>WWWW[[#This Row],[%Equitable and continuous access to sufficient quantity of safe drinking water]]*WWWW[[#This Row],[Total PoP ]]</f>
        <v>0</v>
      </c>
      <c r="CT31" s="970">
        <f>IF((WWWW[[#This Row],['#_Constructed/Existing protected/fenced ponds]]*250)/WWWW[[#This Row],[Total PoP ]]&gt;1,1,(WWWW[[#This Row],['#_Constructed/Existing protected/fenced ponds]]*250)/WWWW[[#This Row],[Total PoP ]])</f>
        <v>0</v>
      </c>
      <c r="CU31" s="968">
        <f>WWWW[[#This Row],[% Access to unimproved water points]]*WWWW[[#This Row],[Total PoP ]]</f>
        <v>0</v>
      </c>
      <c r="CV3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 s="968">
        <f>WWWW[[#This Row],[HRP1]]/500</f>
        <v>0</v>
      </c>
      <c r="CY31" s="973">
        <f>1-WWWW[[#This Row],[% Equitable and continuous access to sufficient quantity of domestic water]]</f>
        <v>1</v>
      </c>
      <c r="CZ31" s="968">
        <f>WWWW[[#This Row],[%equitable and continuous access to sufficient quantity of safe drinking and domestic water''s GAP]]*WWWW[[#This Row],[Total PoP ]]</f>
        <v>101</v>
      </c>
      <c r="DA31" s="971">
        <f>IF(WWWW[[#This Row],[Total required water points]]-WWWW[[#This Row],['#Water points coverage]]&lt;0,0,WWWW[[#This Row],[Total required water points]]-WWWW[[#This Row],['#Water points coverage]])</f>
        <v>1</v>
      </c>
      <c r="DB31" s="971">
        <f>ROUND(IF(WWWW[[#This Row],[Total PoP ]]&lt;500,1,WWWW[[#This Row],[Total PoP ]]/500),0)</f>
        <v>1</v>
      </c>
      <c r="DC31" s="971">
        <f>(WWWW[[#This Row],['#_Constructed latrines_by_WASHAgencies]]+WWWW[[#This Row],['#_Non Cluster partner latrines]])-WWWW[[#This Row],['#_Non-functional latrines]]</f>
        <v>0</v>
      </c>
      <c r="DD31" s="619">
        <f>WWWW[[#This Row],[HRP2]]/WWWW[[#This Row],[Total PoP ]]</f>
        <v>0</v>
      </c>
      <c r="DE3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 s="421">
        <f>IF(WWWW[[#This Row],['# of functional latrines in THF supported by WASH partners during the reporting period2]]="",0,WWWW[[#This Row],['# of functional latrines in THF supported by WASH partners during the reporting period2]]*50)</f>
        <v>0</v>
      </c>
      <c r="DI31" s="971">
        <f>ROUND(IF(WWWW[[#This Row],[Location Type 1]]="camp",WWWW[[#This Row],[Total PoP ]]/20,IF(WWWW[[#This Row],[Location Type 1]]="Temporary Location",WWWW[[#This Row],[Total PoP ]]/50,(WWWW[[#This Row],[Total PoP ]]/6))),0)</f>
        <v>5</v>
      </c>
      <c r="DJ31" s="971">
        <f>IF(WWWW[[#This Row],[Total required Latrines]]-(WWWW[[#This Row],['#_Constructed latrines_by_WASHAgencies]]+WWWW[[#This Row],['#_Non Cluster partner latrines]])&lt;0,0,WWWW[[#This Row],[Total required Latrines]]-(WWWW[[#This Row],['#_Constructed latrines_by_WASHAgencies]]+WWWW[[#This Row],['#_Non Cluster partner latrines]]))</f>
        <v>5</v>
      </c>
      <c r="DK31" s="973">
        <f>1-WWWW[[#This Row],[% people access to functioning Latrine]]</f>
        <v>1</v>
      </c>
      <c r="DL31" s="972">
        <f>IF(OR(WWWW[[#This Row],['#_Non-functional latrines]]="",WWWW[[#This Row],['#_Non-functional latrines]]=0),0,WWWW[[#This Row],['#_Non-functional latrines]]/(WWWW[[#This Row],['#_Constructed latrines_by_WASHAgencies]]+WWWW[[#This Row],['#_Non Cluster partner latrines]]))</f>
        <v>0</v>
      </c>
      <c r="DM31" s="968">
        <f>IF(500*(WWWW[[#This Row],['#_male hygiene promoters]]+WWWW[[#This Row],['#_female hygiene promoters]])&gt;WWWW[[#This Row],[Total PoP ]],WWWW[[#This Row],[Total PoP ]],500*(WWWW[[#This Row],['#_male hygiene promoters]]+WWWW[[#This Row],['#_female hygiene promoters]]))</f>
        <v>0</v>
      </c>
      <c r="DN3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 s="971">
        <f>IF(WWWW[[#This Row],['# People with access to soap]]&gt;WWWW[[#This Row],['# People with access to Sanity Pads]],WWWW[[#This Row],['# People with access to soap]],WWWW[[#This Row],['# People with access to Sanity Pads]])</f>
        <v>0</v>
      </c>
      <c r="DQ3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 s="973">
        <f>IF(WWWW[[#This Row],[HRP3]]/WWWW[[#This Row],[Total PoP ]]&gt;1,1,WWWW[[#This Row],[HRP3]]/WWWW[[#This Row],[Total PoP ]])</f>
        <v>0</v>
      </c>
      <c r="DS31" s="972">
        <f>1-WWWW[[#This Row],[Hygiene Coverage%]]</f>
        <v>1</v>
      </c>
      <c r="DT31" s="970">
        <f>WWWW[[#This Row],['# people reached by regular dedicated hygiene promotion_5]]/WWWW[[#This Row],[Total PoP ]]</f>
        <v>0</v>
      </c>
      <c r="DU3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 s="971">
        <f>WWWW[[#This Row],['#_Constructed/Existing hand washing stations]]-WWWW[[#This Row],['#_Non-Functional_hand_washing_stations]]</f>
        <v>1</v>
      </c>
      <c r="DX31" s="968">
        <f>IF(WWWW[[#This Row],['# Functional hand washing stations during reporting period]]*20&gt;WWWW[[#This Row],[Total HH]],WWWW[[#This Row],[Total HH]],WWWW[[#This Row],['# Functional hand washing stations during reporting period]]*20)</f>
        <v>15</v>
      </c>
      <c r="DY31" s="968">
        <f>IF(WWWW[[#This Row],[Is sufficient soap available for TLS? (Yes/No)]]="yes",WWWW[[#This Row],['#_Constructed/Existing hand washing stations at TLS/CFS/THF]],0)</f>
        <v>0</v>
      </c>
      <c r="DZ31" s="425">
        <f>IF(WWWW[[#This Row],['# Functional hand washing stations during reporting period]]*100&gt;WWWW[[#This Row],[Total PoP ]],WWWW[[#This Row],[Total PoP ]],WWWW[[#This Row],['# Functional hand washing stations during reporting period]]*100)</f>
        <v>100</v>
      </c>
      <c r="EA31" s="425" t="str">
        <f>IF(OR(WWWW[[#This Row],['#_students at TLS_CFS]]="",WWWW[[#This Row],['#_students at TLS_CFS]]=0),"No","Yes")</f>
        <v>No</v>
      </c>
      <c r="EB3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 s="570">
        <f>WWWW[[#This Row],[%_of_affected_people_surveyed_who_report_feeling_satistfied_with_the_latrine_design_and_sanitation_service]]*WWWW[[#This Row],[Total PoP ]]</f>
        <v>0</v>
      </c>
      <c r="ED31" s="570">
        <f>WWWW[[#This Row],[%_of_affected_people_surveyed_who_report_feeling_satistfied_with_the_water_point_design_and_water_service]]*WWWW[[#This Row],[Total PoP ]]</f>
        <v>0</v>
      </c>
      <c r="EE31" s="570">
        <f>WWWW[[#This Row],[%_of_complaints_received_that_result_in_timely_corrective_action_and_feedback_to_the_community]]*WWWW[[#This Row],[Total PoP ]]</f>
        <v>0</v>
      </c>
      <c r="EF3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 s="964">
        <f>VLOOKUP(WWWW[[#This Row],[Site Name]],SiteDB6[[Site Name]:[CCCM Management]],6,FALSE)</f>
        <v>0</v>
      </c>
      <c r="EJ31" s="964" t="str">
        <f>VLOOKUP(WWWW[[#This Row],[Site Name]],SiteDB6[[Site Name]:[CCCM Focal Agency]],7,FALSE)</f>
        <v>uncovered</v>
      </c>
      <c r="EK31" s="964" t="str">
        <f>VLOOKUP(WWWW[[#This Row],[Site Name]],SiteDB6[[Site Name]:[Location Type 1]],9,FALSE)</f>
        <v>Camp</v>
      </c>
      <c r="EL31" s="964" t="str">
        <f>VLOOKUP(WWWW[[#This Row],[Site Name]],SiteDB6[[Site Name]:[Type of Accommodation]],10,FALSE)</f>
        <v>IDPs in host</v>
      </c>
      <c r="EM31" s="964" t="str">
        <f>VLOOKUP(WWWW[[#This Row],[Site Name]],SiteDB6[[Site Name]:[Ethnic or GCA/NGCA]],11,FALSE)</f>
        <v>GCA</v>
      </c>
      <c r="EN31" s="964">
        <f>VLOOKUP(WWWW[[#This Row],[Site Name]],SiteDB6[[Site Name]:[Lat]],12,FALSE)</f>
        <v>24.404876999999999</v>
      </c>
      <c r="EO31" s="964">
        <f>VLOOKUP(WWWW[[#This Row],[Site Name]],SiteDB6[[Site Name]:[Long]],13,FALSE)</f>
        <v>97.407787999999996</v>
      </c>
      <c r="EP31" s="964" t="str">
        <f>VLOOKUP(WWWW[[#This Row],[Site Name]],SiteDB6[[Site Name]:[Pcode]],3,FALSE)</f>
        <v>MMR001CMP061</v>
      </c>
      <c r="EQ31" s="969" t="str">
        <f t="shared" si="1"/>
        <v>Notcovered</v>
      </c>
      <c r="ER31" s="969"/>
      <c r="ES31" s="964">
        <f>VLOOKUP(WWWW[[#This Row],[Site Name]],SiteDB6[[Site Name]:[Pop
(Kachin/Shan-CCCM as of March 2023)]],16,FALSE)</f>
        <v>15</v>
      </c>
      <c r="ET31" s="964">
        <f>VLOOKUP(WWWW[[#This Row],[Site Name]],SiteDB6[[Site Name]:[Pop
(Kachin/Shan-CCCM as of March 2023)]],17,FALSE)</f>
        <v>101</v>
      </c>
    </row>
    <row r="32" spans="1:150" hidden="1">
      <c r="A32" s="962" t="s">
        <v>2977</v>
      </c>
      <c r="B32" s="962" t="s">
        <v>291</v>
      </c>
      <c r="C32" s="963" t="s">
        <v>291</v>
      </c>
      <c r="D32" s="963" t="s">
        <v>2609</v>
      </c>
      <c r="E32" s="963" t="s">
        <v>37</v>
      </c>
      <c r="F32" s="963" t="s">
        <v>38</v>
      </c>
      <c r="G32" s="964" t="str">
        <f>VLOOKUP(WWWW[[#This Row],[Site Name]],SiteDB6[[Site Name]:[Location Type]],8,FALSE)</f>
        <v>Camp</v>
      </c>
      <c r="H32" s="963" t="s">
        <v>1490</v>
      </c>
      <c r="I32" s="965">
        <v>388</v>
      </c>
      <c r="J32" s="965">
        <v>1900</v>
      </c>
      <c r="K32" s="966">
        <v>44652</v>
      </c>
      <c r="L32" s="967">
        <v>44926</v>
      </c>
      <c r="M32" s="965"/>
      <c r="N32" s="965"/>
      <c r="O32" s="965"/>
      <c r="P32" s="965"/>
      <c r="Q32" s="968" t="s">
        <v>41</v>
      </c>
      <c r="R32" s="965">
        <v>5</v>
      </c>
      <c r="S32" s="965">
        <v>6</v>
      </c>
      <c r="T32" s="445">
        <v>4</v>
      </c>
      <c r="U32" s="965"/>
      <c r="V32" s="965"/>
      <c r="W32" s="965">
        <v>1</v>
      </c>
      <c r="X32" s="965"/>
      <c r="Y32" s="965"/>
      <c r="Z32" s="965"/>
      <c r="AA32" s="965">
        <v>1</v>
      </c>
      <c r="AB32" s="965"/>
      <c r="AC32" s="965"/>
      <c r="AD32" s="965"/>
      <c r="AE32" s="965">
        <v>5</v>
      </c>
      <c r="AF32" s="965"/>
      <c r="AG32" s="965"/>
      <c r="AH32" s="965">
        <v>5</v>
      </c>
      <c r="AI32" s="965"/>
      <c r="AJ32" s="965"/>
      <c r="AK32" s="965"/>
      <c r="AL32" s="965"/>
      <c r="AM32" s="965"/>
      <c r="AN32" s="965">
        <v>5</v>
      </c>
      <c r="AO32" s="445"/>
      <c r="AP32" s="969"/>
      <c r="AQ32" s="965">
        <v>185</v>
      </c>
      <c r="AR32" s="965"/>
      <c r="AS32" s="970"/>
      <c r="AT32" s="965"/>
      <c r="AU32" s="965"/>
      <c r="AV32" s="965"/>
      <c r="AW32" s="965"/>
      <c r="AX32" s="965">
        <v>73</v>
      </c>
      <c r="AY32" s="964" t="s">
        <v>136</v>
      </c>
      <c r="AZ32" s="969" t="s">
        <v>137</v>
      </c>
      <c r="BA32" s="965">
        <v>4</v>
      </c>
      <c r="BB32" s="965">
        <v>60</v>
      </c>
      <c r="BC32" s="965">
        <v>15</v>
      </c>
      <c r="BD32" s="445">
        <v>2</v>
      </c>
      <c r="BE32" s="445">
        <v>6</v>
      </c>
      <c r="BF32" s="964"/>
      <c r="BG32" s="965">
        <v>3</v>
      </c>
      <c r="BH32" s="965"/>
      <c r="BI32" s="965">
        <v>60</v>
      </c>
      <c r="BJ32" s="965">
        <v>2</v>
      </c>
      <c r="BK32" s="965"/>
      <c r="BL32" s="965"/>
      <c r="BM32" s="965">
        <v>6</v>
      </c>
      <c r="BN32" s="965"/>
      <c r="BO32" s="965"/>
      <c r="BP32" s="964"/>
      <c r="BQ32" s="971"/>
      <c r="BR32" s="970"/>
      <c r="BS32" s="964"/>
      <c r="BT32" s="420"/>
      <c r="BU32" s="420"/>
      <c r="BV32" s="422"/>
      <c r="BW32" s="420"/>
      <c r="BX32" s="445"/>
      <c r="BY32" s="445"/>
      <c r="BZ32" s="445"/>
      <c r="CA32" s="445"/>
      <c r="CB32" s="445"/>
      <c r="CC32" s="702"/>
      <c r="CD32" s="445"/>
      <c r="CE32" s="972" t="str">
        <f>IFERROR(WWWW[[#This Row],['#_Water sources passed]]/WWWW[[#This Row],['#_Water sources tested for fecal coliform ]],"no test")</f>
        <v>no test</v>
      </c>
      <c r="CF32" s="970" t="str">
        <f>IFERROR(WWWW[[#This Row],['#_Household passed]]/WWWW[[#This Row],['#_Household water samples tested for fecal coliform]],"no test")</f>
        <v>no test</v>
      </c>
      <c r="CG32" s="971" t="str">
        <f>IF(AND(WWWW[[#This Row],[% of water sources passed]]="no test",WWWW[[#This Row],[% Household passed]]="no test"),"No Test","Tested")</f>
        <v>No Test</v>
      </c>
      <c r="CH32" s="971">
        <f>WWWW[[#This Row],['#_Constructed/existing protected hand dug well]]-WWWW[[#This Row],['#_Non-functional protected hand dug well]]</f>
        <v>4</v>
      </c>
      <c r="CI32" s="971">
        <f>(WWWW[[#This Row],['#_Constructed/Existing tube wells/boreholes/handpumps_WASH_agency]]+WWWW[[#This Row],['#_Non-Cluster partner water tube-wells/boreholes/handpumps]])-WWWW[[#This Row],['#_Non-functional tube wells/boreholes/handpumps]]</f>
        <v>1</v>
      </c>
      <c r="CJ32" s="971">
        <f>WWWW[[#This Row],['#_Constructed/Existingwater storage tank with gravity fed reticulation system]]-WWWW[[#This Row],['#_Non-functional storage tank gravity fed reticulation system]]</f>
        <v>1</v>
      </c>
      <c r="CK32" s="971">
        <f>(WWWW[[#This Row],['#_Water_Liters_supplied_by_Water boating or water trucking]]/90)/15</f>
        <v>0</v>
      </c>
      <c r="CL32" s="971">
        <f>WWWW[[#This Row],['#_Water_Liters_from_Constructed/Existing water distribution system from river or natural spring]]/90/15</f>
        <v>0</v>
      </c>
      <c r="CM32" s="421">
        <f>IF(WWWW[[#This Row],['#_of water points in TLS/CFS]]*500&gt;WWWW[[#This Row],[Total PoP ]],WWWW[[#This Row],[Total PoP ]],WWWW[[#This Row],['#_of water points in TLS/CFS]]*500)</f>
        <v>1900</v>
      </c>
      <c r="CN32" s="421">
        <f>IF(WWWW[[#This Row],['#_of water points in THF]]*500&gt;WWWW[[#This Row],[Total PoP ]],WWWW[[#This Row],[Total PoP ]],WWWW[[#This Row],['#_of water points in THF]]*500)</f>
        <v>0</v>
      </c>
      <c r="CO32" s="421"/>
      <c r="CP3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R32" s="970">
        <f>IF(WWWW[[#This Row],[Location Type 1]]="Village",WWWW[[#This Row],[Access to safe drinking water for Village]],WWWW[[#This Row],[Access to safe drinking water for Camp]])</f>
        <v>1</v>
      </c>
      <c r="CS32" s="968">
        <f>WWWW[[#This Row],[%Equitable and continuous access to sufficient quantity of safe drinking water]]*WWWW[[#This Row],[Total PoP ]]</f>
        <v>1900</v>
      </c>
      <c r="CT32" s="970">
        <f>IF((WWWW[[#This Row],['#_Constructed/Existing protected/fenced ponds]]*250)/WWWW[[#This Row],[Total PoP ]]&gt;1,1,(WWWW[[#This Row],['#_Constructed/Existing protected/fenced ponds]]*250)/WWWW[[#This Row],[Total PoP ]])</f>
        <v>0.65789473684210531</v>
      </c>
      <c r="CU32" s="968">
        <f>WWWW[[#This Row],[% Access to unimproved water points]]*WWWW[[#This Row],[Total PoP ]]</f>
        <v>1250</v>
      </c>
      <c r="CV3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32" s="968">
        <f>WWWW[[#This Row],[HRP1]]/500</f>
        <v>3.8</v>
      </c>
      <c r="CY32" s="973">
        <f>1-WWWW[[#This Row],[% Equitable and continuous access to sufficient quantity of domestic water]]</f>
        <v>0</v>
      </c>
      <c r="CZ32" s="968">
        <f>WWWW[[#This Row],[%equitable and continuous access to sufficient quantity of safe drinking and domestic water''s GAP]]*WWWW[[#This Row],[Total PoP ]]</f>
        <v>0</v>
      </c>
      <c r="DA32" s="971">
        <f>IF(WWWW[[#This Row],[Total required water points]]-WWWW[[#This Row],['#Water points coverage]]&lt;0,0,WWWW[[#This Row],[Total required water points]]-WWWW[[#This Row],['#Water points coverage]])</f>
        <v>0.20000000000000018</v>
      </c>
      <c r="DB32" s="971">
        <f>ROUND(IF(WWWW[[#This Row],[Total PoP ]]&lt;500,1,WWWW[[#This Row],[Total PoP ]]/500),0)</f>
        <v>4</v>
      </c>
      <c r="DC32" s="971">
        <f>(WWWW[[#This Row],['#_Constructed latrines_by_WASHAgencies]]+WWWW[[#This Row],['#_Non Cluster partner latrines]])-WWWW[[#This Row],['#_Non-functional latrines]]</f>
        <v>185</v>
      </c>
      <c r="DD32" s="619">
        <f>WWWW[[#This Row],[HRP2]]/WWWW[[#This Row],[Total PoP ]]</f>
        <v>1</v>
      </c>
      <c r="DE3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1900</v>
      </c>
      <c r="DF3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 s="421">
        <f>IF(WWWW[[#This Row],['# of functional latrines in THF supported by WASH partners during the reporting period2]]="",0,WWWW[[#This Row],['# of functional latrines in THF supported by WASH partners during the reporting period2]]*50)</f>
        <v>100</v>
      </c>
      <c r="DI32" s="971">
        <f>ROUND(IF(WWWW[[#This Row],[Location Type 1]]="camp",WWWW[[#This Row],[Total PoP ]]/20,IF(WWWW[[#This Row],[Location Type 1]]="Temporary Location",WWWW[[#This Row],[Total PoP ]]/50,(WWWW[[#This Row],[Total PoP ]]/6))),0)</f>
        <v>95</v>
      </c>
      <c r="DJ32" s="971">
        <f>IF(WWWW[[#This Row],[Total required Latrines]]-(WWWW[[#This Row],['#_Constructed latrines_by_WASHAgencies]]+WWWW[[#This Row],['#_Non Cluster partner latrines]])&lt;0,0,WWWW[[#This Row],[Total required Latrines]]-(WWWW[[#This Row],['#_Constructed latrines_by_WASHAgencies]]+WWWW[[#This Row],['#_Non Cluster partner latrines]]))</f>
        <v>0</v>
      </c>
      <c r="DK32" s="973">
        <f>1-WWWW[[#This Row],[% people access to functioning Latrine]]</f>
        <v>0</v>
      </c>
      <c r="DL32" s="972">
        <f>IF(OR(WWWW[[#This Row],['#_Non-functional latrines]]="",WWWW[[#This Row],['#_Non-functional latrines]]=0),0,WWWW[[#This Row],['#_Non-functional latrines]]/(WWWW[[#This Row],['#_Constructed latrines_by_WASHAgencies]]+WWWW[[#This Row],['#_Non Cluster partner latrines]]))</f>
        <v>0</v>
      </c>
      <c r="DM32" s="968">
        <f>IF(500*(WWWW[[#This Row],['#_male hygiene promoters]]+WWWW[[#This Row],['#_female hygiene promoters]])&gt;WWWW[[#This Row],[Total PoP ]],WWWW[[#This Row],[Total PoP ]],500*(WWWW[[#This Row],['#_male hygiene promoters]]+WWWW[[#This Row],['#_female hygiene promoters]]))</f>
        <v>1900</v>
      </c>
      <c r="DN3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 s="971">
        <f>IF(WWWW[[#This Row],['# People with access to soap]]&gt;WWWW[[#This Row],['# People with access to Sanity Pads]],WWWW[[#This Row],['# People with access to soap]],WWWW[[#This Row],['# People with access to Sanity Pads]])</f>
        <v>0</v>
      </c>
      <c r="DQ32" s="971">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R32" s="973">
        <f>IF(WWWW[[#This Row],[HRP3]]/WWWW[[#This Row],[Total PoP ]]&gt;1,1,WWWW[[#This Row],[HRP3]]/WWWW[[#This Row],[Total PoP ]])</f>
        <v>1</v>
      </c>
      <c r="DS32" s="972">
        <f>1-WWWW[[#This Row],[Hygiene Coverage%]]</f>
        <v>0</v>
      </c>
      <c r="DT32" s="970">
        <f>WWWW[[#This Row],['# people reached by regular dedicated hygiene promotion_5]]/WWWW[[#This Row],[Total PoP ]]</f>
        <v>1</v>
      </c>
      <c r="DU3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 s="971">
        <f>WWWW[[#This Row],['#_Constructed/Existing hand washing stations]]-WWWW[[#This Row],['#_Non-Functional_hand_washing_stations]]</f>
        <v>3</v>
      </c>
      <c r="DX32" s="968">
        <f>IF(WWWW[[#This Row],['# Functional hand washing stations during reporting period]]*20&gt;WWWW[[#This Row],[Total HH]],WWWW[[#This Row],[Total HH]],WWWW[[#This Row],['# Functional hand washing stations during reporting period]]*20)</f>
        <v>60</v>
      </c>
      <c r="DY32" s="968">
        <f>IF(WWWW[[#This Row],[Is sufficient soap available for TLS? (Yes/No)]]="yes",WWWW[[#This Row],['#_Constructed/Existing hand washing stations at TLS/CFS/THF]],0)</f>
        <v>0</v>
      </c>
      <c r="DZ32" s="425">
        <f>IF(WWWW[[#This Row],['# Functional hand washing stations during reporting period]]*100&gt;WWWW[[#This Row],[Total PoP ]],WWWW[[#This Row],[Total PoP ]],WWWW[[#This Row],['# Functional hand washing stations during reporting period]]*100)</f>
        <v>300</v>
      </c>
      <c r="EA32" s="425" t="str">
        <f>IF(OR(WWWW[[#This Row],['#_students at TLS_CFS]]="",WWWW[[#This Row],['#_students at TLS_CFS]]=0),"No","Yes")</f>
        <v>No</v>
      </c>
      <c r="EB3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 s="570">
        <f>WWWW[[#This Row],[%_of_affected_people_surveyed_who_report_feeling_satistfied_with_the_latrine_design_and_sanitation_service]]*WWWW[[#This Row],[Total PoP ]]</f>
        <v>0</v>
      </c>
      <c r="ED32" s="570">
        <f>WWWW[[#This Row],[%_of_affected_people_surveyed_who_report_feeling_satistfied_with_the_water_point_design_and_water_service]]*WWWW[[#This Row],[Total PoP ]]</f>
        <v>0</v>
      </c>
      <c r="EE32" s="570">
        <f>WWWW[[#This Row],[%_of_complaints_received_that_result_in_timely_corrective_action_and_feedback_to_the_community]]*WWWW[[#This Row],[Total PoP ]]</f>
        <v>0</v>
      </c>
      <c r="EF3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H3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32" s="964" t="str">
        <f>VLOOKUP(WWWW[[#This Row],[Site Name]],SiteDB6[[Site Name]:[CCCM Management]],6,FALSE)</f>
        <v>Yes</v>
      </c>
      <c r="EJ32" s="964" t="str">
        <f>VLOOKUP(WWWW[[#This Row],[Site Name]],SiteDB6[[Site Name]:[CCCM Focal Agency]],7,FALSE)</f>
        <v>KMSS-BMO</v>
      </c>
      <c r="EK32" s="964" t="str">
        <f>VLOOKUP(WWWW[[#This Row],[Site Name]],SiteDB6[[Site Name]:[Location Type 1]],9,FALSE)</f>
        <v>Camp</v>
      </c>
      <c r="EL32" s="964" t="str">
        <f>VLOOKUP(WWWW[[#This Row],[Site Name]],SiteDB6[[Site Name]:[Type of Accommodation]],10,FALSE)</f>
        <v>Camp</v>
      </c>
      <c r="EM32" s="964" t="str">
        <f>VLOOKUP(WWWW[[#This Row],[Site Name]],SiteDB6[[Site Name]:[Ethnic or GCA/NGCA]],11,FALSE)</f>
        <v>NGCA</v>
      </c>
      <c r="EN32" s="964">
        <f>VLOOKUP(WWWW[[#This Row],[Site Name]],SiteDB6[[Site Name]:[Lat]],12,FALSE)</f>
        <v>24.002433</v>
      </c>
      <c r="EO32" s="964">
        <f>VLOOKUP(WWWW[[#This Row],[Site Name]],SiteDB6[[Site Name]:[Long]],13,FALSE)</f>
        <v>97.609832999999995</v>
      </c>
      <c r="EP32" s="964" t="str">
        <f>VLOOKUP(WWWW[[#This Row],[Site Name]],SiteDB6[[Site Name]:[Pcode]],3,FALSE)</f>
        <v>MMR001CMP129</v>
      </c>
      <c r="EQ32" s="969" t="str">
        <f t="shared" si="1"/>
        <v>Covered</v>
      </c>
      <c r="ER32" s="969" t="s">
        <v>136</v>
      </c>
      <c r="ES32" s="964">
        <f>VLOOKUP(WWWW[[#This Row],[Site Name]],SiteDB6[[Site Name]:[Pop
(Kachin/Shan-CCCM as of March 2023)]],16,FALSE)</f>
        <v>396</v>
      </c>
      <c r="ET32" s="964">
        <f>VLOOKUP(WWWW[[#This Row],[Site Name]],SiteDB6[[Site Name]:[Pop
(Kachin/Shan-CCCM as of March 2023)]],17,FALSE)</f>
        <v>1933</v>
      </c>
    </row>
    <row r="33" spans="1:150">
      <c r="A33" s="962" t="s">
        <v>2977</v>
      </c>
      <c r="B33" s="962" t="s">
        <v>192</v>
      </c>
      <c r="C33" s="962" t="s">
        <v>192</v>
      </c>
      <c r="D33" s="963" t="s">
        <v>2898</v>
      </c>
      <c r="E33" s="963" t="s">
        <v>37</v>
      </c>
      <c r="F33" s="963" t="s">
        <v>195</v>
      </c>
      <c r="G33" s="964" t="str">
        <f>VLOOKUP(WWWW[[#This Row],[Site Name]],SiteDB6[[Site Name]:[Location Type]],8,FALSE)</f>
        <v>Camp</v>
      </c>
      <c r="H33" s="963" t="s">
        <v>198</v>
      </c>
      <c r="I33" s="965">
        <v>38</v>
      </c>
      <c r="J33" s="965">
        <v>226</v>
      </c>
      <c r="K33" s="966"/>
      <c r="L33" s="967"/>
      <c r="M33" s="965"/>
      <c r="N33" s="965"/>
      <c r="O33" s="965"/>
      <c r="P33" s="965"/>
      <c r="Q33" s="968" t="s">
        <v>41</v>
      </c>
      <c r="R33" s="965"/>
      <c r="S33" s="965">
        <v>5</v>
      </c>
      <c r="T33" s="445"/>
      <c r="U33" s="965"/>
      <c r="V33" s="965"/>
      <c r="W33" s="965">
        <v>2</v>
      </c>
      <c r="X33" s="965"/>
      <c r="Y33" s="965"/>
      <c r="Z33" s="965"/>
      <c r="AA33" s="965"/>
      <c r="AB33" s="965"/>
      <c r="AC33" s="965"/>
      <c r="AD33" s="965"/>
      <c r="AE33" s="965"/>
      <c r="AF33" s="965"/>
      <c r="AG33" s="965">
        <v>1</v>
      </c>
      <c r="AH33" s="965"/>
      <c r="AI33" s="965"/>
      <c r="AJ33" s="965"/>
      <c r="AK33" s="965"/>
      <c r="AL33" s="965"/>
      <c r="AM33" s="965"/>
      <c r="AN33" s="965"/>
      <c r="AO33" s="445"/>
      <c r="AP33" s="969"/>
      <c r="AQ33" s="965">
        <v>11</v>
      </c>
      <c r="AR33" s="965"/>
      <c r="AS33" s="970"/>
      <c r="AT33" s="965"/>
      <c r="AU33" s="965"/>
      <c r="AV33" s="965"/>
      <c r="AW33" s="965"/>
      <c r="AX33" s="965"/>
      <c r="AY33" s="964" t="s">
        <v>41</v>
      </c>
      <c r="AZ33" s="969" t="s">
        <v>137</v>
      </c>
      <c r="BA33" s="965"/>
      <c r="BB33" s="965"/>
      <c r="BC33" s="965"/>
      <c r="BD33" s="445"/>
      <c r="BE33" s="445"/>
      <c r="BF33" s="964"/>
      <c r="BG33" s="965"/>
      <c r="BH33" s="965"/>
      <c r="BI33" s="965"/>
      <c r="BJ33" s="965">
        <v>2</v>
      </c>
      <c r="BK33" s="965"/>
      <c r="BL33" s="965"/>
      <c r="BM33" s="965"/>
      <c r="BN33" s="965"/>
      <c r="BO33" s="965"/>
      <c r="BP33" s="964"/>
      <c r="BQ33" s="971"/>
      <c r="BR33" s="970"/>
      <c r="BS33" s="964"/>
      <c r="BT33" s="420"/>
      <c r="BU33" s="420"/>
      <c r="BV33" s="422"/>
      <c r="BW33" s="420"/>
      <c r="BX33" s="445"/>
      <c r="BY33" s="445"/>
      <c r="BZ33" s="445"/>
      <c r="CA33" s="445"/>
      <c r="CB33" s="445"/>
      <c r="CC33" s="702"/>
      <c r="CD33" s="445"/>
      <c r="CE33" s="972" t="str">
        <f>IFERROR(WWWW[[#This Row],['#_Water sources passed]]/WWWW[[#This Row],['#_Water sources tested for fecal coliform ]],"no test")</f>
        <v>no test</v>
      </c>
      <c r="CF33" s="970" t="str">
        <f>IFERROR(WWWW[[#This Row],['#_Household passed]]/WWWW[[#This Row],['#_Household water samples tested for fecal coliform]],"no test")</f>
        <v>no test</v>
      </c>
      <c r="CG33" s="971" t="str">
        <f>IF(AND(WWWW[[#This Row],[% of water sources passed]]="no test",WWWW[[#This Row],[% Household passed]]="no test"),"No Test","Tested")</f>
        <v>No Test</v>
      </c>
      <c r="CH33" s="971">
        <f>WWWW[[#This Row],['#_Constructed/existing protected hand dug well]]-WWWW[[#This Row],['#_Non-functional protected hand dug well]]</f>
        <v>0</v>
      </c>
      <c r="CI33" s="971">
        <f>(WWWW[[#This Row],['#_Constructed/Existing tube wells/boreholes/handpumps_WASH_agency]]+WWWW[[#This Row],['#_Non-Cluster partner water tube-wells/boreholes/handpumps]])-WWWW[[#This Row],['#_Non-functional tube wells/boreholes/handpumps]]</f>
        <v>2</v>
      </c>
      <c r="CJ33" s="971">
        <f>WWWW[[#This Row],['#_Constructed/Existingwater storage tank with gravity fed reticulation system]]-WWWW[[#This Row],['#_Non-functional storage tank gravity fed reticulation system]]</f>
        <v>0</v>
      </c>
      <c r="CK33" s="971">
        <f>(WWWW[[#This Row],['#_Water_Liters_supplied_by_Water boating or water trucking]]/90)/15</f>
        <v>0</v>
      </c>
      <c r="CL33" s="971">
        <f>WWWW[[#This Row],['#_Water_Liters_from_Constructed/Existing water distribution system from river or natural spring]]/90/15</f>
        <v>0</v>
      </c>
      <c r="CM33" s="421">
        <f>IF(WWWW[[#This Row],['#_of water points in TLS/CFS]]*500&gt;WWWW[[#This Row],[Total PoP ]],WWWW[[#This Row],[Total PoP ]],WWWW[[#This Row],['#_of water points in TLS/CFS]]*500)</f>
        <v>0</v>
      </c>
      <c r="CN33" s="421">
        <f>IF(WWWW[[#This Row],['#_of water points in THF]]*500&gt;WWWW[[#This Row],[Total PoP ]],WWWW[[#This Row],[Total PoP ]],WWWW[[#This Row],['#_of water points in THF]]*500)</f>
        <v>0</v>
      </c>
      <c r="CO33" s="421"/>
      <c r="CP3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 s="970">
        <f>IF(WWWW[[#This Row],[Location Type 1]]="Village",WWWW[[#This Row],[Access to safe drinking water for Village]],WWWW[[#This Row],[Access to safe drinking water for Camp]])</f>
        <v>1</v>
      </c>
      <c r="CS33" s="968">
        <f>WWWW[[#This Row],[%Equitable and continuous access to sufficient quantity of safe drinking water]]*WWWW[[#This Row],[Total PoP ]]</f>
        <v>226</v>
      </c>
      <c r="CT33" s="970">
        <f>IF((WWWW[[#This Row],['#_Constructed/Existing protected/fenced ponds]]*250)/WWWW[[#This Row],[Total PoP ]]&gt;1,1,(WWWW[[#This Row],['#_Constructed/Existing protected/fenced ponds]]*250)/WWWW[[#This Row],[Total PoP ]])</f>
        <v>0</v>
      </c>
      <c r="CU33" s="968">
        <f>WWWW[[#This Row],[% Access to unimproved water points]]*WWWW[[#This Row],[Total PoP ]]</f>
        <v>0</v>
      </c>
      <c r="CV3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226</v>
      </c>
      <c r="CX33" s="968">
        <f>WWWW[[#This Row],[HRP1]]/500</f>
        <v>0.45200000000000001</v>
      </c>
      <c r="CY33" s="973">
        <f>1-WWWW[[#This Row],[% Equitable and continuous access to sufficient quantity of domestic water]]</f>
        <v>0</v>
      </c>
      <c r="CZ33" s="968">
        <f>WWWW[[#This Row],[%equitable and continuous access to sufficient quantity of safe drinking and domestic water''s GAP]]*WWWW[[#This Row],[Total PoP ]]</f>
        <v>0</v>
      </c>
      <c r="DA33" s="971">
        <f>IF(WWWW[[#This Row],[Total required water points]]-WWWW[[#This Row],['#Water points coverage]]&lt;0,0,WWWW[[#This Row],[Total required water points]]-WWWW[[#This Row],['#Water points coverage]])</f>
        <v>0.54800000000000004</v>
      </c>
      <c r="DB33" s="971">
        <f>ROUND(IF(WWWW[[#This Row],[Total PoP ]]&lt;500,1,WWWW[[#This Row],[Total PoP ]]/500),0)</f>
        <v>1</v>
      </c>
      <c r="DC33" s="971">
        <f>(WWWW[[#This Row],['#_Constructed latrines_by_WASHAgencies]]+WWWW[[#This Row],['#_Non Cluster partner latrines]])-WWWW[[#This Row],['#_Non-functional latrines]]</f>
        <v>11</v>
      </c>
      <c r="DD33" s="619">
        <f>WWWW[[#This Row],[HRP2]]/WWWW[[#This Row],[Total PoP ]]</f>
        <v>0.97345132743362828</v>
      </c>
      <c r="DE3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3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 s="421">
        <f>IF(WWWW[[#This Row],['# of functional latrines in THF supported by WASH partners during the reporting period2]]="",0,WWWW[[#This Row],['# of functional latrines in THF supported by WASH partners during the reporting period2]]*50)</f>
        <v>0</v>
      </c>
      <c r="DI33" s="971">
        <f>ROUND(IF(WWWW[[#This Row],[Location Type 1]]="camp",WWWW[[#This Row],[Total PoP ]]/20,IF(WWWW[[#This Row],[Location Type 1]]="Temporary Location",WWWW[[#This Row],[Total PoP ]]/50,(WWWW[[#This Row],[Total PoP ]]/6))),0)</f>
        <v>11</v>
      </c>
      <c r="DJ33" s="971">
        <f>IF(WWWW[[#This Row],[Total required Latrines]]-(WWWW[[#This Row],['#_Constructed latrines_by_WASHAgencies]]+WWWW[[#This Row],['#_Non Cluster partner latrines]])&lt;0,0,WWWW[[#This Row],[Total required Latrines]]-(WWWW[[#This Row],['#_Constructed latrines_by_WASHAgencies]]+WWWW[[#This Row],['#_Non Cluster partner latrines]]))</f>
        <v>0</v>
      </c>
      <c r="DK33" s="973">
        <f>1-WWWW[[#This Row],[% people access to functioning Latrine]]</f>
        <v>2.6548672566371723E-2</v>
      </c>
      <c r="DL33" s="972">
        <f>IF(OR(WWWW[[#This Row],['#_Non-functional latrines]]="",WWWW[[#This Row],['#_Non-functional latrines]]=0),0,WWWW[[#This Row],['#_Non-functional latrines]]/(WWWW[[#This Row],['#_Constructed latrines_by_WASHAgencies]]+WWWW[[#This Row],['#_Non Cluster partner latrines]]))</f>
        <v>0</v>
      </c>
      <c r="DM33" s="968">
        <f>IF(500*(WWWW[[#This Row],['#_male hygiene promoters]]+WWWW[[#This Row],['#_female hygiene promoters]])&gt;WWWW[[#This Row],[Total PoP ]],WWWW[[#This Row],[Total PoP ]],500*(WWWW[[#This Row],['#_male hygiene promoters]]+WWWW[[#This Row],['#_female hygiene promoters]]))</f>
        <v>0</v>
      </c>
      <c r="DN3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 s="971">
        <f>IF(WWWW[[#This Row],['# People with access to soap]]&gt;WWWW[[#This Row],['# People with access to Sanity Pads]],WWWW[[#This Row],['# People with access to soap]],WWWW[[#This Row],['# People with access to Sanity Pads]])</f>
        <v>0</v>
      </c>
      <c r="DQ3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 s="973">
        <f>IF(WWWW[[#This Row],[HRP3]]/WWWW[[#This Row],[Total PoP ]]&gt;1,1,WWWW[[#This Row],[HRP3]]/WWWW[[#This Row],[Total PoP ]])</f>
        <v>0</v>
      </c>
      <c r="DS33" s="972">
        <f>1-WWWW[[#This Row],[Hygiene Coverage%]]</f>
        <v>1</v>
      </c>
      <c r="DT33" s="970">
        <f>WWWW[[#This Row],['# people reached by regular dedicated hygiene promotion_5]]/WWWW[[#This Row],[Total PoP ]]</f>
        <v>0</v>
      </c>
      <c r="DU3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 s="971">
        <f>WWWW[[#This Row],['#_Constructed/Existing hand washing stations]]-WWWW[[#This Row],['#_Non-Functional_hand_washing_stations]]</f>
        <v>0</v>
      </c>
      <c r="DX33" s="968">
        <f>IF(WWWW[[#This Row],['# Functional hand washing stations during reporting period]]*20&gt;WWWW[[#This Row],[Total HH]],WWWW[[#This Row],[Total HH]],WWWW[[#This Row],['# Functional hand washing stations during reporting period]]*20)</f>
        <v>0</v>
      </c>
      <c r="DY33" s="968">
        <f>IF(WWWW[[#This Row],[Is sufficient soap available for TLS? (Yes/No)]]="yes",WWWW[[#This Row],['#_Constructed/Existing hand washing stations at TLS/CFS/THF]],0)</f>
        <v>0</v>
      </c>
      <c r="DZ33" s="425">
        <f>IF(WWWW[[#This Row],['# Functional hand washing stations during reporting period]]*100&gt;WWWW[[#This Row],[Total PoP ]],WWWW[[#This Row],[Total PoP ]],WWWW[[#This Row],['# Functional hand washing stations during reporting period]]*100)</f>
        <v>0</v>
      </c>
      <c r="EA33" s="425" t="str">
        <f>IF(OR(WWWW[[#This Row],['#_students at TLS_CFS]]="",WWWW[[#This Row],['#_students at TLS_CFS]]=0),"No","Yes")</f>
        <v>No</v>
      </c>
      <c r="EB3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 s="570">
        <f>WWWW[[#This Row],[%_of_affected_people_surveyed_who_report_feeling_satistfied_with_the_latrine_design_and_sanitation_service]]*WWWW[[#This Row],[Total PoP ]]</f>
        <v>0</v>
      </c>
      <c r="ED33" s="570">
        <f>WWWW[[#This Row],[%_of_affected_people_surveyed_who_report_feeling_satistfied_with_the_water_point_design_and_water_service]]*WWWW[[#This Row],[Total PoP ]]</f>
        <v>0</v>
      </c>
      <c r="EE33" s="570">
        <f>WWWW[[#This Row],[%_of_complaints_received_that_result_in_timely_corrective_action_and_feedback_to_the_community]]*WWWW[[#This Row],[Total PoP ]]</f>
        <v>0</v>
      </c>
      <c r="EF3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 s="964" t="str">
        <f>VLOOKUP(WWWW[[#This Row],[Site Name]],SiteDB6[[Site Name]:[CCCM Management]],6,FALSE)</f>
        <v>Yes</v>
      </c>
      <c r="EJ33" s="964" t="str">
        <f>VLOOKUP(WWWW[[#This Row],[Site Name]],SiteDB6[[Site Name]:[CCCM Focal Agency]],7,FALSE)</f>
        <v>KBC-BMO</v>
      </c>
      <c r="EK33" s="964" t="str">
        <f>VLOOKUP(WWWW[[#This Row],[Site Name]],SiteDB6[[Site Name]:[Location Type 1]],9,FALSE)</f>
        <v>Camp</v>
      </c>
      <c r="EL33" s="964" t="str">
        <f>VLOOKUP(WWWW[[#This Row],[Site Name]],SiteDB6[[Site Name]:[Type of Accommodation]],10,FALSE)</f>
        <v>Camp</v>
      </c>
      <c r="EM33" s="964" t="str">
        <f>VLOOKUP(WWWW[[#This Row],[Site Name]],SiteDB6[[Site Name]:[Ethnic or GCA/NGCA]],11,FALSE)</f>
        <v>GCA</v>
      </c>
      <c r="EN33" s="964">
        <f>VLOOKUP(WWWW[[#This Row],[Site Name]],SiteDB6[[Site Name]:[Lat]],12,FALSE)</f>
        <v>24.24766</v>
      </c>
      <c r="EO33" s="964">
        <f>VLOOKUP(WWWW[[#This Row],[Site Name]],SiteDB6[[Site Name]:[Long]],13,FALSE)</f>
        <v>97.236919999999998</v>
      </c>
      <c r="EP33" s="964" t="str">
        <f>VLOOKUP(WWWW[[#This Row],[Site Name]],SiteDB6[[Site Name]:[Pcode]],3,FALSE)</f>
        <v>MMR001CMP052</v>
      </c>
      <c r="EQ33" s="969" t="str">
        <f t="shared" si="1"/>
        <v>Covered</v>
      </c>
      <c r="ER33" s="969" t="s">
        <v>3147</v>
      </c>
      <c r="ES33" s="964">
        <f>VLOOKUP(WWWW[[#This Row],[Site Name]],SiteDB6[[Site Name]:[Pop
(Kachin/Shan-CCCM as of March 2023)]],16,FALSE)</f>
        <v>39</v>
      </c>
      <c r="ET33" s="964">
        <f>VLOOKUP(WWWW[[#This Row],[Site Name]],SiteDB6[[Site Name]:[Pop
(Kachin/Shan-CCCM as of March 2023)]],17,FALSE)</f>
        <v>229</v>
      </c>
    </row>
    <row r="34" spans="1:150" hidden="1">
      <c r="A34" s="962" t="s">
        <v>2977</v>
      </c>
      <c r="B34" s="962" t="s">
        <v>36</v>
      </c>
      <c r="C34" s="963" t="s">
        <v>36</v>
      </c>
      <c r="D34" s="963" t="s">
        <v>241</v>
      </c>
      <c r="E34" s="963" t="s">
        <v>37</v>
      </c>
      <c r="F34" s="963" t="s">
        <v>148</v>
      </c>
      <c r="G34" s="964" t="s">
        <v>1099</v>
      </c>
      <c r="H34" s="963" t="s">
        <v>1591</v>
      </c>
      <c r="I34" s="965">
        <v>92</v>
      </c>
      <c r="J34" s="965">
        <v>460</v>
      </c>
      <c r="K34" s="966">
        <v>44973</v>
      </c>
      <c r="L34" s="967">
        <v>45337</v>
      </c>
      <c r="M34" s="965"/>
      <c r="N34" s="965">
        <v>5</v>
      </c>
      <c r="O34" s="965"/>
      <c r="P34" s="965"/>
      <c r="Q34" s="968" t="s">
        <v>41</v>
      </c>
      <c r="R34" s="965">
        <v>2</v>
      </c>
      <c r="S34" s="965">
        <v>5</v>
      </c>
      <c r="T34" s="445">
        <v>1</v>
      </c>
      <c r="U34" s="965"/>
      <c r="V34" s="965"/>
      <c r="W34" s="965"/>
      <c r="X34" s="965"/>
      <c r="Y34" s="965"/>
      <c r="Z34" s="965"/>
      <c r="AA34" s="965"/>
      <c r="AB34" s="965"/>
      <c r="AC34" s="965"/>
      <c r="AD34" s="965"/>
      <c r="AE34" s="965"/>
      <c r="AF34" s="965"/>
      <c r="AG34" s="965"/>
      <c r="AH34" s="965">
        <v>7</v>
      </c>
      <c r="AI34" s="965"/>
      <c r="AJ34" s="965"/>
      <c r="AK34" s="965"/>
      <c r="AL34" s="965"/>
      <c r="AM34" s="965"/>
      <c r="AN34" s="965"/>
      <c r="AO34" s="445"/>
      <c r="AP34" s="969"/>
      <c r="AQ34" s="965">
        <v>12</v>
      </c>
      <c r="AR34" s="965"/>
      <c r="AS34" s="970"/>
      <c r="AT34" s="965"/>
      <c r="AU34" s="965"/>
      <c r="AV34" s="965"/>
      <c r="AW34" s="965"/>
      <c r="AX34" s="965"/>
      <c r="AY34" s="964" t="s">
        <v>41</v>
      </c>
      <c r="AZ34" s="969" t="s">
        <v>137</v>
      </c>
      <c r="BA34" s="965">
        <v>3</v>
      </c>
      <c r="BB34" s="965"/>
      <c r="BC34" s="965"/>
      <c r="BD34" s="445"/>
      <c r="BE34" s="445"/>
      <c r="BF34" s="964"/>
      <c r="BG34" s="965">
        <v>1</v>
      </c>
      <c r="BH34" s="965"/>
      <c r="BI34" s="965"/>
      <c r="BJ34" s="965">
        <v>2</v>
      </c>
      <c r="BK34" s="965"/>
      <c r="BL34" s="965"/>
      <c r="BM34" s="965">
        <v>1</v>
      </c>
      <c r="BN34" s="965"/>
      <c r="BO34" s="965"/>
      <c r="BP34" s="964" t="s">
        <v>41</v>
      </c>
      <c r="BQ34" s="971">
        <v>1</v>
      </c>
      <c r="BR34" s="970"/>
      <c r="BS34" s="964"/>
      <c r="BT34" s="420"/>
      <c r="BU34" s="420"/>
      <c r="BV34" s="422"/>
      <c r="BW34" s="420"/>
      <c r="BX34" s="445"/>
      <c r="BY34" s="445"/>
      <c r="BZ34" s="445"/>
      <c r="CA34" s="445"/>
      <c r="CB34" s="445"/>
      <c r="CC34" s="702"/>
      <c r="CD34" s="445"/>
      <c r="CE34" s="972" t="str">
        <f>IFERROR(WWWW[[#This Row],['#_Water sources passed]]/WWWW[[#This Row],['#_Water sources tested for fecal coliform ]],"no test")</f>
        <v>no test</v>
      </c>
      <c r="CF34" s="970" t="str">
        <f>IFERROR(WWWW[[#This Row],['#_Household passed]]/WWWW[[#This Row],['#_Household water samples tested for fecal coliform]],"no test")</f>
        <v>no test</v>
      </c>
      <c r="CG34" s="971" t="str">
        <f>IF(AND(WWWW[[#This Row],[% of water sources passed]]="no test",WWWW[[#This Row],[% Household passed]]="no test"),"No Test","Tested")</f>
        <v>No Test</v>
      </c>
      <c r="CH34" s="971">
        <f>WWWW[[#This Row],['#_Constructed/existing protected hand dug well]]-WWWW[[#This Row],['#_Non-functional protected hand dug well]]</f>
        <v>1</v>
      </c>
      <c r="CI34" s="971">
        <f>(WWWW[[#This Row],['#_Constructed/Existing tube wells/boreholes/handpumps_WASH_agency]]+WWWW[[#This Row],['#_Non-Cluster partner water tube-wells/boreholes/handpumps]])-WWWW[[#This Row],['#_Non-functional tube wells/boreholes/handpumps]]</f>
        <v>0</v>
      </c>
      <c r="CJ34" s="971">
        <f>WWWW[[#This Row],['#_Constructed/Existingwater storage tank with gravity fed reticulation system]]-WWWW[[#This Row],['#_Non-functional storage tank gravity fed reticulation system]]</f>
        <v>0</v>
      </c>
      <c r="CK34" s="971">
        <f>(WWWW[[#This Row],['#_Water_Liters_supplied_by_Water boating or water trucking]]/90)/15</f>
        <v>0</v>
      </c>
      <c r="CL34" s="971">
        <f>WWWW[[#This Row],['#_Water_Liters_from_Constructed/Existing water distribution system from river or natural spring]]/90/15</f>
        <v>0</v>
      </c>
      <c r="CM34" s="421">
        <f>IF(WWWW[[#This Row],['#_of water points in TLS/CFS]]*500&gt;WWWW[[#This Row],[Total PoP ]],WWWW[[#This Row],[Total PoP ]],WWWW[[#This Row],['#_of water points in TLS/CFS]]*500)</f>
        <v>0</v>
      </c>
      <c r="CN34" s="421">
        <f>IF(WWWW[[#This Row],['#_of water points in THF]]*500&gt;WWWW[[#This Row],[Total PoP ]],WWWW[[#This Row],[Total PoP ]],WWWW[[#This Row],['#_of water points in THF]]*500)</f>
        <v>0</v>
      </c>
      <c r="CO34" s="421"/>
      <c r="CP3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0.86956521739130432</v>
      </c>
      <c r="CQ3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0.54347826086956519</v>
      </c>
      <c r="CR34" s="970">
        <f>IF(WWWW[[#This Row],[Location Type 1]]="Village",WWWW[[#This Row],[Access to safe drinking water for Village]],WWWW[[#This Row],[Access to safe drinking water for Camp]])</f>
        <v>0.86956521739130432</v>
      </c>
      <c r="CS34" s="968">
        <f>WWWW[[#This Row],[%Equitable and continuous access to sufficient quantity of safe drinking water]]*WWWW[[#This Row],[Total PoP ]]</f>
        <v>400</v>
      </c>
      <c r="CT34" s="970">
        <f>IF((WWWW[[#This Row],['#_Constructed/Existing protected/fenced ponds]]*250)/WWWW[[#This Row],[Total PoP ]]&gt;1,1,(WWWW[[#This Row],['#_Constructed/Existing protected/fenced ponds]]*250)/WWWW[[#This Row],[Total PoP ]])</f>
        <v>0</v>
      </c>
      <c r="CU34" s="968">
        <f>WWWW[[#This Row],[% Access to unimproved water points]]*WWWW[[#This Row],[Total PoP ]]</f>
        <v>0</v>
      </c>
      <c r="CV3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0.86956521739130432</v>
      </c>
      <c r="CW3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X34" s="968">
        <f>WWWW[[#This Row],[HRP1]]/500</f>
        <v>0.8</v>
      </c>
      <c r="CY34" s="973">
        <f>1-WWWW[[#This Row],[% Equitable and continuous access to sufficient quantity of domestic water]]</f>
        <v>0.13043478260869568</v>
      </c>
      <c r="CZ34" s="968">
        <f>WWWW[[#This Row],[%equitable and continuous access to sufficient quantity of safe drinking and domestic water''s GAP]]*WWWW[[#This Row],[Total PoP ]]</f>
        <v>60.000000000000014</v>
      </c>
      <c r="DA34" s="971">
        <f>IF(WWWW[[#This Row],[Total required water points]]-WWWW[[#This Row],['#Water points coverage]]&lt;0,0,WWWW[[#This Row],[Total required water points]]-WWWW[[#This Row],['#Water points coverage]])</f>
        <v>0.19999999999999996</v>
      </c>
      <c r="DB34" s="971">
        <f>ROUND(IF(WWWW[[#This Row],[Total PoP ]]&lt;500,1,WWWW[[#This Row],[Total PoP ]]/500),0)</f>
        <v>1</v>
      </c>
      <c r="DC34" s="971">
        <f>(WWWW[[#This Row],['#_Constructed latrines_by_WASHAgencies]]+WWWW[[#This Row],['#_Non Cluster partner latrines]])-WWWW[[#This Row],['#_Non-functional latrines]]</f>
        <v>12</v>
      </c>
      <c r="DD34" s="619">
        <f>WWWW[[#This Row],[HRP2]]/WWWW[[#This Row],[Total PoP ]]</f>
        <v>0.65217391304347827</v>
      </c>
      <c r="DE3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3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 s="421">
        <f>IF(WWWW[[#This Row],['# of functional latrines in THF supported by WASH partners during the reporting period2]]="",0,WWWW[[#This Row],['# of functional latrines in THF supported by WASH partners during the reporting period2]]*50)</f>
        <v>0</v>
      </c>
      <c r="DI34" s="971">
        <f>ROUND(IF(WWWW[[#This Row],[Location Type 1]]="camp",WWWW[[#This Row],[Total PoP ]]/20,IF(WWWW[[#This Row],[Location Type 1]]="Temporary Location",WWWW[[#This Row],[Total PoP ]]/50,(WWWW[[#This Row],[Total PoP ]]/6))),0)</f>
        <v>23</v>
      </c>
      <c r="DJ34" s="971">
        <f>IF(WWWW[[#This Row],[Total required Latrines]]-(WWWW[[#This Row],['#_Constructed latrines_by_WASHAgencies]]+WWWW[[#This Row],['#_Non Cluster partner latrines]])&lt;0,0,WWWW[[#This Row],[Total required Latrines]]-(WWWW[[#This Row],['#_Constructed latrines_by_WASHAgencies]]+WWWW[[#This Row],['#_Non Cluster partner latrines]]))</f>
        <v>11</v>
      </c>
      <c r="DK34" s="973">
        <f>1-WWWW[[#This Row],[% people access to functioning Latrine]]</f>
        <v>0.34782608695652173</v>
      </c>
      <c r="DL34" s="972">
        <f>IF(OR(WWWW[[#This Row],['#_Non-functional latrines]]="",WWWW[[#This Row],['#_Non-functional latrines]]=0),0,WWWW[[#This Row],['#_Non-functional latrines]]/(WWWW[[#This Row],['#_Constructed latrines_by_WASHAgencies]]+WWWW[[#This Row],['#_Non Cluster partner latrines]]))</f>
        <v>0</v>
      </c>
      <c r="DM34" s="968">
        <f>IF(500*(WWWW[[#This Row],['#_male hygiene promoters]]+WWWW[[#This Row],['#_female hygiene promoters]])&gt;WWWW[[#This Row],[Total PoP ]],WWWW[[#This Row],[Total PoP ]],500*(WWWW[[#This Row],['#_male hygiene promoters]]+WWWW[[#This Row],['#_female hygiene promoters]]))</f>
        <v>460</v>
      </c>
      <c r="DN3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 s="971">
        <f>IF(WWWW[[#This Row],['# People with access to soap]]&gt;WWWW[[#This Row],['# People with access to Sanity Pads]],WWWW[[#This Row],['# People with access to soap]],WWWW[[#This Row],['# People with access to Sanity Pads]])</f>
        <v>0</v>
      </c>
      <c r="DQ34" s="971">
        <f>IF(WWWW[[#This Row],['# people reached by regular dedicated hygiene promotion_5]]&gt;WWWW[[#This Row],['# People received regular supply of hygiene items_6]],WWWW[[#This Row],['# people reached by regular dedicated hygiene promotion_5]],WWWW[[#This Row],['# People received regular supply of hygiene items_6]])</f>
        <v>460</v>
      </c>
      <c r="DR34" s="973">
        <f>IF(WWWW[[#This Row],[HRP3]]/WWWW[[#This Row],[Total PoP ]]&gt;1,1,WWWW[[#This Row],[HRP3]]/WWWW[[#This Row],[Total PoP ]])</f>
        <v>1</v>
      </c>
      <c r="DS34" s="972">
        <f>1-WWWW[[#This Row],[Hygiene Coverage%]]</f>
        <v>0</v>
      </c>
      <c r="DT34" s="970">
        <f>WWWW[[#This Row],['# people reached by regular dedicated hygiene promotion_5]]/WWWW[[#This Row],[Total PoP ]]</f>
        <v>1</v>
      </c>
      <c r="DU3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 s="971">
        <f>WWWW[[#This Row],['#_Constructed/Existing hand washing stations]]-WWWW[[#This Row],['#_Non-Functional_hand_washing_stations]]</f>
        <v>1</v>
      </c>
      <c r="DX34" s="968">
        <f>IF(WWWW[[#This Row],['# Functional hand washing stations during reporting period]]*20&gt;WWWW[[#This Row],[Total HH]],WWWW[[#This Row],[Total HH]],WWWW[[#This Row],['# Functional hand washing stations during reporting period]]*20)</f>
        <v>20</v>
      </c>
      <c r="DY34" s="968">
        <f>IF(WWWW[[#This Row],[Is sufficient soap available for TLS? (Yes/No)]]="yes",WWWW[[#This Row],['#_Constructed/Existing hand washing stations at TLS/CFS/THF]],0)</f>
        <v>0</v>
      </c>
      <c r="DZ34" s="425">
        <f>IF(WWWW[[#This Row],['# Functional hand washing stations during reporting period]]*100&gt;WWWW[[#This Row],[Total PoP ]],WWWW[[#This Row],[Total PoP ]],WWWW[[#This Row],['# Functional hand washing stations during reporting period]]*100)</f>
        <v>100</v>
      </c>
      <c r="EA34" s="425" t="str">
        <f>IF(OR(WWWW[[#This Row],['#_students at TLS_CFS]]="",WWWW[[#This Row],['#_students at TLS_CFS]]=0),"No","Yes")</f>
        <v>No</v>
      </c>
      <c r="EB3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 s="570">
        <f>WWWW[[#This Row],[%_of_affected_people_surveyed_who_report_feeling_satistfied_with_the_latrine_design_and_sanitation_service]]*WWWW[[#This Row],[Total PoP ]]</f>
        <v>0</v>
      </c>
      <c r="ED34" s="570">
        <f>WWWW[[#This Row],[%_of_affected_people_surveyed_who_report_feeling_satistfied_with_the_water_point_design_and_water_service]]*WWWW[[#This Row],[Total PoP ]]</f>
        <v>0</v>
      </c>
      <c r="EE34" s="570">
        <f>WWWW[[#This Row],[%_of_complaints_received_that_result_in_timely_corrective_action_and_feedback_to_the_community]]*WWWW[[#This Row],[Total PoP ]]</f>
        <v>0</v>
      </c>
      <c r="EF3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 s="964">
        <f>VLOOKUP(WWWW[[#This Row],[Site Name]],SiteDB6[[Site Name]:[CCCM Management]],6,FALSE)</f>
        <v>0</v>
      </c>
      <c r="EJ34" s="964">
        <f>VLOOKUP(WWWW[[#This Row],[Site Name]],SiteDB6[[Site Name]:[CCCM Focal Agency]],7,FALSE)</f>
        <v>0</v>
      </c>
      <c r="EK34" s="964" t="str">
        <f>VLOOKUP(WWWW[[#This Row],[Site Name]],SiteDB6[[Site Name]:[Location Type 1]],9,FALSE)</f>
        <v>Camp</v>
      </c>
      <c r="EL34" s="964" t="str">
        <f>VLOOKUP(WWWW[[#This Row],[Site Name]],SiteDB6[[Site Name]:[Type of Accommodation]],10,FALSE)</f>
        <v>Camp like setting</v>
      </c>
      <c r="EM34" s="964" t="str">
        <f>VLOOKUP(WWWW[[#This Row],[Site Name]],SiteDB6[[Site Name]:[Ethnic or GCA/NGCA]],11,FALSE)</f>
        <v>GCA</v>
      </c>
      <c r="EN34" s="964">
        <f>VLOOKUP(WWWW[[#This Row],[Site Name]],SiteDB6[[Site Name]:[Lat]],12,FALSE)</f>
        <v>0</v>
      </c>
      <c r="EO34" s="964">
        <f>VLOOKUP(WWWW[[#This Row],[Site Name]],SiteDB6[[Site Name]:[Long]],13,FALSE)</f>
        <v>0</v>
      </c>
      <c r="EP34" s="964">
        <f>VLOOKUP(WWWW[[#This Row],[Site Name]],SiteDB6[[Site Name]:[Pcode]],3,FALSE)</f>
        <v>0</v>
      </c>
      <c r="EQ34" s="969" t="str">
        <f t="shared" si="1"/>
        <v>Covered</v>
      </c>
      <c r="ER34" s="969" t="s">
        <v>3147</v>
      </c>
      <c r="ES34" s="964">
        <f>VLOOKUP(WWWW[[#This Row],[Site Name]],SiteDB6[[Site Name]:[Pop
(Kachin/Shan-CCCM as of March 2023)]],16,FALSE)</f>
        <v>0</v>
      </c>
      <c r="ET34" s="964">
        <f>VLOOKUP(WWWW[[#This Row],[Site Name]],SiteDB6[[Site Name]:[Pop
(Kachin/Shan-CCCM as of March 2023)]],17,FALSE)</f>
        <v>0</v>
      </c>
    </row>
    <row r="35" spans="1:150">
      <c r="A35" s="962" t="s">
        <v>2977</v>
      </c>
      <c r="B35" s="962" t="s">
        <v>3237</v>
      </c>
      <c r="C35" s="962" t="s">
        <v>3237</v>
      </c>
      <c r="D35" s="963" t="s">
        <v>3238</v>
      </c>
      <c r="E35" s="963" t="s">
        <v>37</v>
      </c>
      <c r="F35" s="963" t="s">
        <v>195</v>
      </c>
      <c r="G35" s="964" t="str">
        <f>VLOOKUP(WWWW[[#This Row],[Site Name]],SiteDB6[[Site Name]:[Location Type]],8,FALSE)</f>
        <v>Camp</v>
      </c>
      <c r="H35" s="963" t="s">
        <v>200</v>
      </c>
      <c r="I35" s="965">
        <v>135</v>
      </c>
      <c r="J35" s="965">
        <v>774</v>
      </c>
      <c r="K35" s="966" t="s">
        <v>3239</v>
      </c>
      <c r="L35" s="967" t="s">
        <v>3240</v>
      </c>
      <c r="M35" s="965"/>
      <c r="N35" s="965"/>
      <c r="O35" s="965">
        <v>1</v>
      </c>
      <c r="P35" s="965"/>
      <c r="Q35" s="968" t="s">
        <v>41</v>
      </c>
      <c r="R35" s="965">
        <f>1+2</f>
        <v>3</v>
      </c>
      <c r="S35" s="965">
        <f>4+3</f>
        <v>7</v>
      </c>
      <c r="T35" s="445">
        <v>3</v>
      </c>
      <c r="U35" s="965"/>
      <c r="V35" s="965"/>
      <c r="W35" s="965">
        <v>2</v>
      </c>
      <c r="X35" s="965"/>
      <c r="Y35" s="965"/>
      <c r="Z35" s="965"/>
      <c r="AA35" s="965"/>
      <c r="AB35" s="965"/>
      <c r="AC35" s="965"/>
      <c r="AD35" s="965"/>
      <c r="AE35" s="965"/>
      <c r="AF35" s="965"/>
      <c r="AG35" s="965">
        <v>1</v>
      </c>
      <c r="AH35" s="965">
        <v>3</v>
      </c>
      <c r="AI35" s="965"/>
      <c r="AJ35" s="965"/>
      <c r="AK35" s="965"/>
      <c r="AL35" s="965"/>
      <c r="AM35" s="965">
        <v>4</v>
      </c>
      <c r="AN35" s="965">
        <v>1</v>
      </c>
      <c r="AO35" s="445"/>
      <c r="AP35" s="969"/>
      <c r="AQ35" s="965">
        <v>23</v>
      </c>
      <c r="AR35" s="965">
        <v>22</v>
      </c>
      <c r="AS35" s="970" t="s">
        <v>3208</v>
      </c>
      <c r="AT35" s="965">
        <v>4</v>
      </c>
      <c r="AU35" s="965"/>
      <c r="AV35" s="965">
        <v>18</v>
      </c>
      <c r="AW35" s="965"/>
      <c r="AX35" s="965">
        <v>18</v>
      </c>
      <c r="AY35" s="964" t="s">
        <v>41</v>
      </c>
      <c r="AZ35" s="969" t="s">
        <v>137</v>
      </c>
      <c r="BA35" s="965"/>
      <c r="BB35" s="965"/>
      <c r="BC35" s="965"/>
      <c r="BD35" s="445"/>
      <c r="BE35" s="445"/>
      <c r="BF35" s="964"/>
      <c r="BG35" s="965">
        <v>6</v>
      </c>
      <c r="BH35" s="965"/>
      <c r="BI35" s="965"/>
      <c r="BJ35" s="965">
        <v>7</v>
      </c>
      <c r="BK35" s="965">
        <v>2</v>
      </c>
      <c r="BL35" s="965">
        <v>1</v>
      </c>
      <c r="BM35" s="965"/>
      <c r="BN35" s="965"/>
      <c r="BO35" s="965"/>
      <c r="BP35" s="964"/>
      <c r="BQ35" s="971"/>
      <c r="BR35" s="970">
        <v>0.2</v>
      </c>
      <c r="BS35" s="964"/>
      <c r="BT35" s="420">
        <v>0.8</v>
      </c>
      <c r="BU35" s="420">
        <v>0.9</v>
      </c>
      <c r="BV35" s="422">
        <v>50</v>
      </c>
      <c r="BW35" s="420">
        <v>0.3</v>
      </c>
      <c r="BX35" s="445"/>
      <c r="BY35" s="445"/>
      <c r="BZ35" s="445"/>
      <c r="CA35" s="445"/>
      <c r="CB35" s="445"/>
      <c r="CC35" s="702"/>
      <c r="CD35" s="445"/>
      <c r="CE35" s="972" t="str">
        <f>IFERROR(WWWW[[#This Row],['#_Water sources passed]]/WWWW[[#This Row],['#_Water sources tested for fecal coliform ]],"no test")</f>
        <v>no test</v>
      </c>
      <c r="CF35" s="970" t="str">
        <f>IFERROR(WWWW[[#This Row],['#_Household passed]]/WWWW[[#This Row],['#_Household water samples tested for fecal coliform]],"no test")</f>
        <v>no test</v>
      </c>
      <c r="CG35" s="971" t="str">
        <f>IF(AND(WWWW[[#This Row],[% of water sources passed]]="no test",WWWW[[#This Row],[% Household passed]]="no test"),"No Test","Tested")</f>
        <v>No Test</v>
      </c>
      <c r="CH35" s="971">
        <f>WWWW[[#This Row],['#_Constructed/existing protected hand dug well]]-WWWW[[#This Row],['#_Non-functional protected hand dug well]]</f>
        <v>3</v>
      </c>
      <c r="CI35" s="971">
        <f>(WWWW[[#This Row],['#_Constructed/Existing tube wells/boreholes/handpumps_WASH_agency]]+WWWW[[#This Row],['#_Non-Cluster partner water tube-wells/boreholes/handpumps]])-WWWW[[#This Row],['#_Non-functional tube wells/boreholes/handpumps]]</f>
        <v>2</v>
      </c>
      <c r="CJ35" s="971">
        <f>WWWW[[#This Row],['#_Constructed/Existingwater storage tank with gravity fed reticulation system]]-WWWW[[#This Row],['#_Non-functional storage tank gravity fed reticulation system]]</f>
        <v>0</v>
      </c>
      <c r="CK35" s="971">
        <f>(WWWW[[#This Row],['#_Water_Liters_supplied_by_Water boating or water trucking]]/90)/15</f>
        <v>0</v>
      </c>
      <c r="CL35" s="971">
        <f>WWWW[[#This Row],['#_Water_Liters_from_Constructed/Existing water distribution system from river or natural spring]]/90/15</f>
        <v>0</v>
      </c>
      <c r="CM35" s="421">
        <f>IF(WWWW[[#This Row],['#_of water points in TLS/CFS]]*500&gt;WWWW[[#This Row],[Total PoP ]],WWWW[[#This Row],[Total PoP ]],WWWW[[#This Row],['#_of water points in TLS/CFS]]*500)</f>
        <v>500</v>
      </c>
      <c r="CN35" s="421">
        <f>IF(WWWW[[#This Row],['#_of water points in THF]]*500&gt;WWWW[[#This Row],[Total PoP ]],WWWW[[#This Row],[Total PoP ]],WWWW[[#This Row],['#_of water points in THF]]*500)</f>
        <v>0</v>
      </c>
      <c r="CO35" s="421"/>
      <c r="CP3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 s="970">
        <f>IF(WWWW[[#This Row],[Location Type 1]]="Village",WWWW[[#This Row],[Access to safe drinking water for Village]],WWWW[[#This Row],[Access to safe drinking water for Camp]])</f>
        <v>1</v>
      </c>
      <c r="CS35" s="968">
        <f>WWWW[[#This Row],[%Equitable and continuous access to sufficient quantity of safe drinking water]]*WWWW[[#This Row],[Total PoP ]]</f>
        <v>774</v>
      </c>
      <c r="CT35" s="970">
        <f>IF((WWWW[[#This Row],['#_Constructed/Existing protected/fenced ponds]]*250)/WWWW[[#This Row],[Total PoP ]]&gt;1,1,(WWWW[[#This Row],['#_Constructed/Existing protected/fenced ponds]]*250)/WWWW[[#This Row],[Total PoP ]])</f>
        <v>0</v>
      </c>
      <c r="CU35" s="968">
        <f>WWWW[[#This Row],[% Access to unimproved water points]]*WWWW[[#This Row],[Total PoP ]]</f>
        <v>0</v>
      </c>
      <c r="CV3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774</v>
      </c>
      <c r="CX35" s="968">
        <f>WWWW[[#This Row],[HRP1]]/500</f>
        <v>1.548</v>
      </c>
      <c r="CY35" s="973">
        <f>1-WWWW[[#This Row],[% Equitable and continuous access to sufficient quantity of domestic water]]</f>
        <v>0</v>
      </c>
      <c r="CZ35" s="968">
        <f>WWWW[[#This Row],[%equitable and continuous access to sufficient quantity of safe drinking and domestic water''s GAP]]*WWWW[[#This Row],[Total PoP ]]</f>
        <v>0</v>
      </c>
      <c r="DA35" s="971">
        <f>IF(WWWW[[#This Row],[Total required water points]]-WWWW[[#This Row],['#Water points coverage]]&lt;0,0,WWWW[[#This Row],[Total required water points]]-WWWW[[#This Row],['#Water points coverage]])</f>
        <v>0.45199999999999996</v>
      </c>
      <c r="DB35" s="971">
        <f>ROUND(IF(WWWW[[#This Row],[Total PoP ]]&lt;500,1,WWWW[[#This Row],[Total PoP ]]/500),0)</f>
        <v>2</v>
      </c>
      <c r="DC35" s="971">
        <f>(WWWW[[#This Row],['#_Constructed latrines_by_WASHAgencies]]+WWWW[[#This Row],['#_Non Cluster partner latrines]])-WWWW[[#This Row],['#_Non-functional latrines]]</f>
        <v>41</v>
      </c>
      <c r="DD35" s="619">
        <f>WWWW[[#This Row],[HRP2]]/WWWW[[#This Row],[Total PoP ]]</f>
        <v>1</v>
      </c>
      <c r="DE3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774</v>
      </c>
      <c r="DF3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DG3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 s="421">
        <f>IF(WWWW[[#This Row],['# of functional latrines in THF supported by WASH partners during the reporting period2]]="",0,WWWW[[#This Row],['# of functional latrines in THF supported by WASH partners during the reporting period2]]*50)</f>
        <v>0</v>
      </c>
      <c r="DI35" s="971">
        <f>ROUND(IF(WWWW[[#This Row],[Location Type 1]]="camp",WWWW[[#This Row],[Total PoP ]]/20,IF(WWWW[[#This Row],[Location Type 1]]="Temporary Location",WWWW[[#This Row],[Total PoP ]]/50,(WWWW[[#This Row],[Total PoP ]]/6))),0)</f>
        <v>39</v>
      </c>
      <c r="DJ35" s="971">
        <f>IF(WWWW[[#This Row],[Total required Latrines]]-(WWWW[[#This Row],['#_Constructed latrines_by_WASHAgencies]]+WWWW[[#This Row],['#_Non Cluster partner latrines]])&lt;0,0,WWWW[[#This Row],[Total required Latrines]]-(WWWW[[#This Row],['#_Constructed latrines_by_WASHAgencies]]+WWWW[[#This Row],['#_Non Cluster partner latrines]]))</f>
        <v>0</v>
      </c>
      <c r="DK35" s="973">
        <f>1-WWWW[[#This Row],[% people access to functioning Latrine]]</f>
        <v>0</v>
      </c>
      <c r="DL35" s="972">
        <f>IF(OR(WWWW[[#This Row],['#_Non-functional latrines]]="",WWWW[[#This Row],['#_Non-functional latrines]]=0),0,WWWW[[#This Row],['#_Non-functional latrines]]/(WWWW[[#This Row],['#_Constructed latrines_by_WASHAgencies]]+WWWW[[#This Row],['#_Non Cluster partner latrines]]))</f>
        <v>8.8888888888888892E-2</v>
      </c>
      <c r="DM35" s="968">
        <f>IF(500*(WWWW[[#This Row],['#_male hygiene promoters]]+WWWW[[#This Row],['#_female hygiene promoters]])&gt;WWWW[[#This Row],[Total PoP ]],WWWW[[#This Row],[Total PoP ]],500*(WWWW[[#This Row],['#_male hygiene promoters]]+WWWW[[#This Row],['#_female hygiene promoters]]))</f>
        <v>500</v>
      </c>
      <c r="DN3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 s="971">
        <f>IF(WWWW[[#This Row],['# People with access to soap]]&gt;WWWW[[#This Row],['# People with access to Sanity Pads]],WWWW[[#This Row],['# People with access to soap]],WWWW[[#This Row],['# People with access to Sanity Pads]])</f>
        <v>0</v>
      </c>
      <c r="DQ35"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5" s="973">
        <f>IF(WWWW[[#This Row],[HRP3]]/WWWW[[#This Row],[Total PoP ]]&gt;1,1,WWWW[[#This Row],[HRP3]]/WWWW[[#This Row],[Total PoP ]])</f>
        <v>0.64599483204134367</v>
      </c>
      <c r="DS35" s="972">
        <f>1-WWWW[[#This Row],[Hygiene Coverage%]]</f>
        <v>0.35400516795865633</v>
      </c>
      <c r="DT35" s="970">
        <f>WWWW[[#This Row],['# people reached by regular dedicated hygiene promotion_5]]/WWWW[[#This Row],[Total PoP ]]</f>
        <v>0.64599483204134367</v>
      </c>
      <c r="DU3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 s="971">
        <f>WWWW[[#This Row],['#_Constructed/Existing hand washing stations]]-WWWW[[#This Row],['#_Non-Functional_hand_washing_stations]]</f>
        <v>6</v>
      </c>
      <c r="DX35" s="968">
        <f>IF(WWWW[[#This Row],['# Functional hand washing stations during reporting period]]*20&gt;WWWW[[#This Row],[Total HH]],WWWW[[#This Row],[Total HH]],WWWW[[#This Row],['# Functional hand washing stations during reporting period]]*20)</f>
        <v>120</v>
      </c>
      <c r="DY35" s="968">
        <f>IF(WWWW[[#This Row],[Is sufficient soap available for TLS? (Yes/No)]]="yes",WWWW[[#This Row],['#_Constructed/Existing hand washing stations at TLS/CFS/THF]],0)</f>
        <v>0</v>
      </c>
      <c r="DZ35" s="425">
        <f>IF(WWWW[[#This Row],['# Functional hand washing stations during reporting period]]*100&gt;WWWW[[#This Row],[Total PoP ]],WWWW[[#This Row],[Total PoP ]],WWWW[[#This Row],['# Functional hand washing stations during reporting period]]*100)</f>
        <v>600</v>
      </c>
      <c r="EA35" s="425" t="str">
        <f>IF(OR(WWWW[[#This Row],['#_students at TLS_CFS]]="",WWWW[[#This Row],['#_students at TLS_CFS]]=0),"No","Yes")</f>
        <v>No</v>
      </c>
      <c r="EB35" s="619">
        <f>IF(WWWW[[#This Row],['#_of_affected_people_surveyed_who_report_feeling_informed_about_the_different_WASH_services_available_to_them]]="","",WWWW[[#This Row],['#_of_affected_people_surveyed_who_report_feeling_informed_about_the_different_WASH_services_available_to_them]]/WWWW[[#This Row],[Total PoP ]])</f>
        <v>6.4599483204134361E-2</v>
      </c>
      <c r="EC35" s="570">
        <f>WWWW[[#This Row],[%_of_affected_people_surveyed_who_report_feeling_satistfied_with_the_latrine_design_and_sanitation_service]]*WWWW[[#This Row],[Total PoP ]]</f>
        <v>619.20000000000005</v>
      </c>
      <c r="ED35" s="570">
        <f>WWWW[[#This Row],[%_of_affected_people_surveyed_who_report_feeling_satistfied_with_the_water_point_design_and_water_service]]*WWWW[[#This Row],[Total PoP ]]</f>
        <v>696.6</v>
      </c>
      <c r="EE35" s="570">
        <f>WWWW[[#This Row],[%_of_complaints_received_that_result_in_timely_corrective_action_and_feedback_to_the_community]]*WWWW[[#This Row],[Total PoP ]]</f>
        <v>232.2</v>
      </c>
      <c r="EF3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696.6</v>
      </c>
      <c r="EG3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3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 s="964" t="str">
        <f>VLOOKUP(WWWW[[#This Row],[Site Name]],SiteDB6[[Site Name]:[CCCM Management]],6,FALSE)</f>
        <v>Yes</v>
      </c>
      <c r="EJ35" s="964" t="str">
        <f>VLOOKUP(WWWW[[#This Row],[Site Name]],SiteDB6[[Site Name]:[CCCM Focal Agency]],7,FALSE)</f>
        <v>Shalom</v>
      </c>
      <c r="EK35" s="964" t="str">
        <f>VLOOKUP(WWWW[[#This Row],[Site Name]],SiteDB6[[Site Name]:[Location Type 1]],9,FALSE)</f>
        <v>Camp</v>
      </c>
      <c r="EL35" s="964" t="str">
        <f>VLOOKUP(WWWW[[#This Row],[Site Name]],SiteDB6[[Site Name]:[Type of Accommodation]],10,FALSE)</f>
        <v>Camp</v>
      </c>
      <c r="EM35" s="964" t="str">
        <f>VLOOKUP(WWWW[[#This Row],[Site Name]],SiteDB6[[Site Name]:[Ethnic or GCA/NGCA]],11,FALSE)</f>
        <v>GCA</v>
      </c>
      <c r="EN35" s="964">
        <f>VLOOKUP(WWWW[[#This Row],[Site Name]],SiteDB6[[Site Name]:[Lat]],12,FALSE)</f>
        <v>24.2631743589744</v>
      </c>
      <c r="EO35" s="964">
        <f>VLOOKUP(WWWW[[#This Row],[Site Name]],SiteDB6[[Site Name]:[Long]],13,FALSE)</f>
        <v>97.240183461538507</v>
      </c>
      <c r="EP35" s="964" t="str">
        <f>VLOOKUP(WWWW[[#This Row],[Site Name]],SiteDB6[[Site Name]:[Pcode]],3,FALSE)</f>
        <v>MMR001CMP049</v>
      </c>
      <c r="EQ35" s="969" t="str">
        <f t="shared" si="1"/>
        <v>Covered</v>
      </c>
      <c r="ER35" s="969" t="s">
        <v>3147</v>
      </c>
      <c r="ES35" s="964">
        <f>VLOOKUP(WWWW[[#This Row],[Site Name]],SiteDB6[[Site Name]:[Pop
(Kachin/Shan-CCCM as of March 2023)]],16,FALSE)</f>
        <v>135</v>
      </c>
      <c r="ET35" s="964">
        <f>VLOOKUP(WWWW[[#This Row],[Site Name]],SiteDB6[[Site Name]:[Pop
(Kachin/Shan-CCCM as of March 2023)]],17,FALSE)</f>
        <v>774</v>
      </c>
    </row>
    <row r="36" spans="1:150" hidden="1">
      <c r="A36" s="962" t="s">
        <v>2977</v>
      </c>
      <c r="B36" s="963" t="s">
        <v>141</v>
      </c>
      <c r="C36" s="963" t="s">
        <v>141</v>
      </c>
      <c r="D36" s="963" t="s">
        <v>241</v>
      </c>
      <c r="E36" s="963" t="s">
        <v>37</v>
      </c>
      <c r="F36" s="963" t="s">
        <v>152</v>
      </c>
      <c r="G36" s="964" t="str">
        <f>VLOOKUP(WWWW[[#This Row],[Site Name]],SiteDB6[[Site Name]:[Location Type]],8,FALSE)</f>
        <v>Camp_not registered</v>
      </c>
      <c r="H36" s="963" t="s">
        <v>2607</v>
      </c>
      <c r="I36" s="965">
        <v>5</v>
      </c>
      <c r="J36" s="965">
        <v>32</v>
      </c>
      <c r="K36" s="966">
        <v>44811</v>
      </c>
      <c r="L36" s="967">
        <v>45175</v>
      </c>
      <c r="M36" s="965"/>
      <c r="N36" s="965">
        <v>1</v>
      </c>
      <c r="O36" s="965"/>
      <c r="P36" s="965"/>
      <c r="Q36" s="968" t="s">
        <v>41</v>
      </c>
      <c r="R36" s="965">
        <v>3</v>
      </c>
      <c r="S36" s="965"/>
      <c r="T36" s="445">
        <v>1</v>
      </c>
      <c r="U36" s="965"/>
      <c r="V36" s="965"/>
      <c r="W36" s="965">
        <v>1</v>
      </c>
      <c r="X36" s="965"/>
      <c r="Y36" s="965"/>
      <c r="Z36" s="965"/>
      <c r="AA36" s="965"/>
      <c r="AB36" s="965"/>
      <c r="AC36" s="965"/>
      <c r="AD36" s="965"/>
      <c r="AE36" s="965"/>
      <c r="AF36" s="965"/>
      <c r="AG36" s="965"/>
      <c r="AH36" s="965">
        <v>3</v>
      </c>
      <c r="AI36" s="965"/>
      <c r="AJ36" s="965"/>
      <c r="AK36" s="965"/>
      <c r="AL36" s="965"/>
      <c r="AM36" s="965"/>
      <c r="AN36" s="965"/>
      <c r="AO36" s="445"/>
      <c r="AP36" s="969"/>
      <c r="AQ36" s="965">
        <v>2</v>
      </c>
      <c r="AR36" s="965"/>
      <c r="AS36" s="970"/>
      <c r="AT36" s="965"/>
      <c r="AU36" s="965"/>
      <c r="AV36" s="965"/>
      <c r="AW36" s="965"/>
      <c r="AX36" s="965">
        <v>2</v>
      </c>
      <c r="AY36" s="964" t="s">
        <v>41</v>
      </c>
      <c r="AZ36" s="969" t="s">
        <v>137</v>
      </c>
      <c r="BA36" s="965"/>
      <c r="BB36" s="965"/>
      <c r="BC36" s="965"/>
      <c r="BD36" s="445"/>
      <c r="BE36" s="445"/>
      <c r="BF36" s="964"/>
      <c r="BG36" s="965">
        <v>1</v>
      </c>
      <c r="BH36" s="965"/>
      <c r="BI36" s="965"/>
      <c r="BJ36" s="965">
        <v>2</v>
      </c>
      <c r="BK36" s="965"/>
      <c r="BL36" s="965"/>
      <c r="BM36" s="965"/>
      <c r="BN36" s="965"/>
      <c r="BO36" s="965"/>
      <c r="BP36" s="964"/>
      <c r="BQ36" s="971"/>
      <c r="BR36" s="970"/>
      <c r="BS36" s="964"/>
      <c r="BT36" s="420"/>
      <c r="BU36" s="420"/>
      <c r="BV36" s="422"/>
      <c r="BW36" s="420"/>
      <c r="BX36" s="445"/>
      <c r="BY36" s="445"/>
      <c r="BZ36" s="445"/>
      <c r="CA36" s="445"/>
      <c r="CB36" s="445"/>
      <c r="CC36" s="702"/>
      <c r="CD36" s="445"/>
      <c r="CE36" s="972" t="str">
        <f>IFERROR(WWWW[[#This Row],['#_Water sources passed]]/WWWW[[#This Row],['#_Water sources tested for fecal coliform ]],"no test")</f>
        <v>no test</v>
      </c>
      <c r="CF36" s="970" t="str">
        <f>IFERROR(WWWW[[#This Row],['#_Household passed]]/WWWW[[#This Row],['#_Household water samples tested for fecal coliform]],"no test")</f>
        <v>no test</v>
      </c>
      <c r="CG36" s="971" t="str">
        <f>IF(AND(WWWW[[#This Row],[% of water sources passed]]="no test",WWWW[[#This Row],[% Household passed]]="no test"),"No Test","Tested")</f>
        <v>No Test</v>
      </c>
      <c r="CH36" s="971">
        <f>WWWW[[#This Row],['#_Constructed/existing protected hand dug well]]-WWWW[[#This Row],['#_Non-functional protected hand dug well]]</f>
        <v>1</v>
      </c>
      <c r="CI36" s="971">
        <f>(WWWW[[#This Row],['#_Constructed/Existing tube wells/boreholes/handpumps_WASH_agency]]+WWWW[[#This Row],['#_Non-Cluster partner water tube-wells/boreholes/handpumps]])-WWWW[[#This Row],['#_Non-functional tube wells/boreholes/handpumps]]</f>
        <v>1</v>
      </c>
      <c r="CJ36" s="971">
        <f>WWWW[[#This Row],['#_Constructed/Existingwater storage tank with gravity fed reticulation system]]-WWWW[[#This Row],['#_Non-functional storage tank gravity fed reticulation system]]</f>
        <v>0</v>
      </c>
      <c r="CK36" s="971">
        <f>(WWWW[[#This Row],['#_Water_Liters_supplied_by_Water boating or water trucking]]/90)/15</f>
        <v>0</v>
      </c>
      <c r="CL36" s="971">
        <f>WWWW[[#This Row],['#_Water_Liters_from_Constructed/Existing water distribution system from river or natural spring]]/90/15</f>
        <v>0</v>
      </c>
      <c r="CM36" s="421">
        <f>IF(WWWW[[#This Row],['#_of water points in TLS/CFS]]*500&gt;WWWW[[#This Row],[Total PoP ]],WWWW[[#This Row],[Total PoP ]],WWWW[[#This Row],['#_of water points in TLS/CFS]]*500)</f>
        <v>0</v>
      </c>
      <c r="CN36" s="421">
        <f>IF(WWWW[[#This Row],['#_of water points in THF]]*500&gt;WWWW[[#This Row],[Total PoP ]],WWWW[[#This Row],[Total PoP ]],WWWW[[#This Row],['#_of water points in THF]]*500)</f>
        <v>0</v>
      </c>
      <c r="CO36" s="421"/>
      <c r="CP3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 s="970">
        <f>IF(WWWW[[#This Row],[Location Type 1]]="Village",WWWW[[#This Row],[Access to safe drinking water for Village]],WWWW[[#This Row],[Access to safe drinking water for Camp]])</f>
        <v>1</v>
      </c>
      <c r="CS36" s="968">
        <f>WWWW[[#This Row],[%Equitable and continuous access to sufficient quantity of safe drinking water]]*WWWW[[#This Row],[Total PoP ]]</f>
        <v>32</v>
      </c>
      <c r="CT36" s="970">
        <f>IF((WWWW[[#This Row],['#_Constructed/Existing protected/fenced ponds]]*250)/WWWW[[#This Row],[Total PoP ]]&gt;1,1,(WWWW[[#This Row],['#_Constructed/Existing protected/fenced ponds]]*250)/WWWW[[#This Row],[Total PoP ]])</f>
        <v>0</v>
      </c>
      <c r="CU36" s="968">
        <f>WWWW[[#This Row],[% Access to unimproved water points]]*WWWW[[#This Row],[Total PoP ]]</f>
        <v>0</v>
      </c>
      <c r="CV3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36" s="968">
        <f>WWWW[[#This Row],[HRP1]]/500</f>
        <v>6.4000000000000001E-2</v>
      </c>
      <c r="CY36" s="973">
        <f>1-WWWW[[#This Row],[% Equitable and continuous access to sufficient quantity of domestic water]]</f>
        <v>0</v>
      </c>
      <c r="CZ36" s="968">
        <f>WWWW[[#This Row],[%equitable and continuous access to sufficient quantity of safe drinking and domestic water''s GAP]]*WWWW[[#This Row],[Total PoP ]]</f>
        <v>0</v>
      </c>
      <c r="DA36" s="971">
        <f>IF(WWWW[[#This Row],[Total required water points]]-WWWW[[#This Row],['#Water points coverage]]&lt;0,0,WWWW[[#This Row],[Total required water points]]-WWWW[[#This Row],['#Water points coverage]])</f>
        <v>0.93599999999999994</v>
      </c>
      <c r="DB36" s="971">
        <f>ROUND(IF(WWWW[[#This Row],[Total PoP ]]&lt;500,1,WWWW[[#This Row],[Total PoP ]]/500),0)</f>
        <v>1</v>
      </c>
      <c r="DC36" s="971">
        <f>(WWWW[[#This Row],['#_Constructed latrines_by_WASHAgencies]]+WWWW[[#This Row],['#_Non Cluster partner latrines]])-WWWW[[#This Row],['#_Non-functional latrines]]</f>
        <v>2</v>
      </c>
      <c r="DD36" s="619">
        <f>WWWW[[#This Row],[HRP2]]/WWWW[[#This Row],[Total PoP ]]</f>
        <v>1</v>
      </c>
      <c r="DE3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3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 s="421">
        <f>IF(WWWW[[#This Row],['# of functional latrines in THF supported by WASH partners during the reporting period2]]="",0,WWWW[[#This Row],['# of functional latrines in THF supported by WASH partners during the reporting period2]]*50)</f>
        <v>0</v>
      </c>
      <c r="DI36" s="971">
        <f>ROUND(IF(WWWW[[#This Row],[Location Type 1]]="camp",WWWW[[#This Row],[Total PoP ]]/20,IF(WWWW[[#This Row],[Location Type 1]]="Temporary Location",WWWW[[#This Row],[Total PoP ]]/50,(WWWW[[#This Row],[Total PoP ]]/6))),0)</f>
        <v>2</v>
      </c>
      <c r="DJ36" s="971">
        <f>IF(WWWW[[#This Row],[Total required Latrines]]-(WWWW[[#This Row],['#_Constructed latrines_by_WASHAgencies]]+WWWW[[#This Row],['#_Non Cluster partner latrines]])&lt;0,0,WWWW[[#This Row],[Total required Latrines]]-(WWWW[[#This Row],['#_Constructed latrines_by_WASHAgencies]]+WWWW[[#This Row],['#_Non Cluster partner latrines]]))</f>
        <v>0</v>
      </c>
      <c r="DK36" s="973">
        <f>1-WWWW[[#This Row],[% people access to functioning Latrine]]</f>
        <v>0</v>
      </c>
      <c r="DL36" s="972">
        <f>IF(OR(WWWW[[#This Row],['#_Non-functional latrines]]="",WWWW[[#This Row],['#_Non-functional latrines]]=0),0,WWWW[[#This Row],['#_Non-functional latrines]]/(WWWW[[#This Row],['#_Constructed latrines_by_WASHAgencies]]+WWWW[[#This Row],['#_Non Cluster partner latrines]]))</f>
        <v>0</v>
      </c>
      <c r="DM36" s="968">
        <f>IF(500*(WWWW[[#This Row],['#_male hygiene promoters]]+WWWW[[#This Row],['#_female hygiene promoters]])&gt;WWWW[[#This Row],[Total PoP ]],WWWW[[#This Row],[Total PoP ]],500*(WWWW[[#This Row],['#_male hygiene promoters]]+WWWW[[#This Row],['#_female hygiene promoters]]))</f>
        <v>0</v>
      </c>
      <c r="DN3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 s="971">
        <f>IF(WWWW[[#This Row],['# People with access to soap]]&gt;WWWW[[#This Row],['# People with access to Sanity Pads]],WWWW[[#This Row],['# People with access to soap]],WWWW[[#This Row],['# People with access to Sanity Pads]])</f>
        <v>0</v>
      </c>
      <c r="DQ3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6" s="973">
        <f>IF(WWWW[[#This Row],[HRP3]]/WWWW[[#This Row],[Total PoP ]]&gt;1,1,WWWW[[#This Row],[HRP3]]/WWWW[[#This Row],[Total PoP ]])</f>
        <v>0</v>
      </c>
      <c r="DS36" s="972">
        <f>1-WWWW[[#This Row],[Hygiene Coverage%]]</f>
        <v>1</v>
      </c>
      <c r="DT36" s="970">
        <f>WWWW[[#This Row],['# people reached by regular dedicated hygiene promotion_5]]/WWWW[[#This Row],[Total PoP ]]</f>
        <v>0</v>
      </c>
      <c r="DU3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 s="971">
        <f>WWWW[[#This Row],['#_Constructed/Existing hand washing stations]]-WWWW[[#This Row],['#_Non-Functional_hand_washing_stations]]</f>
        <v>1</v>
      </c>
      <c r="DX36" s="968">
        <f>IF(WWWW[[#This Row],['# Functional hand washing stations during reporting period]]*20&gt;WWWW[[#This Row],[Total HH]],WWWW[[#This Row],[Total HH]],WWWW[[#This Row],['# Functional hand washing stations during reporting period]]*20)</f>
        <v>5</v>
      </c>
      <c r="DY36" s="968">
        <f>IF(WWWW[[#This Row],[Is sufficient soap available for TLS? (Yes/No)]]="yes",WWWW[[#This Row],['#_Constructed/Existing hand washing stations at TLS/CFS/THF]],0)</f>
        <v>0</v>
      </c>
      <c r="DZ36" s="425">
        <f>IF(WWWW[[#This Row],['# Functional hand washing stations during reporting period]]*100&gt;WWWW[[#This Row],[Total PoP ]],WWWW[[#This Row],[Total PoP ]],WWWW[[#This Row],['# Functional hand washing stations during reporting period]]*100)</f>
        <v>32</v>
      </c>
      <c r="EA36" s="425" t="str">
        <f>IF(OR(WWWW[[#This Row],['#_students at TLS_CFS]]="",WWWW[[#This Row],['#_students at TLS_CFS]]=0),"No","Yes")</f>
        <v>No</v>
      </c>
      <c r="EB3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 s="570">
        <f>WWWW[[#This Row],[%_of_affected_people_surveyed_who_report_feeling_satistfied_with_the_latrine_design_and_sanitation_service]]*WWWW[[#This Row],[Total PoP ]]</f>
        <v>0</v>
      </c>
      <c r="ED36" s="570">
        <f>WWWW[[#This Row],[%_of_affected_people_surveyed_who_report_feeling_satistfied_with_the_water_point_design_and_water_service]]*WWWW[[#This Row],[Total PoP ]]</f>
        <v>0</v>
      </c>
      <c r="EE36" s="570">
        <f>WWWW[[#This Row],[%_of_complaints_received_that_result_in_timely_corrective_action_and_feedback_to_the_community]]*WWWW[[#This Row],[Total PoP ]]</f>
        <v>0</v>
      </c>
      <c r="EF3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 s="964">
        <f>VLOOKUP(WWWW[[#This Row],[Site Name]],SiteDB6[[Site Name]:[CCCM Management]],6,FALSE)</f>
        <v>0</v>
      </c>
      <c r="EJ36" s="964">
        <f>VLOOKUP(WWWW[[#This Row],[Site Name]],SiteDB6[[Site Name]:[CCCM Focal Agency]],7,FALSE)</f>
        <v>0</v>
      </c>
      <c r="EK36" s="964" t="str">
        <f>VLOOKUP(WWWW[[#This Row],[Site Name]],SiteDB6[[Site Name]:[Location Type 1]],9,FALSE)</f>
        <v>Camp</v>
      </c>
      <c r="EL36" s="964" t="str">
        <f>VLOOKUP(WWWW[[#This Row],[Site Name]],SiteDB6[[Site Name]:[Type of Accommodation]],10,FALSE)</f>
        <v>Camp like setting</v>
      </c>
      <c r="EM36" s="964" t="str">
        <f>VLOOKUP(WWWW[[#This Row],[Site Name]],SiteDB6[[Site Name]:[Ethnic or GCA/NGCA]],11,FALSE)</f>
        <v>GCA</v>
      </c>
      <c r="EN36" s="964">
        <f>VLOOKUP(WWWW[[#This Row],[Site Name]],SiteDB6[[Site Name]:[Lat]],12,FALSE)</f>
        <v>0</v>
      </c>
      <c r="EO36" s="964">
        <f>VLOOKUP(WWWW[[#This Row],[Site Name]],SiteDB6[[Site Name]:[Long]],13,FALSE)</f>
        <v>0</v>
      </c>
      <c r="EP36" s="964">
        <f>VLOOKUP(WWWW[[#This Row],[Site Name]],SiteDB6[[Site Name]:[Pcode]],3,FALSE)</f>
        <v>0</v>
      </c>
      <c r="EQ36" s="969" t="str">
        <f t="shared" si="1"/>
        <v>Covered</v>
      </c>
      <c r="ER36" s="969" t="s">
        <v>3147</v>
      </c>
      <c r="ES36" s="964">
        <f>VLOOKUP(WWWW[[#This Row],[Site Name]],SiteDB6[[Site Name]:[Pop
(Kachin/Shan-CCCM as of March 2023)]],16,FALSE)</f>
        <v>0</v>
      </c>
      <c r="ET36" s="964">
        <f>VLOOKUP(WWWW[[#This Row],[Site Name]],SiteDB6[[Site Name]:[Pop
(Kachin/Shan-CCCM as of March 2023)]],17,FALSE)</f>
        <v>0</v>
      </c>
    </row>
    <row r="37" spans="1:150" hidden="1">
      <c r="A37" s="962" t="s">
        <v>2977</v>
      </c>
      <c r="B37" s="962" t="s">
        <v>309</v>
      </c>
      <c r="C37" s="963" t="s">
        <v>309</v>
      </c>
      <c r="D37" s="963"/>
      <c r="E37" s="963" t="s">
        <v>37</v>
      </c>
      <c r="F37" s="963" t="s">
        <v>148</v>
      </c>
      <c r="G37" s="964" t="str">
        <f>VLOOKUP(WWWW[[#This Row],[Site Name]],SiteDB6[[Site Name]:[Location Type]],8,FALSE)</f>
        <v>Camp</v>
      </c>
      <c r="H37" s="963" t="s">
        <v>257</v>
      </c>
      <c r="I37" s="965">
        <v>3</v>
      </c>
      <c r="J37" s="965">
        <v>15</v>
      </c>
      <c r="K37" s="966"/>
      <c r="L37" s="967"/>
      <c r="M37" s="965"/>
      <c r="N37" s="965"/>
      <c r="O37" s="965"/>
      <c r="P37" s="965"/>
      <c r="Q37" s="968" t="s">
        <v>41</v>
      </c>
      <c r="R37" s="965"/>
      <c r="S37" s="965">
        <v>5</v>
      </c>
      <c r="T37" s="445">
        <v>1</v>
      </c>
      <c r="U37" s="965"/>
      <c r="V37" s="965"/>
      <c r="W37" s="965">
        <v>1</v>
      </c>
      <c r="X37" s="965"/>
      <c r="Y37" s="965"/>
      <c r="Z37" s="965"/>
      <c r="AA37" s="965"/>
      <c r="AB37" s="965"/>
      <c r="AC37" s="965"/>
      <c r="AD37" s="965"/>
      <c r="AE37" s="965"/>
      <c r="AF37" s="965"/>
      <c r="AG37" s="965"/>
      <c r="AH37" s="965">
        <v>1</v>
      </c>
      <c r="AI37" s="965"/>
      <c r="AJ37" s="965"/>
      <c r="AK37" s="965"/>
      <c r="AL37" s="965"/>
      <c r="AM37" s="965"/>
      <c r="AN37" s="965"/>
      <c r="AO37" s="445"/>
      <c r="AP37" s="969"/>
      <c r="AQ37" s="965"/>
      <c r="AR37" s="965"/>
      <c r="AS37" s="970"/>
      <c r="AT37" s="965"/>
      <c r="AU37" s="965"/>
      <c r="AV37" s="965"/>
      <c r="AW37" s="965"/>
      <c r="AX37" s="965"/>
      <c r="AY37" s="964" t="s">
        <v>41</v>
      </c>
      <c r="AZ37" s="969" t="s">
        <v>904</v>
      </c>
      <c r="BA37" s="965"/>
      <c r="BB37" s="965"/>
      <c r="BC37" s="965"/>
      <c r="BD37" s="445"/>
      <c r="BE37" s="445"/>
      <c r="BF37" s="964"/>
      <c r="BG37" s="965">
        <v>7</v>
      </c>
      <c r="BH37" s="965"/>
      <c r="BI37" s="965"/>
      <c r="BJ37" s="965">
        <v>4</v>
      </c>
      <c r="BK37" s="965"/>
      <c r="BL37" s="965"/>
      <c r="BM37" s="965"/>
      <c r="BN37" s="965"/>
      <c r="BO37" s="965"/>
      <c r="BP37" s="964"/>
      <c r="BQ37" s="971"/>
      <c r="BR37" s="970"/>
      <c r="BS37" s="964"/>
      <c r="BT37" s="420"/>
      <c r="BU37" s="420"/>
      <c r="BV37" s="422"/>
      <c r="BW37" s="420"/>
      <c r="BX37" s="445"/>
      <c r="BY37" s="445"/>
      <c r="BZ37" s="445"/>
      <c r="CA37" s="445"/>
      <c r="CB37" s="445"/>
      <c r="CC37" s="702"/>
      <c r="CD37" s="445"/>
      <c r="CE37" s="972" t="str">
        <f>IFERROR(WWWW[[#This Row],['#_Water sources passed]]/WWWW[[#This Row],['#_Water sources tested for fecal coliform ]],"no test")</f>
        <v>no test</v>
      </c>
      <c r="CF37" s="970" t="str">
        <f>IFERROR(WWWW[[#This Row],['#_Household passed]]/WWWW[[#This Row],['#_Household water samples tested for fecal coliform]],"no test")</f>
        <v>no test</v>
      </c>
      <c r="CG37" s="971" t="str">
        <f>IF(AND(WWWW[[#This Row],[% of water sources passed]]="no test",WWWW[[#This Row],[% Household passed]]="no test"),"No Test","Tested")</f>
        <v>No Test</v>
      </c>
      <c r="CH37" s="971">
        <f>WWWW[[#This Row],['#_Constructed/existing protected hand dug well]]-WWWW[[#This Row],['#_Non-functional protected hand dug well]]</f>
        <v>1</v>
      </c>
      <c r="CI37" s="971">
        <f>(WWWW[[#This Row],['#_Constructed/Existing tube wells/boreholes/handpumps_WASH_agency]]+WWWW[[#This Row],['#_Non-Cluster partner water tube-wells/boreholes/handpumps]])-WWWW[[#This Row],['#_Non-functional tube wells/boreholes/handpumps]]</f>
        <v>1</v>
      </c>
      <c r="CJ37" s="971">
        <f>WWWW[[#This Row],['#_Constructed/Existingwater storage tank with gravity fed reticulation system]]-WWWW[[#This Row],['#_Non-functional storage tank gravity fed reticulation system]]</f>
        <v>0</v>
      </c>
      <c r="CK37" s="971">
        <f>(WWWW[[#This Row],['#_Water_Liters_supplied_by_Water boating or water trucking]]/90)/15</f>
        <v>0</v>
      </c>
      <c r="CL37" s="971">
        <f>WWWW[[#This Row],['#_Water_Liters_from_Constructed/Existing water distribution system from river or natural spring]]/90/15</f>
        <v>0</v>
      </c>
      <c r="CM37" s="421">
        <f>IF(WWWW[[#This Row],['#_of water points in TLS/CFS]]*500&gt;WWWW[[#This Row],[Total PoP ]],WWWW[[#This Row],[Total PoP ]],WWWW[[#This Row],['#_of water points in TLS/CFS]]*500)</f>
        <v>0</v>
      </c>
      <c r="CN37" s="421">
        <f>IF(WWWW[[#This Row],['#_of water points in THF]]*500&gt;WWWW[[#This Row],[Total PoP ]],WWWW[[#This Row],[Total PoP ]],WWWW[[#This Row],['#_of water points in THF]]*500)</f>
        <v>0</v>
      </c>
      <c r="CO37" s="421"/>
      <c r="CP3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 s="970">
        <f>IF(WWWW[[#This Row],[Location Type 1]]="Village",WWWW[[#This Row],[Access to safe drinking water for Village]],WWWW[[#This Row],[Access to safe drinking water for Camp]])</f>
        <v>1</v>
      </c>
      <c r="CS37" s="968">
        <f>WWWW[[#This Row],[%Equitable and continuous access to sufficient quantity of safe drinking water]]*WWWW[[#This Row],[Total PoP ]]</f>
        <v>15</v>
      </c>
      <c r="CT37" s="970">
        <f>IF((WWWW[[#This Row],['#_Constructed/Existing protected/fenced ponds]]*250)/WWWW[[#This Row],[Total PoP ]]&gt;1,1,(WWWW[[#This Row],['#_Constructed/Existing protected/fenced ponds]]*250)/WWWW[[#This Row],[Total PoP ]])</f>
        <v>0</v>
      </c>
      <c r="CU37" s="968">
        <f>WWWW[[#This Row],[% Access to unimproved water points]]*WWWW[[#This Row],[Total PoP ]]</f>
        <v>0</v>
      </c>
      <c r="CV3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X37" s="968">
        <f>WWWW[[#This Row],[HRP1]]/500</f>
        <v>0.03</v>
      </c>
      <c r="CY37" s="973">
        <f>1-WWWW[[#This Row],[% Equitable and continuous access to sufficient quantity of domestic water]]</f>
        <v>0</v>
      </c>
      <c r="CZ37" s="968">
        <f>WWWW[[#This Row],[%equitable and continuous access to sufficient quantity of safe drinking and domestic water''s GAP]]*WWWW[[#This Row],[Total PoP ]]</f>
        <v>0</v>
      </c>
      <c r="DA37" s="971">
        <f>IF(WWWW[[#This Row],[Total required water points]]-WWWW[[#This Row],['#Water points coverage]]&lt;0,0,WWWW[[#This Row],[Total required water points]]-WWWW[[#This Row],['#Water points coverage]])</f>
        <v>0.97</v>
      </c>
      <c r="DB37" s="971">
        <f>ROUND(IF(WWWW[[#This Row],[Total PoP ]]&lt;500,1,WWWW[[#This Row],[Total PoP ]]/500),0)</f>
        <v>1</v>
      </c>
      <c r="DC37" s="971">
        <f>(WWWW[[#This Row],['#_Constructed latrines_by_WASHAgencies]]+WWWW[[#This Row],['#_Non Cluster partner latrines]])-WWWW[[#This Row],['#_Non-functional latrines]]</f>
        <v>0</v>
      </c>
      <c r="DD37" s="619">
        <f>WWWW[[#This Row],[HRP2]]/WWWW[[#This Row],[Total PoP ]]</f>
        <v>0</v>
      </c>
      <c r="DE3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 s="421">
        <f>IF(WWWW[[#This Row],['# of functional latrines in THF supported by WASH partners during the reporting period2]]="",0,WWWW[[#This Row],['# of functional latrines in THF supported by WASH partners during the reporting period2]]*50)</f>
        <v>0</v>
      </c>
      <c r="DI37" s="971">
        <f>ROUND(IF(WWWW[[#This Row],[Location Type 1]]="camp",WWWW[[#This Row],[Total PoP ]]/20,IF(WWWW[[#This Row],[Location Type 1]]="Temporary Location",WWWW[[#This Row],[Total PoP ]]/50,(WWWW[[#This Row],[Total PoP ]]/6))),0)</f>
        <v>1</v>
      </c>
      <c r="DJ37" s="971">
        <f>IF(WWWW[[#This Row],[Total required Latrines]]-(WWWW[[#This Row],['#_Constructed latrines_by_WASHAgencies]]+WWWW[[#This Row],['#_Non Cluster partner latrines]])&lt;0,0,WWWW[[#This Row],[Total required Latrines]]-(WWWW[[#This Row],['#_Constructed latrines_by_WASHAgencies]]+WWWW[[#This Row],['#_Non Cluster partner latrines]]))</f>
        <v>1</v>
      </c>
      <c r="DK37" s="973">
        <f>1-WWWW[[#This Row],[% people access to functioning Latrine]]</f>
        <v>1</v>
      </c>
      <c r="DL37" s="972">
        <f>IF(OR(WWWW[[#This Row],['#_Non-functional latrines]]="",WWWW[[#This Row],['#_Non-functional latrines]]=0),0,WWWW[[#This Row],['#_Non-functional latrines]]/(WWWW[[#This Row],['#_Constructed latrines_by_WASHAgencies]]+WWWW[[#This Row],['#_Non Cluster partner latrines]]))</f>
        <v>0</v>
      </c>
      <c r="DM37" s="968">
        <f>IF(500*(WWWW[[#This Row],['#_male hygiene promoters]]+WWWW[[#This Row],['#_female hygiene promoters]])&gt;WWWW[[#This Row],[Total PoP ]],WWWW[[#This Row],[Total PoP ]],500*(WWWW[[#This Row],['#_male hygiene promoters]]+WWWW[[#This Row],['#_female hygiene promoters]]))</f>
        <v>0</v>
      </c>
      <c r="DN3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 s="971">
        <f>IF(WWWW[[#This Row],['# People with access to soap]]&gt;WWWW[[#This Row],['# People with access to Sanity Pads]],WWWW[[#This Row],['# People with access to soap]],WWWW[[#This Row],['# People with access to Sanity Pads]])</f>
        <v>0</v>
      </c>
      <c r="DQ3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7" s="973">
        <f>IF(WWWW[[#This Row],[HRP3]]/WWWW[[#This Row],[Total PoP ]]&gt;1,1,WWWW[[#This Row],[HRP3]]/WWWW[[#This Row],[Total PoP ]])</f>
        <v>0</v>
      </c>
      <c r="DS37" s="972">
        <f>1-WWWW[[#This Row],[Hygiene Coverage%]]</f>
        <v>1</v>
      </c>
      <c r="DT37" s="970">
        <f>WWWW[[#This Row],['# people reached by regular dedicated hygiene promotion_5]]/WWWW[[#This Row],[Total PoP ]]</f>
        <v>0</v>
      </c>
      <c r="DU3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 s="971">
        <f>WWWW[[#This Row],['#_Constructed/Existing hand washing stations]]-WWWW[[#This Row],['#_Non-Functional_hand_washing_stations]]</f>
        <v>7</v>
      </c>
      <c r="DX37" s="968">
        <f>IF(WWWW[[#This Row],['# Functional hand washing stations during reporting period]]*20&gt;WWWW[[#This Row],[Total HH]],WWWW[[#This Row],[Total HH]],WWWW[[#This Row],['# Functional hand washing stations during reporting period]]*20)</f>
        <v>3</v>
      </c>
      <c r="DY37" s="968">
        <f>IF(WWWW[[#This Row],[Is sufficient soap available for TLS? (Yes/No)]]="yes",WWWW[[#This Row],['#_Constructed/Existing hand washing stations at TLS/CFS/THF]],0)</f>
        <v>0</v>
      </c>
      <c r="DZ37" s="425">
        <f>IF(WWWW[[#This Row],['# Functional hand washing stations during reporting period]]*100&gt;WWWW[[#This Row],[Total PoP ]],WWWW[[#This Row],[Total PoP ]],WWWW[[#This Row],['# Functional hand washing stations during reporting period]]*100)</f>
        <v>15</v>
      </c>
      <c r="EA37" s="425" t="str">
        <f>IF(OR(WWWW[[#This Row],['#_students at TLS_CFS]]="",WWWW[[#This Row],['#_students at TLS_CFS]]=0),"No","Yes")</f>
        <v>No</v>
      </c>
      <c r="EB3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 s="570">
        <f>WWWW[[#This Row],[%_of_affected_people_surveyed_who_report_feeling_satistfied_with_the_latrine_design_and_sanitation_service]]*WWWW[[#This Row],[Total PoP ]]</f>
        <v>0</v>
      </c>
      <c r="ED37" s="570">
        <f>WWWW[[#This Row],[%_of_affected_people_surveyed_who_report_feeling_satistfied_with_the_water_point_design_and_water_service]]*WWWW[[#This Row],[Total PoP ]]</f>
        <v>0</v>
      </c>
      <c r="EE37" s="570">
        <f>WWWW[[#This Row],[%_of_complaints_received_that_result_in_timely_corrective_action_and_feedback_to_the_community]]*WWWW[[#This Row],[Total PoP ]]</f>
        <v>0</v>
      </c>
      <c r="EF3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 s="964" t="str">
        <f>VLOOKUP(WWWW[[#This Row],[Site Name]],SiteDB6[[Site Name]:[CCCM Management]],6,FALSE)</f>
        <v>Yes</v>
      </c>
      <c r="EJ37" s="964" t="str">
        <f>VLOOKUP(WWWW[[#This Row],[Site Name]],SiteDB6[[Site Name]:[CCCM Focal Agency]],7,FALSE)</f>
        <v>Shalom</v>
      </c>
      <c r="EK37" s="964" t="str">
        <f>VLOOKUP(WWWW[[#This Row],[Site Name]],SiteDB6[[Site Name]:[Location Type 1]],9,FALSE)</f>
        <v>Camp</v>
      </c>
      <c r="EL37" s="964" t="str">
        <f>VLOOKUP(WWWW[[#This Row],[Site Name]],SiteDB6[[Site Name]:[Type of Accommodation]],10,FALSE)</f>
        <v>Camp like setting</v>
      </c>
      <c r="EM37" s="964" t="str">
        <f>VLOOKUP(WWWW[[#This Row],[Site Name]],SiteDB6[[Site Name]:[Ethnic or GCA/NGCA]],11,FALSE)</f>
        <v>GCA</v>
      </c>
      <c r="EN37" s="964">
        <f>VLOOKUP(WWWW[[#This Row],[Site Name]],SiteDB6[[Site Name]:[Lat]],12,FALSE)</f>
        <v>25.6145</v>
      </c>
      <c r="EO37" s="964">
        <f>VLOOKUP(WWWW[[#This Row],[Site Name]],SiteDB6[[Site Name]:[Long]],13,FALSE)</f>
        <v>96.319829999999996</v>
      </c>
      <c r="EP37" s="964" t="str">
        <f>VLOOKUP(WWWW[[#This Row],[Site Name]],SiteDB6[[Site Name]:[Pcode]],3,FALSE)</f>
        <v>MMR001CMP091</v>
      </c>
      <c r="EQ37" s="969" t="str">
        <f t="shared" si="1"/>
        <v>Notcovered</v>
      </c>
      <c r="ER37" s="969"/>
      <c r="ES37" s="964">
        <f>VLOOKUP(WWWW[[#This Row],[Site Name]],SiteDB6[[Site Name]:[Pop
(Kachin/Shan-CCCM as of March 2023)]],16,FALSE)</f>
        <v>3</v>
      </c>
      <c r="ET37" s="964">
        <f>VLOOKUP(WWWW[[#This Row],[Site Name]],SiteDB6[[Site Name]:[Pop
(Kachin/Shan-CCCM as of March 2023)]],17,FALSE)</f>
        <v>14</v>
      </c>
    </row>
    <row r="38" spans="1:150" hidden="1">
      <c r="A38" s="962" t="s">
        <v>2977</v>
      </c>
      <c r="B38" s="962" t="s">
        <v>36</v>
      </c>
      <c r="C38" s="963" t="s">
        <v>36</v>
      </c>
      <c r="D38" s="963" t="s">
        <v>241</v>
      </c>
      <c r="E38" s="963" t="s">
        <v>37</v>
      </c>
      <c r="F38" s="963" t="s">
        <v>148</v>
      </c>
      <c r="G38" s="964" t="str">
        <f>VLOOKUP(WWWW[[#This Row],[Site Name]],SiteDB6[[Site Name]:[Location Type]],8,FALSE)</f>
        <v>Camp</v>
      </c>
      <c r="H38" s="963" t="s">
        <v>231</v>
      </c>
      <c r="I38" s="965">
        <v>47</v>
      </c>
      <c r="J38" s="965">
        <v>228</v>
      </c>
      <c r="K38" s="966">
        <v>44973</v>
      </c>
      <c r="L38" s="967">
        <v>45337</v>
      </c>
      <c r="M38" s="965"/>
      <c r="N38" s="965">
        <v>2</v>
      </c>
      <c r="O38" s="965"/>
      <c r="P38" s="965"/>
      <c r="Q38" s="968" t="s">
        <v>41</v>
      </c>
      <c r="R38" s="965">
        <v>3</v>
      </c>
      <c r="S38" s="965">
        <v>3</v>
      </c>
      <c r="T38" s="445">
        <v>1</v>
      </c>
      <c r="U38" s="965"/>
      <c r="V38" s="965"/>
      <c r="W38" s="965"/>
      <c r="X38" s="965"/>
      <c r="Y38" s="965"/>
      <c r="Z38" s="965"/>
      <c r="AA38" s="965"/>
      <c r="AB38" s="965"/>
      <c r="AC38" s="965"/>
      <c r="AD38" s="965"/>
      <c r="AE38" s="965"/>
      <c r="AF38" s="965"/>
      <c r="AG38" s="965"/>
      <c r="AH38" s="965">
        <v>5</v>
      </c>
      <c r="AI38" s="965"/>
      <c r="AJ38" s="965"/>
      <c r="AK38" s="965"/>
      <c r="AL38" s="965"/>
      <c r="AM38" s="965">
        <v>4</v>
      </c>
      <c r="AN38" s="965"/>
      <c r="AO38" s="445"/>
      <c r="AP38" s="969"/>
      <c r="AQ38" s="965">
        <v>16</v>
      </c>
      <c r="AR38" s="965"/>
      <c r="AS38" s="970"/>
      <c r="AT38" s="965"/>
      <c r="AU38" s="965"/>
      <c r="AV38" s="965"/>
      <c r="AW38" s="965"/>
      <c r="AX38" s="965"/>
      <c r="AY38" s="964" t="s">
        <v>41</v>
      </c>
      <c r="AZ38" s="969" t="s">
        <v>137</v>
      </c>
      <c r="BA38" s="965"/>
      <c r="BB38" s="965"/>
      <c r="BC38" s="965"/>
      <c r="BD38" s="445"/>
      <c r="BE38" s="445"/>
      <c r="BF38" s="964"/>
      <c r="BG38" s="965">
        <v>7</v>
      </c>
      <c r="BH38" s="965"/>
      <c r="BI38" s="965"/>
      <c r="BJ38" s="965">
        <v>2</v>
      </c>
      <c r="BK38" s="965"/>
      <c r="BL38" s="965"/>
      <c r="BM38" s="965">
        <v>1</v>
      </c>
      <c r="BN38" s="965"/>
      <c r="BO38" s="965"/>
      <c r="BP38" s="964" t="s">
        <v>41</v>
      </c>
      <c r="BQ38" s="971">
        <v>1</v>
      </c>
      <c r="BR38" s="970"/>
      <c r="BS38" s="964"/>
      <c r="BT38" s="420"/>
      <c r="BU38" s="420"/>
      <c r="BV38" s="422"/>
      <c r="BW38" s="420"/>
      <c r="BX38" s="445"/>
      <c r="BY38" s="445"/>
      <c r="BZ38" s="445"/>
      <c r="CA38" s="445"/>
      <c r="CB38" s="445"/>
      <c r="CC38" s="702"/>
      <c r="CD38" s="445"/>
      <c r="CE38" s="972" t="str">
        <f>IFERROR(WWWW[[#This Row],['#_Water sources passed]]/WWWW[[#This Row],['#_Water sources tested for fecal coliform ]],"no test")</f>
        <v>no test</v>
      </c>
      <c r="CF38" s="970" t="str">
        <f>IFERROR(WWWW[[#This Row],['#_Household passed]]/WWWW[[#This Row],['#_Household water samples tested for fecal coliform]],"no test")</f>
        <v>no test</v>
      </c>
      <c r="CG38" s="971" t="str">
        <f>IF(AND(WWWW[[#This Row],[% of water sources passed]]="no test",WWWW[[#This Row],[% Household passed]]="no test"),"No Test","Tested")</f>
        <v>No Test</v>
      </c>
      <c r="CH38" s="971">
        <f>WWWW[[#This Row],['#_Constructed/existing protected hand dug well]]-WWWW[[#This Row],['#_Non-functional protected hand dug well]]</f>
        <v>1</v>
      </c>
      <c r="CI38" s="971">
        <f>(WWWW[[#This Row],['#_Constructed/Existing tube wells/boreholes/handpumps_WASH_agency]]+WWWW[[#This Row],['#_Non-Cluster partner water tube-wells/boreholes/handpumps]])-WWWW[[#This Row],['#_Non-functional tube wells/boreholes/handpumps]]</f>
        <v>0</v>
      </c>
      <c r="CJ38" s="971">
        <f>WWWW[[#This Row],['#_Constructed/Existingwater storage tank with gravity fed reticulation system]]-WWWW[[#This Row],['#_Non-functional storage tank gravity fed reticulation system]]</f>
        <v>0</v>
      </c>
      <c r="CK38" s="971">
        <f>(WWWW[[#This Row],['#_Water_Liters_supplied_by_Water boating or water trucking]]/90)/15</f>
        <v>0</v>
      </c>
      <c r="CL38" s="971">
        <f>WWWW[[#This Row],['#_Water_Liters_from_Constructed/Existing water distribution system from river or natural spring]]/90/15</f>
        <v>0</v>
      </c>
      <c r="CM38" s="421">
        <f>IF(WWWW[[#This Row],['#_of water points in TLS/CFS]]*500&gt;WWWW[[#This Row],[Total PoP ]],WWWW[[#This Row],[Total PoP ]],WWWW[[#This Row],['#_of water points in TLS/CFS]]*500)</f>
        <v>0</v>
      </c>
      <c r="CN38" s="421">
        <f>IF(WWWW[[#This Row],['#_of water points in THF]]*500&gt;WWWW[[#This Row],[Total PoP ]],WWWW[[#This Row],[Total PoP ]],WWWW[[#This Row],['#_of water points in THF]]*500)</f>
        <v>0</v>
      </c>
      <c r="CO38" s="421"/>
      <c r="CP3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8" s="970">
        <f>IF(WWWW[[#This Row],[Location Type 1]]="Village",WWWW[[#This Row],[Access to safe drinking water for Village]],WWWW[[#This Row],[Access to safe drinking water for Camp]])</f>
        <v>1</v>
      </c>
      <c r="CS38" s="968">
        <f>WWWW[[#This Row],[%Equitable and continuous access to sufficient quantity of safe drinking water]]*WWWW[[#This Row],[Total PoP ]]</f>
        <v>228</v>
      </c>
      <c r="CT38" s="970">
        <f>IF((WWWW[[#This Row],['#_Constructed/Existing protected/fenced ponds]]*250)/WWWW[[#This Row],[Total PoP ]]&gt;1,1,(WWWW[[#This Row],['#_Constructed/Existing protected/fenced ponds]]*250)/WWWW[[#This Row],[Total PoP ]])</f>
        <v>0</v>
      </c>
      <c r="CU38" s="968">
        <f>WWWW[[#This Row],[% Access to unimproved water points]]*WWWW[[#This Row],[Total PoP ]]</f>
        <v>0</v>
      </c>
      <c r="CV3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X38" s="968">
        <f>WWWW[[#This Row],[HRP1]]/500</f>
        <v>0.45600000000000002</v>
      </c>
      <c r="CY38" s="973">
        <f>1-WWWW[[#This Row],[% Equitable and continuous access to sufficient quantity of domestic water]]</f>
        <v>0</v>
      </c>
      <c r="CZ38" s="968">
        <f>WWWW[[#This Row],[%equitable and continuous access to sufficient quantity of safe drinking and domestic water''s GAP]]*WWWW[[#This Row],[Total PoP ]]</f>
        <v>0</v>
      </c>
      <c r="DA38" s="971">
        <f>IF(WWWW[[#This Row],[Total required water points]]-WWWW[[#This Row],['#Water points coverage]]&lt;0,0,WWWW[[#This Row],[Total required water points]]-WWWW[[#This Row],['#Water points coverage]])</f>
        <v>0.54400000000000004</v>
      </c>
      <c r="DB38" s="971">
        <f>ROUND(IF(WWWW[[#This Row],[Total PoP ]]&lt;500,1,WWWW[[#This Row],[Total PoP ]]/500),0)</f>
        <v>1</v>
      </c>
      <c r="DC38" s="971">
        <f>(WWWW[[#This Row],['#_Constructed latrines_by_WASHAgencies]]+WWWW[[#This Row],['#_Non Cluster partner latrines]])-WWWW[[#This Row],['#_Non-functional latrines]]</f>
        <v>16</v>
      </c>
      <c r="DD38" s="619">
        <f>WWWW[[#This Row],[HRP2]]/WWWW[[#This Row],[Total PoP ]]</f>
        <v>1</v>
      </c>
      <c r="DE3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228</v>
      </c>
      <c r="DF3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 s="421">
        <f>IF(WWWW[[#This Row],['# of functional latrines in THF supported by WASH partners during the reporting period2]]="",0,WWWW[[#This Row],['# of functional latrines in THF supported by WASH partners during the reporting period2]]*50)</f>
        <v>0</v>
      </c>
      <c r="DI38" s="971">
        <f>ROUND(IF(WWWW[[#This Row],[Location Type 1]]="camp",WWWW[[#This Row],[Total PoP ]]/20,IF(WWWW[[#This Row],[Location Type 1]]="Temporary Location",WWWW[[#This Row],[Total PoP ]]/50,(WWWW[[#This Row],[Total PoP ]]/6))),0)</f>
        <v>11</v>
      </c>
      <c r="DJ38" s="971">
        <f>IF(WWWW[[#This Row],[Total required Latrines]]-(WWWW[[#This Row],['#_Constructed latrines_by_WASHAgencies]]+WWWW[[#This Row],['#_Non Cluster partner latrines]])&lt;0,0,WWWW[[#This Row],[Total required Latrines]]-(WWWW[[#This Row],['#_Constructed latrines_by_WASHAgencies]]+WWWW[[#This Row],['#_Non Cluster partner latrines]]))</f>
        <v>0</v>
      </c>
      <c r="DK38" s="973">
        <f>1-WWWW[[#This Row],[% people access to functioning Latrine]]</f>
        <v>0</v>
      </c>
      <c r="DL38" s="972">
        <f>IF(OR(WWWW[[#This Row],['#_Non-functional latrines]]="",WWWW[[#This Row],['#_Non-functional latrines]]=0),0,WWWW[[#This Row],['#_Non-functional latrines]]/(WWWW[[#This Row],['#_Constructed latrines_by_WASHAgencies]]+WWWW[[#This Row],['#_Non Cluster partner latrines]]))</f>
        <v>0</v>
      </c>
      <c r="DM38" s="968">
        <f>IF(500*(WWWW[[#This Row],['#_male hygiene promoters]]+WWWW[[#This Row],['#_female hygiene promoters]])&gt;WWWW[[#This Row],[Total PoP ]],WWWW[[#This Row],[Total PoP ]],500*(WWWW[[#This Row],['#_male hygiene promoters]]+WWWW[[#This Row],['#_female hygiene promoters]]))</f>
        <v>228</v>
      </c>
      <c r="DN3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 s="971">
        <f>IF(WWWW[[#This Row],['# People with access to soap]]&gt;WWWW[[#This Row],['# People with access to Sanity Pads]],WWWW[[#This Row],['# People with access to soap]],WWWW[[#This Row],['# People with access to Sanity Pads]])</f>
        <v>0</v>
      </c>
      <c r="DQ38" s="971">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R38" s="973">
        <f>IF(WWWW[[#This Row],[HRP3]]/WWWW[[#This Row],[Total PoP ]]&gt;1,1,WWWW[[#This Row],[HRP3]]/WWWW[[#This Row],[Total PoP ]])</f>
        <v>1</v>
      </c>
      <c r="DS38" s="972">
        <f>1-WWWW[[#This Row],[Hygiene Coverage%]]</f>
        <v>0</v>
      </c>
      <c r="DT38" s="970">
        <f>WWWW[[#This Row],['# people reached by regular dedicated hygiene promotion_5]]/WWWW[[#This Row],[Total PoP ]]</f>
        <v>1</v>
      </c>
      <c r="DU3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 s="971">
        <f>WWWW[[#This Row],['#_Constructed/Existing hand washing stations]]-WWWW[[#This Row],['#_Non-Functional_hand_washing_stations]]</f>
        <v>7</v>
      </c>
      <c r="DX38" s="968">
        <f>IF(WWWW[[#This Row],['# Functional hand washing stations during reporting period]]*20&gt;WWWW[[#This Row],[Total HH]],WWWW[[#This Row],[Total HH]],WWWW[[#This Row],['# Functional hand washing stations during reporting period]]*20)</f>
        <v>47</v>
      </c>
      <c r="DY38" s="968">
        <f>IF(WWWW[[#This Row],[Is sufficient soap available for TLS? (Yes/No)]]="yes",WWWW[[#This Row],['#_Constructed/Existing hand washing stations at TLS/CFS/THF]],0)</f>
        <v>4</v>
      </c>
      <c r="DZ38" s="425">
        <f>IF(WWWW[[#This Row],['# Functional hand washing stations during reporting period]]*100&gt;WWWW[[#This Row],[Total PoP ]],WWWW[[#This Row],[Total PoP ]],WWWW[[#This Row],['# Functional hand washing stations during reporting period]]*100)</f>
        <v>228</v>
      </c>
      <c r="EA38" s="425" t="str">
        <f>IF(OR(WWWW[[#This Row],['#_students at TLS_CFS]]="",WWWW[[#This Row],['#_students at TLS_CFS]]=0),"No","Yes")</f>
        <v>No</v>
      </c>
      <c r="EB3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 s="570">
        <f>WWWW[[#This Row],[%_of_affected_people_surveyed_who_report_feeling_satistfied_with_the_latrine_design_and_sanitation_service]]*WWWW[[#This Row],[Total PoP ]]</f>
        <v>0</v>
      </c>
      <c r="ED38" s="570">
        <f>WWWW[[#This Row],[%_of_affected_people_surveyed_who_report_feeling_satistfied_with_the_water_point_design_and_water_service]]*WWWW[[#This Row],[Total PoP ]]</f>
        <v>0</v>
      </c>
      <c r="EE38" s="570">
        <f>WWWW[[#This Row],[%_of_complaints_received_that_result_in_timely_corrective_action_and_feedback_to_the_community]]*WWWW[[#This Row],[Total PoP ]]</f>
        <v>0</v>
      </c>
      <c r="EF3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 s="964" t="str">
        <f>VLOOKUP(WWWW[[#This Row],[Site Name]],SiteDB6[[Site Name]:[CCCM Management]],6,FALSE)</f>
        <v>Yes</v>
      </c>
      <c r="EJ38" s="964" t="str">
        <f>VLOOKUP(WWWW[[#This Row],[Site Name]],SiteDB6[[Site Name]:[CCCM Focal Agency]],7,FALSE)</f>
        <v>KMSS-MYT</v>
      </c>
      <c r="EK38" s="964" t="str">
        <f>VLOOKUP(WWWW[[#This Row],[Site Name]],SiteDB6[[Site Name]:[Location Type 1]],9,FALSE)</f>
        <v>Camp</v>
      </c>
      <c r="EL38" s="964" t="str">
        <f>VLOOKUP(WWWW[[#This Row],[Site Name]],SiteDB6[[Site Name]:[Type of Accommodation]],10,FALSE)</f>
        <v>Camp</v>
      </c>
      <c r="EM38" s="964" t="str">
        <f>VLOOKUP(WWWW[[#This Row],[Site Name]],SiteDB6[[Site Name]:[Ethnic or GCA/NGCA]],11,FALSE)</f>
        <v>GCA</v>
      </c>
      <c r="EN38" s="964">
        <f>VLOOKUP(WWWW[[#This Row],[Site Name]],SiteDB6[[Site Name]:[Lat]],12,FALSE)</f>
        <v>25.613894999999999</v>
      </c>
      <c r="EO38" s="964">
        <f>VLOOKUP(WWWW[[#This Row],[Site Name]],SiteDB6[[Site Name]:[Long]],13,FALSE)</f>
        <v>96.341352999999998</v>
      </c>
      <c r="EP38" s="964" t="str">
        <f>VLOOKUP(WWWW[[#This Row],[Site Name]],SiteDB6[[Site Name]:[Pcode]],3,FALSE)</f>
        <v>MMR001CMP103</v>
      </c>
      <c r="EQ38" s="969" t="str">
        <f t="shared" si="1"/>
        <v>Covered</v>
      </c>
      <c r="ER38" s="969" t="s">
        <v>3147</v>
      </c>
      <c r="ES38" s="964">
        <f>VLOOKUP(WWWW[[#This Row],[Site Name]],SiteDB6[[Site Name]:[Pop
(Kachin/Shan-CCCM as of March 2023)]],16,FALSE)</f>
        <v>47</v>
      </c>
      <c r="ET38" s="964">
        <f>VLOOKUP(WWWW[[#This Row],[Site Name]],SiteDB6[[Site Name]:[Pop
(Kachin/Shan-CCCM as of March 2023)]],17,FALSE)</f>
        <v>228</v>
      </c>
    </row>
    <row r="39" spans="1:150" hidden="1">
      <c r="A39" s="962" t="s">
        <v>2977</v>
      </c>
      <c r="B39" s="962" t="s">
        <v>242</v>
      </c>
      <c r="C39" s="963" t="s">
        <v>242</v>
      </c>
      <c r="D39" s="963" t="s">
        <v>3207</v>
      </c>
      <c r="E39" s="963" t="s">
        <v>37</v>
      </c>
      <c r="F39" s="963" t="s">
        <v>146</v>
      </c>
      <c r="G39" s="964" t="str">
        <f>VLOOKUP(WWWW[[#This Row],[Site Name]],SiteDB6[[Site Name]:[Location Type]],8,FALSE)</f>
        <v>Camp</v>
      </c>
      <c r="H39" s="963" t="s">
        <v>245</v>
      </c>
      <c r="I39" s="965">
        <v>136</v>
      </c>
      <c r="J39" s="965">
        <v>704</v>
      </c>
      <c r="K39" s="966">
        <v>44927</v>
      </c>
      <c r="L39" s="967">
        <v>45291</v>
      </c>
      <c r="M39" s="965"/>
      <c r="N39" s="965"/>
      <c r="O39" s="965">
        <v>1</v>
      </c>
      <c r="P39" s="965"/>
      <c r="Q39" s="968" t="s">
        <v>41</v>
      </c>
      <c r="R39" s="965">
        <v>2</v>
      </c>
      <c r="S39" s="965">
        <v>6</v>
      </c>
      <c r="T39" s="445"/>
      <c r="U39" s="965"/>
      <c r="V39" s="965"/>
      <c r="W39" s="965"/>
      <c r="X39" s="965"/>
      <c r="Y39" s="965"/>
      <c r="Z39" s="965"/>
      <c r="AA39" s="965">
        <v>12</v>
      </c>
      <c r="AB39" s="965"/>
      <c r="AC39" s="965">
        <v>1</v>
      </c>
      <c r="AD39" s="965"/>
      <c r="AE39" s="965">
        <v>3</v>
      </c>
      <c r="AF39" s="965"/>
      <c r="AG39" s="965">
        <v>1</v>
      </c>
      <c r="AH39" s="965"/>
      <c r="AI39" s="965"/>
      <c r="AJ39" s="965"/>
      <c r="AK39" s="965"/>
      <c r="AL39" s="965"/>
      <c r="AM39" s="965"/>
      <c r="AN39" s="965"/>
      <c r="AO39" s="445"/>
      <c r="AP39" s="969"/>
      <c r="AQ39" s="965">
        <v>15</v>
      </c>
      <c r="AR39" s="965"/>
      <c r="AS39" s="970" t="s">
        <v>3213</v>
      </c>
      <c r="AT39" s="965">
        <v>1</v>
      </c>
      <c r="AU39" s="965"/>
      <c r="AV39" s="965"/>
      <c r="AW39" s="965"/>
      <c r="AX39" s="965"/>
      <c r="AY39" s="964" t="s">
        <v>41</v>
      </c>
      <c r="AZ39" s="969" t="s">
        <v>137</v>
      </c>
      <c r="BA39" s="965"/>
      <c r="BB39" s="965"/>
      <c r="BC39" s="965"/>
      <c r="BD39" s="445">
        <v>0.5</v>
      </c>
      <c r="BE39" s="445"/>
      <c r="BF39" s="964"/>
      <c r="BG39" s="965">
        <v>2</v>
      </c>
      <c r="BH39" s="965"/>
      <c r="BI39" s="965"/>
      <c r="BJ39" s="965">
        <v>2</v>
      </c>
      <c r="BK39" s="965"/>
      <c r="BL39" s="965"/>
      <c r="BM39" s="965">
        <v>1</v>
      </c>
      <c r="BN39" s="965">
        <v>4</v>
      </c>
      <c r="BO39" s="965"/>
      <c r="BP39" s="964" t="s">
        <v>136</v>
      </c>
      <c r="BQ39" s="971">
        <v>1</v>
      </c>
      <c r="BR39" s="970">
        <v>0.7</v>
      </c>
      <c r="BS39" s="964"/>
      <c r="BT39" s="420">
        <v>0.8</v>
      </c>
      <c r="BU39" s="420">
        <v>0.8</v>
      </c>
      <c r="BV39" s="422">
        <v>30</v>
      </c>
      <c r="BW39" s="420">
        <v>0.9</v>
      </c>
      <c r="BX39" s="445"/>
      <c r="BY39" s="445"/>
      <c r="BZ39" s="445"/>
      <c r="CA39" s="445"/>
      <c r="CB39" s="445"/>
      <c r="CC39" s="702"/>
      <c r="CD39" s="445"/>
      <c r="CE39" s="972" t="str">
        <f>IFERROR(WWWW[[#This Row],['#_Water sources passed]]/WWWW[[#This Row],['#_Water sources tested for fecal coliform ]],"no test")</f>
        <v>no test</v>
      </c>
      <c r="CF39" s="970" t="str">
        <f>IFERROR(WWWW[[#This Row],['#_Household passed]]/WWWW[[#This Row],['#_Household water samples tested for fecal coliform]],"no test")</f>
        <v>no test</v>
      </c>
      <c r="CG39" s="971" t="str">
        <f>IF(AND(WWWW[[#This Row],[% of water sources passed]]="no test",WWWW[[#This Row],[% Household passed]]="no test"),"No Test","Tested")</f>
        <v>No Test</v>
      </c>
      <c r="CH39" s="971">
        <f>WWWW[[#This Row],['#_Constructed/existing protected hand dug well]]-WWWW[[#This Row],['#_Non-functional protected hand dug well]]</f>
        <v>0</v>
      </c>
      <c r="CI39" s="971">
        <f>(WWWW[[#This Row],['#_Constructed/Existing tube wells/boreholes/handpumps_WASH_agency]]+WWWW[[#This Row],['#_Non-Cluster partner water tube-wells/boreholes/handpumps]])-WWWW[[#This Row],['#_Non-functional tube wells/boreholes/handpumps]]</f>
        <v>0</v>
      </c>
      <c r="CJ39" s="971">
        <f>WWWW[[#This Row],['#_Constructed/Existingwater storage tank with gravity fed reticulation system]]-WWWW[[#This Row],['#_Non-functional storage tank gravity fed reticulation system]]</f>
        <v>12</v>
      </c>
      <c r="CK39" s="971">
        <f>(WWWW[[#This Row],['#_Water_Liters_supplied_by_Water boating or water trucking]]/90)/15</f>
        <v>0</v>
      </c>
      <c r="CL39" s="971">
        <f>WWWW[[#This Row],['#_Water_Liters_from_Constructed/Existing water distribution system from river or natural spring]]/90/15</f>
        <v>0</v>
      </c>
      <c r="CM39" s="421">
        <f>IF(WWWW[[#This Row],['#_of water points in TLS/CFS]]*500&gt;WWWW[[#This Row],[Total PoP ]],WWWW[[#This Row],[Total PoP ]],WWWW[[#This Row],['#_of water points in TLS/CFS]]*500)</f>
        <v>0</v>
      </c>
      <c r="CN39" s="421">
        <f>IF(WWWW[[#This Row],['#_of water points in THF]]*500&gt;WWWW[[#This Row],[Total PoP ]],WWWW[[#This Row],[Total PoP ]],WWWW[[#This Row],['#_of water points in THF]]*500)</f>
        <v>0</v>
      </c>
      <c r="CO39" s="421"/>
      <c r="CP3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 s="970">
        <f>IF(WWWW[[#This Row],[Location Type 1]]="Village",WWWW[[#This Row],[Access to safe drinking water for Village]],WWWW[[#This Row],[Access to safe drinking water for Camp]])</f>
        <v>1</v>
      </c>
      <c r="CS39" s="968">
        <f>WWWW[[#This Row],[%Equitable and continuous access to sufficient quantity of safe drinking water]]*WWWW[[#This Row],[Total PoP ]]</f>
        <v>704</v>
      </c>
      <c r="CT39" s="970">
        <f>IF((WWWW[[#This Row],['#_Constructed/Existing protected/fenced ponds]]*250)/WWWW[[#This Row],[Total PoP ]]&gt;1,1,(WWWW[[#This Row],['#_Constructed/Existing protected/fenced ponds]]*250)/WWWW[[#This Row],[Total PoP ]])</f>
        <v>1</v>
      </c>
      <c r="CU39" s="968">
        <f>WWWW[[#This Row],[% Access to unimproved water points]]*WWWW[[#This Row],[Total PoP ]]</f>
        <v>704</v>
      </c>
      <c r="CV3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704</v>
      </c>
      <c r="CX39" s="968">
        <f>WWWW[[#This Row],[HRP1]]/500</f>
        <v>1.4079999999999999</v>
      </c>
      <c r="CY39" s="973">
        <f>1-WWWW[[#This Row],[% Equitable and continuous access to sufficient quantity of domestic water]]</f>
        <v>0</v>
      </c>
      <c r="CZ39" s="968">
        <f>WWWW[[#This Row],[%equitable and continuous access to sufficient quantity of safe drinking and domestic water''s GAP]]*WWWW[[#This Row],[Total PoP ]]</f>
        <v>0</v>
      </c>
      <c r="DA39" s="971">
        <f>IF(WWWW[[#This Row],[Total required water points]]-WWWW[[#This Row],['#Water points coverage]]&lt;0,0,WWWW[[#This Row],[Total required water points]]-WWWW[[#This Row],['#Water points coverage]])</f>
        <v>0</v>
      </c>
      <c r="DB39" s="971">
        <f>ROUND(IF(WWWW[[#This Row],[Total PoP ]]&lt;500,1,WWWW[[#This Row],[Total PoP ]]/500),0)</f>
        <v>1</v>
      </c>
      <c r="DC39" s="971">
        <f>(WWWW[[#This Row],['#_Constructed latrines_by_WASHAgencies]]+WWWW[[#This Row],['#_Non Cluster partner latrines]])-WWWW[[#This Row],['#_Non-functional latrines]]</f>
        <v>14</v>
      </c>
      <c r="DD39" s="619">
        <f>WWWW[[#This Row],[HRP2]]/WWWW[[#This Row],[Total PoP ]]</f>
        <v>0.39772727272727271</v>
      </c>
      <c r="DE3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3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 s="421">
        <f>IF(WWWW[[#This Row],['# of functional latrines in THF supported by WASH partners during the reporting period2]]="",0,WWWW[[#This Row],['# of functional latrines in THF supported by WASH partners during the reporting period2]]*50)</f>
        <v>25</v>
      </c>
      <c r="DI39" s="971">
        <f>ROUND(IF(WWWW[[#This Row],[Location Type 1]]="camp",WWWW[[#This Row],[Total PoP ]]/20,IF(WWWW[[#This Row],[Location Type 1]]="Temporary Location",WWWW[[#This Row],[Total PoP ]]/50,(WWWW[[#This Row],[Total PoP ]]/6))),0)</f>
        <v>35</v>
      </c>
      <c r="DJ39" s="971">
        <f>IF(WWWW[[#This Row],[Total required Latrines]]-(WWWW[[#This Row],['#_Constructed latrines_by_WASHAgencies]]+WWWW[[#This Row],['#_Non Cluster partner latrines]])&lt;0,0,WWWW[[#This Row],[Total required Latrines]]-(WWWW[[#This Row],['#_Constructed latrines_by_WASHAgencies]]+WWWW[[#This Row],['#_Non Cluster partner latrines]]))</f>
        <v>20</v>
      </c>
      <c r="DK39" s="973">
        <f>1-WWWW[[#This Row],[% people access to functioning Latrine]]</f>
        <v>0.60227272727272729</v>
      </c>
      <c r="DL39" s="972">
        <f>IF(OR(WWWW[[#This Row],['#_Non-functional latrines]]="",WWWW[[#This Row],['#_Non-functional latrines]]=0),0,WWWW[[#This Row],['#_Non-functional latrines]]/(WWWW[[#This Row],['#_Constructed latrines_by_WASHAgencies]]+WWWW[[#This Row],['#_Non Cluster partner latrines]]))</f>
        <v>6.6666666666666666E-2</v>
      </c>
      <c r="DM39" s="968">
        <f>IF(500*(WWWW[[#This Row],['#_male hygiene promoters]]+WWWW[[#This Row],['#_female hygiene promoters]])&gt;WWWW[[#This Row],[Total PoP ]],WWWW[[#This Row],[Total PoP ]],500*(WWWW[[#This Row],['#_male hygiene promoters]]+WWWW[[#This Row],['#_female hygiene promoters]]))</f>
        <v>500</v>
      </c>
      <c r="DN3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O3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 s="971">
        <f>IF(WWWW[[#This Row],['# People with access to soap]]&gt;WWWW[[#This Row],['# People with access to Sanity Pads]],WWWW[[#This Row],['# People with access to soap]],WWWW[[#This Row],['# People with access to Sanity Pads]])</f>
        <v>20</v>
      </c>
      <c r="DQ39"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9" s="973">
        <f>IF(WWWW[[#This Row],[HRP3]]/WWWW[[#This Row],[Total PoP ]]&gt;1,1,WWWW[[#This Row],[HRP3]]/WWWW[[#This Row],[Total PoP ]])</f>
        <v>0.71022727272727271</v>
      </c>
      <c r="DS39" s="972">
        <f>1-WWWW[[#This Row],[Hygiene Coverage%]]</f>
        <v>0.28977272727272729</v>
      </c>
      <c r="DT39" s="970">
        <f>WWWW[[#This Row],['# people reached by regular dedicated hygiene promotion_5]]/WWWW[[#This Row],[Total PoP ]]</f>
        <v>0.71022727272727271</v>
      </c>
      <c r="DU3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0.11764705882352941</v>
      </c>
      <c r="DV3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 s="971">
        <f>WWWW[[#This Row],['#_Constructed/Existing hand washing stations]]-WWWW[[#This Row],['#_Non-Functional_hand_washing_stations]]</f>
        <v>2</v>
      </c>
      <c r="DX39" s="968">
        <f>IF(WWWW[[#This Row],['# Functional hand washing stations during reporting period]]*20&gt;WWWW[[#This Row],[Total HH]],WWWW[[#This Row],[Total HH]],WWWW[[#This Row],['# Functional hand washing stations during reporting period]]*20)</f>
        <v>40</v>
      </c>
      <c r="DY39" s="968">
        <f>IF(WWWW[[#This Row],[Is sufficient soap available for TLS? (Yes/No)]]="yes",WWWW[[#This Row],['#_Constructed/Existing hand washing stations at TLS/CFS/THF]],0)</f>
        <v>0</v>
      </c>
      <c r="DZ39" s="425">
        <f>IF(WWWW[[#This Row],['# Functional hand washing stations during reporting period]]*100&gt;WWWW[[#This Row],[Total PoP ]],WWWW[[#This Row],[Total PoP ]],WWWW[[#This Row],['# Functional hand washing stations during reporting period]]*100)</f>
        <v>200</v>
      </c>
      <c r="EA39" s="425" t="str">
        <f>IF(OR(WWWW[[#This Row],['#_students at TLS_CFS]]="",WWWW[[#This Row],['#_students at TLS_CFS]]=0),"No","Yes")</f>
        <v>No</v>
      </c>
      <c r="EB39" s="619">
        <f>IF(WWWW[[#This Row],['#_of_affected_people_surveyed_who_report_feeling_informed_about_the_different_WASH_services_available_to_them]]="","",WWWW[[#This Row],['#_of_affected_people_surveyed_who_report_feeling_informed_about_the_different_WASH_services_available_to_them]]/WWWW[[#This Row],[Total PoP ]])</f>
        <v>4.261363636363636E-2</v>
      </c>
      <c r="EC39" s="570">
        <f>WWWW[[#This Row],[%_of_affected_people_surveyed_who_report_feeling_satistfied_with_the_latrine_design_and_sanitation_service]]*WWWW[[#This Row],[Total PoP ]]</f>
        <v>563.20000000000005</v>
      </c>
      <c r="ED39" s="570">
        <f>WWWW[[#This Row],[%_of_affected_people_surveyed_who_report_feeling_satistfied_with_the_water_point_design_and_water_service]]*WWWW[[#This Row],[Total PoP ]]</f>
        <v>563.20000000000005</v>
      </c>
      <c r="EE39" s="570">
        <f>WWWW[[#This Row],[%_of_complaints_received_that_result_in_timely_corrective_action_and_feedback_to_the_community]]*WWWW[[#This Row],[Total PoP ]]</f>
        <v>633.6</v>
      </c>
      <c r="EF3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633.6</v>
      </c>
      <c r="EG3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v>
      </c>
      <c r="EI39" s="964" t="str">
        <f>VLOOKUP(WWWW[[#This Row],[Site Name]],SiteDB6[[Site Name]:[CCCM Management]],6,FALSE)</f>
        <v>Yes</v>
      </c>
      <c r="EJ39" s="964" t="str">
        <f>VLOOKUP(WWWW[[#This Row],[Site Name]],SiteDB6[[Site Name]:[CCCM Focal Agency]],7,FALSE)</f>
        <v>Shalom</v>
      </c>
      <c r="EK39" s="964" t="str">
        <f>VLOOKUP(WWWW[[#This Row],[Site Name]],SiteDB6[[Site Name]:[Location Type 1]],9,FALSE)</f>
        <v>Camp</v>
      </c>
      <c r="EL39" s="964" t="str">
        <f>VLOOKUP(WWWW[[#This Row],[Site Name]],SiteDB6[[Site Name]:[Type of Accommodation]],10,FALSE)</f>
        <v>Camp</v>
      </c>
      <c r="EM39" s="964" t="str">
        <f>VLOOKUP(WWWW[[#This Row],[Site Name]],SiteDB6[[Site Name]:[Ethnic or GCA/NGCA]],11,FALSE)</f>
        <v>GCA</v>
      </c>
      <c r="EN39" s="964">
        <f>VLOOKUP(WWWW[[#This Row],[Site Name]],SiteDB6[[Site Name]:[Lat]],12,FALSE)</f>
        <v>25.889410000000002</v>
      </c>
      <c r="EO39" s="964">
        <f>VLOOKUP(WWWW[[#This Row],[Site Name]],SiteDB6[[Site Name]:[Long]],13,FALSE)</f>
        <v>98.131550000000004</v>
      </c>
      <c r="EP39" s="964" t="str">
        <f>VLOOKUP(WWWW[[#This Row],[Site Name]],SiteDB6[[Site Name]:[Pcode]],3,FALSE)</f>
        <v>MMR001CMP042</v>
      </c>
      <c r="EQ39" s="969" t="str">
        <f t="shared" si="1"/>
        <v>Covered</v>
      </c>
      <c r="ER39" s="969" t="s">
        <v>3147</v>
      </c>
      <c r="ES39" s="964">
        <f>VLOOKUP(WWWW[[#This Row],[Site Name]],SiteDB6[[Site Name]:[Pop
(Kachin/Shan-CCCM as of March 2023)]],16,FALSE)</f>
        <v>135</v>
      </c>
      <c r="ET39" s="964">
        <f>VLOOKUP(WWWW[[#This Row],[Site Name]],SiteDB6[[Site Name]:[Pop
(Kachin/Shan-CCCM as of March 2023)]],17,FALSE)</f>
        <v>704</v>
      </c>
    </row>
    <row r="40" spans="1:150" hidden="1">
      <c r="A40" s="962" t="s">
        <v>2977</v>
      </c>
      <c r="B40" s="962" t="s">
        <v>36</v>
      </c>
      <c r="C40" s="963" t="s">
        <v>36</v>
      </c>
      <c r="D40" s="963" t="s">
        <v>241</v>
      </c>
      <c r="E40" s="963" t="s">
        <v>37</v>
      </c>
      <c r="F40" s="963" t="s">
        <v>142</v>
      </c>
      <c r="G40" s="964" t="str">
        <f>VLOOKUP(WWWW[[#This Row],[Site Name]],SiteDB6[[Site Name]:[Location Type]],8,FALSE)</f>
        <v>Camp</v>
      </c>
      <c r="H40" s="963" t="s">
        <v>2875</v>
      </c>
      <c r="I40" s="965">
        <v>57</v>
      </c>
      <c r="J40" s="965">
        <v>344</v>
      </c>
      <c r="K40" s="966">
        <v>44414</v>
      </c>
      <c r="L40" s="967">
        <v>44778</v>
      </c>
      <c r="M40" s="965"/>
      <c r="N40" s="965">
        <v>3</v>
      </c>
      <c r="O40" s="965"/>
      <c r="P40" s="965"/>
      <c r="Q40" s="968" t="s">
        <v>41</v>
      </c>
      <c r="R40" s="965">
        <v>3</v>
      </c>
      <c r="S40" s="965">
        <v>4</v>
      </c>
      <c r="T40" s="445">
        <v>2</v>
      </c>
      <c r="U40" s="965"/>
      <c r="V40" s="965"/>
      <c r="W40" s="965">
        <v>1</v>
      </c>
      <c r="X40" s="965"/>
      <c r="Y40" s="965"/>
      <c r="Z40" s="965"/>
      <c r="AA40" s="965">
        <v>1</v>
      </c>
      <c r="AB40" s="965"/>
      <c r="AC40" s="965"/>
      <c r="AD40" s="965"/>
      <c r="AE40" s="965"/>
      <c r="AF40" s="965"/>
      <c r="AG40" s="965"/>
      <c r="AH40" s="965"/>
      <c r="AI40" s="965"/>
      <c r="AJ40" s="965"/>
      <c r="AK40" s="965"/>
      <c r="AL40" s="965"/>
      <c r="AM40" s="965">
        <v>4</v>
      </c>
      <c r="AN40" s="965"/>
      <c r="AO40" s="445"/>
      <c r="AP40" s="969"/>
      <c r="AQ40" s="965">
        <v>98</v>
      </c>
      <c r="AR40" s="965"/>
      <c r="AS40" s="970"/>
      <c r="AT40" s="965"/>
      <c r="AU40" s="965"/>
      <c r="AV40" s="965"/>
      <c r="AW40" s="965"/>
      <c r="AX40" s="965"/>
      <c r="AY40" s="964" t="s">
        <v>41</v>
      </c>
      <c r="AZ40" s="969" t="s">
        <v>137</v>
      </c>
      <c r="BA40" s="965">
        <v>3</v>
      </c>
      <c r="BB40" s="965"/>
      <c r="BC40" s="965"/>
      <c r="BD40" s="445"/>
      <c r="BE40" s="445"/>
      <c r="BF40" s="964"/>
      <c r="BG40" s="965">
        <v>1</v>
      </c>
      <c r="BH40" s="965"/>
      <c r="BI40" s="965"/>
      <c r="BJ40" s="965">
        <v>4</v>
      </c>
      <c r="BK40" s="965"/>
      <c r="BL40" s="965"/>
      <c r="BM40" s="965">
        <v>1</v>
      </c>
      <c r="BN40" s="965"/>
      <c r="BO40" s="965"/>
      <c r="BP40" s="964" t="s">
        <v>41</v>
      </c>
      <c r="BQ40" s="971"/>
      <c r="BR40" s="970"/>
      <c r="BS40" s="964"/>
      <c r="BT40" s="420"/>
      <c r="BU40" s="420"/>
      <c r="BV40" s="422"/>
      <c r="BW40" s="420"/>
      <c r="BX40" s="445"/>
      <c r="BY40" s="445"/>
      <c r="BZ40" s="445"/>
      <c r="CA40" s="445"/>
      <c r="CB40" s="445"/>
      <c r="CC40" s="702"/>
      <c r="CD40" s="445"/>
      <c r="CE40" s="972" t="str">
        <f>IFERROR(WWWW[[#This Row],['#_Water sources passed]]/WWWW[[#This Row],['#_Water sources tested for fecal coliform ]],"no test")</f>
        <v>no test</v>
      </c>
      <c r="CF40" s="970" t="str">
        <f>IFERROR(WWWW[[#This Row],['#_Household passed]]/WWWW[[#This Row],['#_Household water samples tested for fecal coliform]],"no test")</f>
        <v>no test</v>
      </c>
      <c r="CG40" s="971" t="str">
        <f>IF(AND(WWWW[[#This Row],[% of water sources passed]]="no test",WWWW[[#This Row],[% Household passed]]="no test"),"No Test","Tested")</f>
        <v>No Test</v>
      </c>
      <c r="CH40" s="971">
        <f>WWWW[[#This Row],['#_Constructed/existing protected hand dug well]]-WWWW[[#This Row],['#_Non-functional protected hand dug well]]</f>
        <v>2</v>
      </c>
      <c r="CI40" s="971">
        <f>(WWWW[[#This Row],['#_Constructed/Existing tube wells/boreholes/handpumps_WASH_agency]]+WWWW[[#This Row],['#_Non-Cluster partner water tube-wells/boreholes/handpumps]])-WWWW[[#This Row],['#_Non-functional tube wells/boreholes/handpumps]]</f>
        <v>1</v>
      </c>
      <c r="CJ40" s="971">
        <f>WWWW[[#This Row],['#_Constructed/Existingwater storage tank with gravity fed reticulation system]]-WWWW[[#This Row],['#_Non-functional storage tank gravity fed reticulation system]]</f>
        <v>1</v>
      </c>
      <c r="CK40" s="971">
        <f>(WWWW[[#This Row],['#_Water_Liters_supplied_by_Water boating or water trucking]]/90)/15</f>
        <v>0</v>
      </c>
      <c r="CL40" s="971">
        <f>WWWW[[#This Row],['#_Water_Liters_from_Constructed/Existing water distribution system from river or natural spring]]/90/15</f>
        <v>0</v>
      </c>
      <c r="CM40" s="421">
        <f>IF(WWWW[[#This Row],['#_of water points in TLS/CFS]]*500&gt;WWWW[[#This Row],[Total PoP ]],WWWW[[#This Row],[Total PoP ]],WWWW[[#This Row],['#_of water points in TLS/CFS]]*500)</f>
        <v>0</v>
      </c>
      <c r="CN40" s="421">
        <f>IF(WWWW[[#This Row],['#_of water points in THF]]*500&gt;WWWW[[#This Row],[Total PoP ]],WWWW[[#This Row],[Total PoP ]],WWWW[[#This Row],['#_of water points in THF]]*500)</f>
        <v>0</v>
      </c>
      <c r="CO40" s="421"/>
      <c r="CP4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 s="970">
        <f>IF(WWWW[[#This Row],[Location Type 1]]="Village",WWWW[[#This Row],[Access to safe drinking water for Village]],WWWW[[#This Row],[Access to safe drinking water for Camp]])</f>
        <v>1</v>
      </c>
      <c r="CS40" s="968">
        <f>WWWW[[#This Row],[%Equitable and continuous access to sufficient quantity of safe drinking water]]*WWWW[[#This Row],[Total PoP ]]</f>
        <v>344</v>
      </c>
      <c r="CT40" s="970">
        <f>IF((WWWW[[#This Row],['#_Constructed/Existing protected/fenced ponds]]*250)/WWWW[[#This Row],[Total PoP ]]&gt;1,1,(WWWW[[#This Row],['#_Constructed/Existing protected/fenced ponds]]*250)/WWWW[[#This Row],[Total PoP ]])</f>
        <v>0</v>
      </c>
      <c r="CU40" s="968">
        <f>WWWW[[#This Row],[% Access to unimproved water points]]*WWWW[[#This Row],[Total PoP ]]</f>
        <v>0</v>
      </c>
      <c r="CV4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X40" s="968">
        <f>WWWW[[#This Row],[HRP1]]/500</f>
        <v>0.68799999999999994</v>
      </c>
      <c r="CY40" s="973">
        <f>1-WWWW[[#This Row],[% Equitable and continuous access to sufficient quantity of domestic water]]</f>
        <v>0</v>
      </c>
      <c r="CZ40" s="968">
        <f>WWWW[[#This Row],[%equitable and continuous access to sufficient quantity of safe drinking and domestic water''s GAP]]*WWWW[[#This Row],[Total PoP ]]</f>
        <v>0</v>
      </c>
      <c r="DA40" s="971">
        <f>IF(WWWW[[#This Row],[Total required water points]]-WWWW[[#This Row],['#Water points coverage]]&lt;0,0,WWWW[[#This Row],[Total required water points]]-WWWW[[#This Row],['#Water points coverage]])</f>
        <v>0.31200000000000006</v>
      </c>
      <c r="DB40" s="971">
        <f>ROUND(IF(WWWW[[#This Row],[Total PoP ]]&lt;500,1,WWWW[[#This Row],[Total PoP ]]/500),0)</f>
        <v>1</v>
      </c>
      <c r="DC40" s="971">
        <f>(WWWW[[#This Row],['#_Constructed latrines_by_WASHAgencies]]+WWWW[[#This Row],['#_Non Cluster partner latrines]])-WWWW[[#This Row],['#_Non-functional latrines]]</f>
        <v>98</v>
      </c>
      <c r="DD40" s="619">
        <f>WWWW[[#This Row],[HRP2]]/WWWW[[#This Row],[Total PoP ]]</f>
        <v>1</v>
      </c>
      <c r="DE4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344</v>
      </c>
      <c r="DF4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 s="421">
        <f>IF(WWWW[[#This Row],['# of functional latrines in THF supported by WASH partners during the reporting period2]]="",0,WWWW[[#This Row],['# of functional latrines in THF supported by WASH partners during the reporting period2]]*50)</f>
        <v>0</v>
      </c>
      <c r="DI40" s="971">
        <f>ROUND(IF(WWWW[[#This Row],[Location Type 1]]="camp",WWWW[[#This Row],[Total PoP ]]/20,IF(WWWW[[#This Row],[Location Type 1]]="Temporary Location",WWWW[[#This Row],[Total PoP ]]/50,(WWWW[[#This Row],[Total PoP ]]/6))),0)</f>
        <v>17</v>
      </c>
      <c r="DJ40" s="971">
        <f>IF(WWWW[[#This Row],[Total required Latrines]]-(WWWW[[#This Row],['#_Constructed latrines_by_WASHAgencies]]+WWWW[[#This Row],['#_Non Cluster partner latrines]])&lt;0,0,WWWW[[#This Row],[Total required Latrines]]-(WWWW[[#This Row],['#_Constructed latrines_by_WASHAgencies]]+WWWW[[#This Row],['#_Non Cluster partner latrines]]))</f>
        <v>0</v>
      </c>
      <c r="DK40" s="973">
        <f>1-WWWW[[#This Row],[% people access to functioning Latrine]]</f>
        <v>0</v>
      </c>
      <c r="DL40" s="972">
        <f>IF(OR(WWWW[[#This Row],['#_Non-functional latrines]]="",WWWW[[#This Row],['#_Non-functional latrines]]=0),0,WWWW[[#This Row],['#_Non-functional latrines]]/(WWWW[[#This Row],['#_Constructed latrines_by_WASHAgencies]]+WWWW[[#This Row],['#_Non Cluster partner latrines]]))</f>
        <v>0</v>
      </c>
      <c r="DM40" s="968">
        <f>IF(500*(WWWW[[#This Row],['#_male hygiene promoters]]+WWWW[[#This Row],['#_female hygiene promoters]])&gt;WWWW[[#This Row],[Total PoP ]],WWWW[[#This Row],[Total PoP ]],500*(WWWW[[#This Row],['#_male hygiene promoters]]+WWWW[[#This Row],['#_female hygiene promoters]]))</f>
        <v>344</v>
      </c>
      <c r="DN4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 s="971">
        <f>IF(WWWW[[#This Row],['# People with access to soap]]&gt;WWWW[[#This Row],['# People with access to Sanity Pads]],WWWW[[#This Row],['# People with access to soap]],WWWW[[#This Row],['# People with access to Sanity Pads]])</f>
        <v>0</v>
      </c>
      <c r="DQ40" s="971">
        <f>IF(WWWW[[#This Row],['# people reached by regular dedicated hygiene promotion_5]]&gt;WWWW[[#This Row],['# People received regular supply of hygiene items_6]],WWWW[[#This Row],['# people reached by regular dedicated hygiene promotion_5]],WWWW[[#This Row],['# People received regular supply of hygiene items_6]])</f>
        <v>344</v>
      </c>
      <c r="DR40" s="973">
        <f>IF(WWWW[[#This Row],[HRP3]]/WWWW[[#This Row],[Total PoP ]]&gt;1,1,WWWW[[#This Row],[HRP3]]/WWWW[[#This Row],[Total PoP ]])</f>
        <v>1</v>
      </c>
      <c r="DS40" s="972">
        <f>1-WWWW[[#This Row],[Hygiene Coverage%]]</f>
        <v>0</v>
      </c>
      <c r="DT40" s="970">
        <f>WWWW[[#This Row],['# people reached by regular dedicated hygiene promotion_5]]/WWWW[[#This Row],[Total PoP ]]</f>
        <v>1</v>
      </c>
      <c r="DU4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 s="971">
        <f>WWWW[[#This Row],['#_Constructed/Existing hand washing stations]]-WWWW[[#This Row],['#_Non-Functional_hand_washing_stations]]</f>
        <v>1</v>
      </c>
      <c r="DX40" s="968">
        <f>IF(WWWW[[#This Row],['# Functional hand washing stations during reporting period]]*20&gt;WWWW[[#This Row],[Total HH]],WWWW[[#This Row],[Total HH]],WWWW[[#This Row],['# Functional hand washing stations during reporting period]]*20)</f>
        <v>20</v>
      </c>
      <c r="DY40" s="968">
        <f>IF(WWWW[[#This Row],[Is sufficient soap available for TLS? (Yes/No)]]="yes",WWWW[[#This Row],['#_Constructed/Existing hand washing stations at TLS/CFS/THF]],0)</f>
        <v>4</v>
      </c>
      <c r="DZ40" s="425">
        <f>IF(WWWW[[#This Row],['# Functional hand washing stations during reporting period]]*100&gt;WWWW[[#This Row],[Total PoP ]],WWWW[[#This Row],[Total PoP ]],WWWW[[#This Row],['# Functional hand washing stations during reporting period]]*100)</f>
        <v>100</v>
      </c>
      <c r="EA40" s="425" t="str">
        <f>IF(OR(WWWW[[#This Row],['#_students at TLS_CFS]]="",WWWW[[#This Row],['#_students at TLS_CFS]]=0),"No","Yes")</f>
        <v>No</v>
      </c>
      <c r="EB4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 s="570">
        <f>WWWW[[#This Row],[%_of_affected_people_surveyed_who_report_feeling_satistfied_with_the_latrine_design_and_sanitation_service]]*WWWW[[#This Row],[Total PoP ]]</f>
        <v>0</v>
      </c>
      <c r="ED40" s="570">
        <f>WWWW[[#This Row],[%_of_affected_people_surveyed_who_report_feeling_satistfied_with_the_water_point_design_and_water_service]]*WWWW[[#This Row],[Total PoP ]]</f>
        <v>0</v>
      </c>
      <c r="EE40" s="570">
        <f>WWWW[[#This Row],[%_of_complaints_received_that_result_in_timely_corrective_action_and_feedback_to_the_community]]*WWWW[[#This Row],[Total PoP ]]</f>
        <v>0</v>
      </c>
      <c r="EF4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 s="964">
        <f>VLOOKUP(WWWW[[#This Row],[Site Name]],SiteDB6[[Site Name]:[CCCM Management]],6,FALSE)</f>
        <v>0</v>
      </c>
      <c r="EJ40" s="964">
        <f>VLOOKUP(WWWW[[#This Row],[Site Name]],SiteDB6[[Site Name]:[CCCM Focal Agency]],7,FALSE)</f>
        <v>0</v>
      </c>
      <c r="EK40" s="964" t="str">
        <f>VLOOKUP(WWWW[[#This Row],[Site Name]],SiteDB6[[Site Name]:[Location Type 1]],9,FALSE)</f>
        <v>Camp</v>
      </c>
      <c r="EL40" s="964" t="str">
        <f>VLOOKUP(WWWW[[#This Row],[Site Name]],SiteDB6[[Site Name]:[Type of Accommodation]],10,FALSE)</f>
        <v>Camp</v>
      </c>
      <c r="EM40" s="964" t="str">
        <f>VLOOKUP(WWWW[[#This Row],[Site Name]],SiteDB6[[Site Name]:[Ethnic or GCA/NGCA]],11,FALSE)</f>
        <v>GCA</v>
      </c>
      <c r="EN40" s="964">
        <f>VLOOKUP(WWWW[[#This Row],[Site Name]],SiteDB6[[Site Name]:[Lat]],12,FALSE)</f>
        <v>25.428995</v>
      </c>
      <c r="EO40" s="964">
        <f>VLOOKUP(WWWW[[#This Row],[Site Name]],SiteDB6[[Site Name]:[Long]],13,FALSE)</f>
        <v>97.957487999999998</v>
      </c>
      <c r="EP40" s="964" t="str">
        <f>VLOOKUP(WWWW[[#This Row],[Site Name]],SiteDB6[[Site Name]:[Pcode]],3,FALSE)</f>
        <v>MMR001CMP279</v>
      </c>
      <c r="EQ40" s="969" t="str">
        <f t="shared" si="1"/>
        <v>Covered</v>
      </c>
      <c r="ER40" s="969" t="s">
        <v>3147</v>
      </c>
      <c r="ES40" s="964">
        <f>VLOOKUP(WWWW[[#This Row],[Site Name]],SiteDB6[[Site Name]:[Pop
(Kachin/Shan-CCCM as of March 2023)]],16,FALSE)</f>
        <v>38</v>
      </c>
      <c r="ET40" s="964">
        <f>VLOOKUP(WWWW[[#This Row],[Site Name]],SiteDB6[[Site Name]:[Pop
(Kachin/Shan-CCCM as of March 2023)]],17,FALSE)</f>
        <v>222</v>
      </c>
    </row>
    <row r="41" spans="1:150" hidden="1">
      <c r="A41" s="962" t="s">
        <v>2977</v>
      </c>
      <c r="B41" s="962" t="s">
        <v>309</v>
      </c>
      <c r="C41" s="963" t="s">
        <v>309</v>
      </c>
      <c r="D41" s="963"/>
      <c r="E41" s="963" t="s">
        <v>37</v>
      </c>
      <c r="F41" s="963" t="s">
        <v>142</v>
      </c>
      <c r="G41" s="964" t="str">
        <f>VLOOKUP(WWWW[[#This Row],[Site Name]],SiteDB6[[Site Name]:[Location Type]],8,FALSE)</f>
        <v>Camp</v>
      </c>
      <c r="H41" s="963" t="s">
        <v>3005</v>
      </c>
      <c r="I41" s="965">
        <v>25</v>
      </c>
      <c r="J41" s="965">
        <v>115</v>
      </c>
      <c r="K41" s="966"/>
      <c r="L41" s="967"/>
      <c r="M41" s="965"/>
      <c r="N41" s="965"/>
      <c r="O41" s="965"/>
      <c r="P41" s="965"/>
      <c r="Q41" s="968"/>
      <c r="R41" s="965"/>
      <c r="S41" s="965"/>
      <c r="T41" s="445"/>
      <c r="U41" s="965"/>
      <c r="V41" s="965"/>
      <c r="W41" s="965"/>
      <c r="X41" s="965"/>
      <c r="Y41" s="965"/>
      <c r="Z41" s="965"/>
      <c r="AA41" s="965"/>
      <c r="AB41" s="965"/>
      <c r="AC41" s="965"/>
      <c r="AD41" s="965"/>
      <c r="AE41" s="965"/>
      <c r="AF41" s="965"/>
      <c r="AG41" s="965"/>
      <c r="AH41" s="965"/>
      <c r="AI41" s="965"/>
      <c r="AJ41" s="965"/>
      <c r="AK41" s="965"/>
      <c r="AL41" s="965"/>
      <c r="AM41" s="965"/>
      <c r="AN41" s="965"/>
      <c r="AO41" s="445"/>
      <c r="AP41" s="969"/>
      <c r="AQ41" s="965"/>
      <c r="AR41" s="965"/>
      <c r="AS41" s="970"/>
      <c r="AT41" s="965"/>
      <c r="AU41" s="965"/>
      <c r="AV41" s="965"/>
      <c r="AW41" s="965"/>
      <c r="AX41" s="965"/>
      <c r="AY41" s="964"/>
      <c r="AZ41" s="969"/>
      <c r="BA41" s="965"/>
      <c r="BB41" s="965"/>
      <c r="BC41" s="965"/>
      <c r="BD41" s="445"/>
      <c r="BE41" s="445"/>
      <c r="BF41" s="964"/>
      <c r="BG41" s="965"/>
      <c r="BH41" s="965"/>
      <c r="BI41" s="965"/>
      <c r="BJ41" s="965"/>
      <c r="BK41" s="965"/>
      <c r="BL41" s="965"/>
      <c r="BM41" s="965"/>
      <c r="BN41" s="965"/>
      <c r="BO41" s="965"/>
      <c r="BP41" s="964"/>
      <c r="BQ41" s="971"/>
      <c r="BR41" s="970"/>
      <c r="BS41" s="964"/>
      <c r="BT41" s="420"/>
      <c r="BU41" s="420"/>
      <c r="BV41" s="422"/>
      <c r="BW41" s="420"/>
      <c r="BX41" s="445"/>
      <c r="BY41" s="445"/>
      <c r="BZ41" s="445"/>
      <c r="CA41" s="445"/>
      <c r="CB41" s="445"/>
      <c r="CC41" s="702"/>
      <c r="CD41" s="445"/>
      <c r="CE41" s="972" t="str">
        <f>IFERROR(WWWW[[#This Row],['#_Water sources passed]]/WWWW[[#This Row],['#_Water sources tested for fecal coliform ]],"no test")</f>
        <v>no test</v>
      </c>
      <c r="CF41" s="970" t="str">
        <f>IFERROR(WWWW[[#This Row],['#_Household passed]]/WWWW[[#This Row],['#_Household water samples tested for fecal coliform]],"no test")</f>
        <v>no test</v>
      </c>
      <c r="CG41" s="971" t="str">
        <f>IF(AND(WWWW[[#This Row],[% of water sources passed]]="no test",WWWW[[#This Row],[% Household passed]]="no test"),"No Test","Tested")</f>
        <v>No Test</v>
      </c>
      <c r="CH41" s="971">
        <f>WWWW[[#This Row],['#_Constructed/existing protected hand dug well]]-WWWW[[#This Row],['#_Non-functional protected hand dug well]]</f>
        <v>0</v>
      </c>
      <c r="CI41" s="971">
        <f>(WWWW[[#This Row],['#_Constructed/Existing tube wells/boreholes/handpumps_WASH_agency]]+WWWW[[#This Row],['#_Non-Cluster partner water tube-wells/boreholes/handpumps]])-WWWW[[#This Row],['#_Non-functional tube wells/boreholes/handpumps]]</f>
        <v>0</v>
      </c>
      <c r="CJ41" s="971">
        <f>WWWW[[#This Row],['#_Constructed/Existingwater storage tank with gravity fed reticulation system]]-WWWW[[#This Row],['#_Non-functional storage tank gravity fed reticulation system]]</f>
        <v>0</v>
      </c>
      <c r="CK41" s="971">
        <f>(WWWW[[#This Row],['#_Water_Liters_supplied_by_Water boating or water trucking]]/90)/15</f>
        <v>0</v>
      </c>
      <c r="CL41" s="971">
        <f>WWWW[[#This Row],['#_Water_Liters_from_Constructed/Existing water distribution system from river or natural spring]]/90/15</f>
        <v>0</v>
      </c>
      <c r="CM41" s="421">
        <f>IF(WWWW[[#This Row],['#_of water points in TLS/CFS]]*500&gt;WWWW[[#This Row],[Total PoP ]],WWWW[[#This Row],[Total PoP ]],WWWW[[#This Row],['#_of water points in TLS/CFS]]*500)</f>
        <v>0</v>
      </c>
      <c r="CN41" s="421">
        <f>IF(WWWW[[#This Row],['#_of water points in THF]]*500&gt;WWWW[[#This Row],[Total PoP ]],WWWW[[#This Row],[Total PoP ]],WWWW[[#This Row],['#_of water points in THF]]*500)</f>
        <v>0</v>
      </c>
      <c r="CO41" s="421"/>
      <c r="CP4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1" s="970">
        <f>IF(WWWW[[#This Row],[Location Type 1]]="Village",WWWW[[#This Row],[Access to safe drinking water for Village]],WWWW[[#This Row],[Access to safe drinking water for Camp]])</f>
        <v>0</v>
      </c>
      <c r="CS41" s="968">
        <f>WWWW[[#This Row],[%Equitable and continuous access to sufficient quantity of safe drinking water]]*WWWW[[#This Row],[Total PoP ]]</f>
        <v>0</v>
      </c>
      <c r="CT41" s="970">
        <f>IF((WWWW[[#This Row],['#_Constructed/Existing protected/fenced ponds]]*250)/WWWW[[#This Row],[Total PoP ]]&gt;1,1,(WWWW[[#This Row],['#_Constructed/Existing protected/fenced ponds]]*250)/WWWW[[#This Row],[Total PoP ]])</f>
        <v>0</v>
      </c>
      <c r="CU41" s="968">
        <f>WWWW[[#This Row],[% Access to unimproved water points]]*WWWW[[#This Row],[Total PoP ]]</f>
        <v>0</v>
      </c>
      <c r="CV4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1" s="968">
        <f>WWWW[[#This Row],[HRP1]]/500</f>
        <v>0</v>
      </c>
      <c r="CY41" s="973">
        <f>1-WWWW[[#This Row],[% Equitable and continuous access to sufficient quantity of domestic water]]</f>
        <v>1</v>
      </c>
      <c r="CZ41" s="968">
        <f>WWWW[[#This Row],[%equitable and continuous access to sufficient quantity of safe drinking and domestic water''s GAP]]*WWWW[[#This Row],[Total PoP ]]</f>
        <v>115</v>
      </c>
      <c r="DA41" s="971">
        <f>IF(WWWW[[#This Row],[Total required water points]]-WWWW[[#This Row],['#Water points coverage]]&lt;0,0,WWWW[[#This Row],[Total required water points]]-WWWW[[#This Row],['#Water points coverage]])</f>
        <v>1</v>
      </c>
      <c r="DB41" s="971">
        <f>ROUND(IF(WWWW[[#This Row],[Total PoP ]]&lt;500,1,WWWW[[#This Row],[Total PoP ]]/500),0)</f>
        <v>1</v>
      </c>
      <c r="DC41" s="971">
        <f>(WWWW[[#This Row],['#_Constructed latrines_by_WASHAgencies]]+WWWW[[#This Row],['#_Non Cluster partner latrines]])-WWWW[[#This Row],['#_Non-functional latrines]]</f>
        <v>0</v>
      </c>
      <c r="DD41" s="619">
        <f>WWWW[[#This Row],[HRP2]]/WWWW[[#This Row],[Total PoP ]]</f>
        <v>0</v>
      </c>
      <c r="DE4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 s="421">
        <f>IF(WWWW[[#This Row],['# of functional latrines in THF supported by WASH partners during the reporting period2]]="",0,WWWW[[#This Row],['# of functional latrines in THF supported by WASH partners during the reporting period2]]*50)</f>
        <v>0</v>
      </c>
      <c r="DI41" s="971">
        <f>ROUND(IF(WWWW[[#This Row],[Location Type 1]]="camp",WWWW[[#This Row],[Total PoP ]]/20,IF(WWWW[[#This Row],[Location Type 1]]="Temporary Location",WWWW[[#This Row],[Total PoP ]]/50,(WWWW[[#This Row],[Total PoP ]]/6))),0)</f>
        <v>6</v>
      </c>
      <c r="DJ41" s="971">
        <f>IF(WWWW[[#This Row],[Total required Latrines]]-(WWWW[[#This Row],['#_Constructed latrines_by_WASHAgencies]]+WWWW[[#This Row],['#_Non Cluster partner latrines]])&lt;0,0,WWWW[[#This Row],[Total required Latrines]]-(WWWW[[#This Row],['#_Constructed latrines_by_WASHAgencies]]+WWWW[[#This Row],['#_Non Cluster partner latrines]]))</f>
        <v>6</v>
      </c>
      <c r="DK41" s="973">
        <f>1-WWWW[[#This Row],[% people access to functioning Latrine]]</f>
        <v>1</v>
      </c>
      <c r="DL41" s="972">
        <f>IF(OR(WWWW[[#This Row],['#_Non-functional latrines]]="",WWWW[[#This Row],['#_Non-functional latrines]]=0),0,WWWW[[#This Row],['#_Non-functional latrines]]/(WWWW[[#This Row],['#_Constructed latrines_by_WASHAgencies]]+WWWW[[#This Row],['#_Non Cluster partner latrines]]))</f>
        <v>0</v>
      </c>
      <c r="DM41" s="968">
        <f>IF(500*(WWWW[[#This Row],['#_male hygiene promoters]]+WWWW[[#This Row],['#_female hygiene promoters]])&gt;WWWW[[#This Row],[Total PoP ]],WWWW[[#This Row],[Total PoP ]],500*(WWWW[[#This Row],['#_male hygiene promoters]]+WWWW[[#This Row],['#_female hygiene promoters]]))</f>
        <v>0</v>
      </c>
      <c r="DN4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1" s="971">
        <f>IF(WWWW[[#This Row],['# People with access to soap]]&gt;WWWW[[#This Row],['# People with access to Sanity Pads]],WWWW[[#This Row],['# People with access to soap]],WWWW[[#This Row],['# People with access to Sanity Pads]])</f>
        <v>0</v>
      </c>
      <c r="DQ4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1" s="973">
        <f>IF(WWWW[[#This Row],[HRP3]]/WWWW[[#This Row],[Total PoP ]]&gt;1,1,WWWW[[#This Row],[HRP3]]/WWWW[[#This Row],[Total PoP ]])</f>
        <v>0</v>
      </c>
      <c r="DS41" s="972">
        <f>1-WWWW[[#This Row],[Hygiene Coverage%]]</f>
        <v>1</v>
      </c>
      <c r="DT41" s="970">
        <f>WWWW[[#This Row],['# people reached by regular dedicated hygiene promotion_5]]/WWWW[[#This Row],[Total PoP ]]</f>
        <v>0</v>
      </c>
      <c r="DU4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1" s="971">
        <f>WWWW[[#This Row],['#_Constructed/Existing hand washing stations]]-WWWW[[#This Row],['#_Non-Functional_hand_washing_stations]]</f>
        <v>0</v>
      </c>
      <c r="DX41" s="968">
        <f>IF(WWWW[[#This Row],['# Functional hand washing stations during reporting period]]*20&gt;WWWW[[#This Row],[Total HH]],WWWW[[#This Row],[Total HH]],WWWW[[#This Row],['# Functional hand washing stations during reporting period]]*20)</f>
        <v>0</v>
      </c>
      <c r="DY41" s="968">
        <f>IF(WWWW[[#This Row],[Is sufficient soap available for TLS? (Yes/No)]]="yes",WWWW[[#This Row],['#_Constructed/Existing hand washing stations at TLS/CFS/THF]],0)</f>
        <v>0</v>
      </c>
      <c r="DZ41" s="425">
        <f>IF(WWWW[[#This Row],['# Functional hand washing stations during reporting period]]*100&gt;WWWW[[#This Row],[Total PoP ]],WWWW[[#This Row],[Total PoP ]],WWWW[[#This Row],['# Functional hand washing stations during reporting period]]*100)</f>
        <v>0</v>
      </c>
      <c r="EA41" s="425" t="str">
        <f>IF(OR(WWWW[[#This Row],['#_students at TLS_CFS]]="",WWWW[[#This Row],['#_students at TLS_CFS]]=0),"No","Yes")</f>
        <v>No</v>
      </c>
      <c r="EB4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1" s="570">
        <f>WWWW[[#This Row],[%_of_affected_people_surveyed_who_report_feeling_satistfied_with_the_latrine_design_and_sanitation_service]]*WWWW[[#This Row],[Total PoP ]]</f>
        <v>0</v>
      </c>
      <c r="ED41" s="570">
        <f>WWWW[[#This Row],[%_of_affected_people_surveyed_who_report_feeling_satistfied_with_the_water_point_design_and_water_service]]*WWWW[[#This Row],[Total PoP ]]</f>
        <v>0</v>
      </c>
      <c r="EE41" s="570">
        <f>WWWW[[#This Row],[%_of_complaints_received_that_result_in_timely_corrective_action_and_feedback_to_the_community]]*WWWW[[#This Row],[Total PoP ]]</f>
        <v>0</v>
      </c>
      <c r="EF4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 s="964">
        <f>VLOOKUP(WWWW[[#This Row],[Site Name]],SiteDB6[[Site Name]:[CCCM Management]],6,FALSE)</f>
        <v>0</v>
      </c>
      <c r="EJ41" s="964" t="str">
        <f>VLOOKUP(WWWW[[#This Row],[Site Name]],SiteDB6[[Site Name]:[CCCM Focal Agency]],7,FALSE)</f>
        <v>DFSS</v>
      </c>
      <c r="EK41" s="964" t="str">
        <f>VLOOKUP(WWWW[[#This Row],[Site Name]],SiteDB6[[Site Name]:[Location Type 1]],9,FALSE)</f>
        <v>Camp</v>
      </c>
      <c r="EL41" s="964" t="str">
        <f>VLOOKUP(WWWW[[#This Row],[Site Name]],SiteDB6[[Site Name]:[Type of Accommodation]],10,FALSE)</f>
        <v>Camp like setting</v>
      </c>
      <c r="EM41" s="964" t="str">
        <f>VLOOKUP(WWWW[[#This Row],[Site Name]],SiteDB6[[Site Name]:[Ethnic or GCA/NGCA]],11,FALSE)</f>
        <v>GCA</v>
      </c>
      <c r="EN41" s="964">
        <f>VLOOKUP(WWWW[[#This Row],[Site Name]],SiteDB6[[Site Name]:[Lat]],12,FALSE)</f>
        <v>0</v>
      </c>
      <c r="EO41" s="964">
        <f>VLOOKUP(WWWW[[#This Row],[Site Name]],SiteDB6[[Site Name]:[Long]],13,FALSE)</f>
        <v>0</v>
      </c>
      <c r="EP41" s="964" t="str">
        <f>VLOOKUP(WWWW[[#This Row],[Site Name]],SiteDB6[[Site Name]:[Pcode]],3,FALSE)</f>
        <v>MMR001CMP300</v>
      </c>
      <c r="EQ41" s="969" t="str">
        <f t="shared" si="1"/>
        <v>Notcovered</v>
      </c>
      <c r="ER41" s="969"/>
      <c r="ES41" s="964">
        <f>VLOOKUP(WWWW[[#This Row],[Site Name]],SiteDB6[[Site Name]:[Pop
(Kachin/Shan-CCCM as of March 2023)]],16,FALSE)</f>
        <v>25</v>
      </c>
      <c r="ET41" s="964">
        <f>VLOOKUP(WWWW[[#This Row],[Site Name]],SiteDB6[[Site Name]:[Pop
(Kachin/Shan-CCCM as of March 2023)]],17,FALSE)</f>
        <v>115</v>
      </c>
    </row>
    <row r="42" spans="1:150" hidden="1">
      <c r="A42" s="962" t="s">
        <v>2977</v>
      </c>
      <c r="B42" s="962" t="s">
        <v>242</v>
      </c>
      <c r="C42" s="963" t="s">
        <v>242</v>
      </c>
      <c r="D42" s="963" t="s">
        <v>3207</v>
      </c>
      <c r="E42" s="963" t="s">
        <v>37</v>
      </c>
      <c r="F42" s="963" t="s">
        <v>148</v>
      </c>
      <c r="G42" s="964" t="str">
        <f>VLOOKUP(WWWW[[#This Row],[Site Name]],SiteDB6[[Site Name]:[Location Type]],8,FALSE)</f>
        <v>Camp</v>
      </c>
      <c r="H42" s="963" t="s">
        <v>252</v>
      </c>
      <c r="I42" s="965">
        <v>91</v>
      </c>
      <c r="J42" s="965">
        <v>451</v>
      </c>
      <c r="K42" s="966">
        <v>44927</v>
      </c>
      <c r="L42" s="967">
        <v>45291</v>
      </c>
      <c r="M42" s="965">
        <v>199</v>
      </c>
      <c r="N42" s="965"/>
      <c r="O42" s="965">
        <v>1</v>
      </c>
      <c r="P42" s="965"/>
      <c r="Q42" s="968" t="s">
        <v>41</v>
      </c>
      <c r="R42" s="965">
        <v>3</v>
      </c>
      <c r="S42" s="965">
        <v>6</v>
      </c>
      <c r="T42" s="445">
        <v>1</v>
      </c>
      <c r="U42" s="965"/>
      <c r="V42" s="965"/>
      <c r="W42" s="965">
        <v>1</v>
      </c>
      <c r="X42" s="965"/>
      <c r="Y42" s="965"/>
      <c r="Z42" s="965"/>
      <c r="AA42" s="965"/>
      <c r="AB42" s="965"/>
      <c r="AC42" s="965"/>
      <c r="AD42" s="965"/>
      <c r="AE42" s="965">
        <v>1</v>
      </c>
      <c r="AF42" s="965"/>
      <c r="AG42" s="965"/>
      <c r="AH42" s="965">
        <v>1</v>
      </c>
      <c r="AI42" s="965"/>
      <c r="AJ42" s="965"/>
      <c r="AK42" s="965"/>
      <c r="AL42" s="965"/>
      <c r="AM42" s="965">
        <v>1</v>
      </c>
      <c r="AN42" s="965">
        <v>1</v>
      </c>
      <c r="AO42" s="445">
        <v>1</v>
      </c>
      <c r="AP42" s="969" t="s">
        <v>3228</v>
      </c>
      <c r="AQ42" s="965">
        <v>23</v>
      </c>
      <c r="AR42" s="965"/>
      <c r="AS42" s="970"/>
      <c r="AT42" s="965">
        <v>1</v>
      </c>
      <c r="AU42" s="965">
        <v>19</v>
      </c>
      <c r="AV42" s="965"/>
      <c r="AW42" s="965"/>
      <c r="AX42" s="965"/>
      <c r="AY42" s="964" t="s">
        <v>41</v>
      </c>
      <c r="AZ42" s="969" t="s">
        <v>137</v>
      </c>
      <c r="BA42" s="965">
        <v>1</v>
      </c>
      <c r="BB42" s="965"/>
      <c r="BC42" s="965"/>
      <c r="BD42" s="445"/>
      <c r="BE42" s="445">
        <v>3</v>
      </c>
      <c r="BF42" s="964" t="s">
        <v>3229</v>
      </c>
      <c r="BG42" s="965">
        <v>6</v>
      </c>
      <c r="BH42" s="965">
        <v>2</v>
      </c>
      <c r="BI42" s="965"/>
      <c r="BJ42" s="965">
        <v>3</v>
      </c>
      <c r="BK42" s="965"/>
      <c r="BL42" s="965"/>
      <c r="BM42" s="965">
        <v>1</v>
      </c>
      <c r="BN42" s="965">
        <v>91</v>
      </c>
      <c r="BO42" s="965">
        <v>131</v>
      </c>
      <c r="BP42" s="964" t="s">
        <v>136</v>
      </c>
      <c r="BQ42" s="971">
        <v>1</v>
      </c>
      <c r="BR42" s="970">
        <v>0.3</v>
      </c>
      <c r="BS42" s="964" t="s">
        <v>3230</v>
      </c>
      <c r="BT42" s="420">
        <v>0.4</v>
      </c>
      <c r="BU42" s="420">
        <v>0.4</v>
      </c>
      <c r="BV42" s="422">
        <v>20</v>
      </c>
      <c r="BW42" s="420">
        <v>0.5</v>
      </c>
      <c r="BX42" s="445"/>
      <c r="BY42" s="445"/>
      <c r="BZ42" s="445"/>
      <c r="CA42" s="445"/>
      <c r="CB42" s="445"/>
      <c r="CC42" s="702"/>
      <c r="CD42" s="445"/>
      <c r="CE42" s="972" t="str">
        <f>IFERROR(WWWW[[#This Row],['#_Water sources passed]]/WWWW[[#This Row],['#_Water sources tested for fecal coliform ]],"no test")</f>
        <v>no test</v>
      </c>
      <c r="CF42" s="970" t="str">
        <f>IFERROR(WWWW[[#This Row],['#_Household passed]]/WWWW[[#This Row],['#_Household water samples tested for fecal coliform]],"no test")</f>
        <v>no test</v>
      </c>
      <c r="CG42" s="971" t="str">
        <f>IF(AND(WWWW[[#This Row],[% of water sources passed]]="no test",WWWW[[#This Row],[% Household passed]]="no test"),"No Test","Tested")</f>
        <v>No Test</v>
      </c>
      <c r="CH42" s="971">
        <f>WWWW[[#This Row],['#_Constructed/existing protected hand dug well]]-WWWW[[#This Row],['#_Non-functional protected hand dug well]]</f>
        <v>1</v>
      </c>
      <c r="CI42" s="971">
        <f>(WWWW[[#This Row],['#_Constructed/Existing tube wells/boreholes/handpumps_WASH_agency]]+WWWW[[#This Row],['#_Non-Cluster partner water tube-wells/boreholes/handpumps]])-WWWW[[#This Row],['#_Non-functional tube wells/boreholes/handpumps]]</f>
        <v>1</v>
      </c>
      <c r="CJ42" s="971">
        <f>WWWW[[#This Row],['#_Constructed/Existingwater storage tank with gravity fed reticulation system]]-WWWW[[#This Row],['#_Non-functional storage tank gravity fed reticulation system]]</f>
        <v>0</v>
      </c>
      <c r="CK42" s="971">
        <f>(WWWW[[#This Row],['#_Water_Liters_supplied_by_Water boating or water trucking]]/90)/15</f>
        <v>0</v>
      </c>
      <c r="CL42" s="971">
        <f>WWWW[[#This Row],['#_Water_Liters_from_Constructed/Existing water distribution system from river or natural spring]]/90/15</f>
        <v>0</v>
      </c>
      <c r="CM42" s="421">
        <f>IF(WWWW[[#This Row],['#_of water points in TLS/CFS]]*500&gt;WWWW[[#This Row],[Total PoP ]],WWWW[[#This Row],[Total PoP ]],WWWW[[#This Row],['#_of water points in TLS/CFS]]*500)</f>
        <v>451</v>
      </c>
      <c r="CN42" s="421">
        <f>IF(WWWW[[#This Row],['#_of water points in THF]]*500&gt;WWWW[[#This Row],[Total PoP ]],WWWW[[#This Row],[Total PoP ]],WWWW[[#This Row],['#_of water points in THF]]*500)</f>
        <v>451</v>
      </c>
      <c r="CO42" s="421"/>
      <c r="CP4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2" s="970">
        <f>IF(WWWW[[#This Row],[Location Type 1]]="Village",WWWW[[#This Row],[Access to safe drinking water for Village]],WWWW[[#This Row],[Access to safe drinking water for Camp]])</f>
        <v>1</v>
      </c>
      <c r="CS42" s="968">
        <f>WWWW[[#This Row],[%Equitable and continuous access to sufficient quantity of safe drinking water]]*WWWW[[#This Row],[Total PoP ]]</f>
        <v>451</v>
      </c>
      <c r="CT42" s="970">
        <f>IF((WWWW[[#This Row],['#_Constructed/Existing protected/fenced ponds]]*250)/WWWW[[#This Row],[Total PoP ]]&gt;1,1,(WWWW[[#This Row],['#_Constructed/Existing protected/fenced ponds]]*250)/WWWW[[#This Row],[Total PoP ]])</f>
        <v>0.55432372505543237</v>
      </c>
      <c r="CU42" s="968">
        <f>WWWW[[#This Row],[% Access to unimproved water points]]*WWWW[[#This Row],[Total PoP ]]</f>
        <v>250</v>
      </c>
      <c r="CV4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451</v>
      </c>
      <c r="CX42" s="968">
        <f>WWWW[[#This Row],[HRP1]]/500</f>
        <v>0.90200000000000002</v>
      </c>
      <c r="CY42" s="973">
        <f>1-WWWW[[#This Row],[% Equitable and continuous access to sufficient quantity of domestic water]]</f>
        <v>0</v>
      </c>
      <c r="CZ42" s="968">
        <f>WWWW[[#This Row],[%equitable and continuous access to sufficient quantity of safe drinking and domestic water''s GAP]]*WWWW[[#This Row],[Total PoP ]]</f>
        <v>0</v>
      </c>
      <c r="DA42" s="971">
        <f>IF(WWWW[[#This Row],[Total required water points]]-WWWW[[#This Row],['#Water points coverage]]&lt;0,0,WWWW[[#This Row],[Total required water points]]-WWWW[[#This Row],['#Water points coverage]])</f>
        <v>9.7999999999999976E-2</v>
      </c>
      <c r="DB42" s="971">
        <f>ROUND(IF(WWWW[[#This Row],[Total PoP ]]&lt;500,1,WWWW[[#This Row],[Total PoP ]]/500),0)</f>
        <v>1</v>
      </c>
      <c r="DC42" s="971">
        <f>(WWWW[[#This Row],['#_Constructed latrines_by_WASHAgencies]]+WWWW[[#This Row],['#_Non Cluster partner latrines]])-WWWW[[#This Row],['#_Non-functional latrines]]</f>
        <v>22</v>
      </c>
      <c r="DD42" s="619">
        <f>WWWW[[#This Row],[HRP2]]/WWWW[[#This Row],[Total PoP ]]</f>
        <v>1</v>
      </c>
      <c r="DE4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451</v>
      </c>
      <c r="DF4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 s="421">
        <f>IF(WWWW[[#This Row],['# of functional latrines in THF supported by WASH partners during the reporting period2]]="",0,WWWW[[#This Row],['# of functional latrines in THF supported by WASH partners during the reporting period2]]*50)</f>
        <v>0</v>
      </c>
      <c r="DI42" s="971">
        <f>ROUND(IF(WWWW[[#This Row],[Location Type 1]]="camp",WWWW[[#This Row],[Total PoP ]]/20,IF(WWWW[[#This Row],[Location Type 1]]="Temporary Location",WWWW[[#This Row],[Total PoP ]]/50,(WWWW[[#This Row],[Total PoP ]]/6))),0)</f>
        <v>23</v>
      </c>
      <c r="DJ42" s="971">
        <f>IF(WWWW[[#This Row],[Total required Latrines]]-(WWWW[[#This Row],['#_Constructed latrines_by_WASHAgencies]]+WWWW[[#This Row],['#_Non Cluster partner latrines]])&lt;0,0,WWWW[[#This Row],[Total required Latrines]]-(WWWW[[#This Row],['#_Constructed latrines_by_WASHAgencies]]+WWWW[[#This Row],['#_Non Cluster partner latrines]]))</f>
        <v>0</v>
      </c>
      <c r="DK42" s="973">
        <f>1-WWWW[[#This Row],[% people access to functioning Latrine]]</f>
        <v>0</v>
      </c>
      <c r="DL42" s="972">
        <f>IF(OR(WWWW[[#This Row],['#_Non-functional latrines]]="",WWWW[[#This Row],['#_Non-functional latrines]]=0),0,WWWW[[#This Row],['#_Non-functional latrines]]/(WWWW[[#This Row],['#_Constructed latrines_by_WASHAgencies]]+WWWW[[#This Row],['#_Non Cluster partner latrines]]))</f>
        <v>4.3478260869565216E-2</v>
      </c>
      <c r="DM42" s="968">
        <f>IF(500*(WWWW[[#This Row],['#_male hygiene promoters]]+WWWW[[#This Row],['#_female hygiene promoters]])&gt;WWWW[[#This Row],[Total PoP ]],WWWW[[#This Row],[Total PoP ]],500*(WWWW[[#This Row],['#_male hygiene promoters]]+WWWW[[#This Row],['#_female hygiene promoters]]))</f>
        <v>451</v>
      </c>
      <c r="DN4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451</v>
      </c>
      <c r="DO4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131</v>
      </c>
      <c r="DP42" s="971">
        <f>IF(WWWW[[#This Row],['# People with access to soap]]&gt;WWWW[[#This Row],['# People with access to Sanity Pads]],WWWW[[#This Row],['# People with access to soap]],WWWW[[#This Row],['# People with access to Sanity Pads]])</f>
        <v>451</v>
      </c>
      <c r="DQ42" s="971">
        <f>IF(WWWW[[#This Row],['# people reached by regular dedicated hygiene promotion_5]]&gt;WWWW[[#This Row],['# People received regular supply of hygiene items_6]],WWWW[[#This Row],['# people reached by regular dedicated hygiene promotion_5]],WWWW[[#This Row],['# People received regular supply of hygiene items_6]])</f>
        <v>451</v>
      </c>
      <c r="DR42" s="973">
        <f>IF(WWWW[[#This Row],[HRP3]]/WWWW[[#This Row],[Total PoP ]]&gt;1,1,WWWW[[#This Row],[HRP3]]/WWWW[[#This Row],[Total PoP ]])</f>
        <v>1</v>
      </c>
      <c r="DS42" s="972">
        <f>1-WWWW[[#This Row],[Hygiene Coverage%]]</f>
        <v>0</v>
      </c>
      <c r="DT42" s="970">
        <f>WWWW[[#This Row],['# people reached by regular dedicated hygiene promotion_5]]/WWWW[[#This Row],[Total PoP ]]</f>
        <v>1</v>
      </c>
      <c r="DU4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2" s="971">
        <f>WWWW[[#This Row],['#_Constructed/Existing hand washing stations]]-WWWW[[#This Row],['#_Non-Functional_hand_washing_stations]]</f>
        <v>4</v>
      </c>
      <c r="DX42" s="968">
        <f>IF(WWWW[[#This Row],['# Functional hand washing stations during reporting period]]*20&gt;WWWW[[#This Row],[Total HH]],WWWW[[#This Row],[Total HH]],WWWW[[#This Row],['# Functional hand washing stations during reporting period]]*20)</f>
        <v>80</v>
      </c>
      <c r="DY42" s="968">
        <f>IF(WWWW[[#This Row],[Is sufficient soap available for TLS? (Yes/No)]]="yes",WWWW[[#This Row],['#_Constructed/Existing hand washing stations at TLS/CFS/THF]],0)</f>
        <v>0</v>
      </c>
      <c r="DZ42" s="425">
        <f>IF(WWWW[[#This Row],['# Functional hand washing stations during reporting period]]*100&gt;WWWW[[#This Row],[Total PoP ]],WWWW[[#This Row],[Total PoP ]],WWWW[[#This Row],['# Functional hand washing stations during reporting period]]*100)</f>
        <v>400</v>
      </c>
      <c r="EA42" s="425" t="str">
        <f>IF(OR(WWWW[[#This Row],['#_students at TLS_CFS]]="",WWWW[[#This Row],['#_students at TLS_CFS]]=0),"No","Yes")</f>
        <v>Yes</v>
      </c>
      <c r="EB42" s="619">
        <f>IF(WWWW[[#This Row],['#_of_affected_people_surveyed_who_report_feeling_informed_about_the_different_WASH_services_available_to_them]]="","",WWWW[[#This Row],['#_of_affected_people_surveyed_who_report_feeling_informed_about_the_different_WASH_services_available_to_them]]/WWWW[[#This Row],[Total PoP ]])</f>
        <v>4.4345898004434593E-2</v>
      </c>
      <c r="EC42" s="570">
        <f>WWWW[[#This Row],[%_of_affected_people_surveyed_who_report_feeling_satistfied_with_the_latrine_design_and_sanitation_service]]*WWWW[[#This Row],[Total PoP ]]</f>
        <v>180.4</v>
      </c>
      <c r="ED42" s="570">
        <f>WWWW[[#This Row],[%_of_affected_people_surveyed_who_report_feeling_satistfied_with_the_water_point_design_and_water_service]]*WWWW[[#This Row],[Total PoP ]]</f>
        <v>180.4</v>
      </c>
      <c r="EE42" s="570">
        <f>WWWW[[#This Row],[%_of_complaints_received_that_result_in_timely_corrective_action_and_feedback_to_the_community]]*WWWW[[#This Row],[Total PoP ]]</f>
        <v>225.5</v>
      </c>
      <c r="EF4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225.5</v>
      </c>
      <c r="EG4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451</v>
      </c>
      <c r="EH4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451</v>
      </c>
      <c r="EI42" s="964" t="str">
        <f>VLOOKUP(WWWW[[#This Row],[Site Name]],SiteDB6[[Site Name]:[CCCM Management]],6,FALSE)</f>
        <v>Yes</v>
      </c>
      <c r="EJ42" s="964" t="str">
        <f>VLOOKUP(WWWW[[#This Row],[Site Name]],SiteDB6[[Site Name]:[CCCM Focal Agency]],7,FALSE)</f>
        <v>Shalom</v>
      </c>
      <c r="EK42" s="964" t="str">
        <f>VLOOKUP(WWWW[[#This Row],[Site Name]],SiteDB6[[Site Name]:[Location Type 1]],9,FALSE)</f>
        <v>Camp</v>
      </c>
      <c r="EL42" s="964" t="str">
        <f>VLOOKUP(WWWW[[#This Row],[Site Name]],SiteDB6[[Site Name]:[Type of Accommodation]],10,FALSE)</f>
        <v>Camp</v>
      </c>
      <c r="EM42" s="964" t="str">
        <f>VLOOKUP(WWWW[[#This Row],[Site Name]],SiteDB6[[Site Name]:[Ethnic or GCA/NGCA]],11,FALSE)</f>
        <v>GCA</v>
      </c>
      <c r="EN42" s="964">
        <f>VLOOKUP(WWWW[[#This Row],[Site Name]],SiteDB6[[Site Name]:[Lat]],12,FALSE)</f>
        <v>25.637309999999999</v>
      </c>
      <c r="EO42" s="964">
        <f>VLOOKUP(WWWW[[#This Row],[Site Name]],SiteDB6[[Site Name]:[Long]],13,FALSE)</f>
        <v>96.35257</v>
      </c>
      <c r="EP42" s="964" t="str">
        <f>VLOOKUP(WWWW[[#This Row],[Site Name]],SiteDB6[[Site Name]:[Pcode]],3,FALSE)</f>
        <v>MMR001CMP174</v>
      </c>
      <c r="EQ42" s="969" t="str">
        <f t="shared" si="1"/>
        <v>Covered</v>
      </c>
      <c r="ER42" s="969" t="s">
        <v>3147</v>
      </c>
      <c r="ES42" s="964">
        <f>VLOOKUP(WWWW[[#This Row],[Site Name]],SiteDB6[[Site Name]:[Pop
(Kachin/Shan-CCCM as of March 2023)]],16,FALSE)</f>
        <v>91</v>
      </c>
      <c r="ET42" s="964">
        <f>VLOOKUP(WWWW[[#This Row],[Site Name]],SiteDB6[[Site Name]:[Pop
(Kachin/Shan-CCCM as of March 2023)]],17,FALSE)</f>
        <v>450</v>
      </c>
    </row>
    <row r="43" spans="1:150" hidden="1">
      <c r="A43" s="962" t="s">
        <v>2977</v>
      </c>
      <c r="B43" s="963" t="s">
        <v>141</v>
      </c>
      <c r="C43" s="963" t="s">
        <v>141</v>
      </c>
      <c r="D43" s="963" t="s">
        <v>241</v>
      </c>
      <c r="E43" s="963" t="s">
        <v>37</v>
      </c>
      <c r="F43" s="963" t="s">
        <v>152</v>
      </c>
      <c r="G43" s="964" t="str">
        <f>VLOOKUP(WWWW[[#This Row],[Site Name]],SiteDB6[[Site Name]:[Location Type]],8,FALSE)</f>
        <v>Camp</v>
      </c>
      <c r="H43" s="963" t="s">
        <v>1612</v>
      </c>
      <c r="I43" s="965">
        <v>112</v>
      </c>
      <c r="J43" s="965">
        <v>607</v>
      </c>
      <c r="K43" s="966">
        <v>44811</v>
      </c>
      <c r="L43" s="967">
        <v>45175</v>
      </c>
      <c r="M43" s="965"/>
      <c r="N43" s="965">
        <v>2</v>
      </c>
      <c r="O43" s="965"/>
      <c r="P43" s="965"/>
      <c r="Q43" s="968" t="s">
        <v>41</v>
      </c>
      <c r="R43" s="965">
        <v>1</v>
      </c>
      <c r="S43" s="965">
        <v>2</v>
      </c>
      <c r="T43" s="445">
        <v>5</v>
      </c>
      <c r="U43" s="965"/>
      <c r="V43" s="965"/>
      <c r="W43" s="965">
        <v>3</v>
      </c>
      <c r="X43" s="965"/>
      <c r="Y43" s="965"/>
      <c r="Z43" s="965"/>
      <c r="AA43" s="965"/>
      <c r="AB43" s="965"/>
      <c r="AC43" s="965"/>
      <c r="AD43" s="965"/>
      <c r="AE43" s="965"/>
      <c r="AF43" s="965"/>
      <c r="AG43" s="965"/>
      <c r="AH43" s="965">
        <v>2</v>
      </c>
      <c r="AI43" s="965"/>
      <c r="AJ43" s="965"/>
      <c r="AK43" s="965"/>
      <c r="AL43" s="965"/>
      <c r="AM43" s="965"/>
      <c r="AN43" s="965"/>
      <c r="AO43" s="445"/>
      <c r="AP43" s="969"/>
      <c r="AQ43" s="965">
        <v>20</v>
      </c>
      <c r="AR43" s="965"/>
      <c r="AS43" s="970"/>
      <c r="AT43" s="965"/>
      <c r="AU43" s="965"/>
      <c r="AV43" s="965"/>
      <c r="AW43" s="965"/>
      <c r="AX43" s="965">
        <v>12</v>
      </c>
      <c r="AY43" s="964" t="s">
        <v>41</v>
      </c>
      <c r="AZ43" s="969" t="s">
        <v>137</v>
      </c>
      <c r="BA43" s="965"/>
      <c r="BB43" s="965"/>
      <c r="BC43" s="965"/>
      <c r="BD43" s="445"/>
      <c r="BE43" s="445"/>
      <c r="BF43" s="964"/>
      <c r="BG43" s="965">
        <v>4</v>
      </c>
      <c r="BH43" s="965"/>
      <c r="BI43" s="965"/>
      <c r="BJ43" s="965">
        <v>5</v>
      </c>
      <c r="BK43" s="965"/>
      <c r="BL43" s="965">
        <v>2</v>
      </c>
      <c r="BM43" s="965">
        <v>1</v>
      </c>
      <c r="BN43" s="965"/>
      <c r="BO43" s="965"/>
      <c r="BP43" s="964"/>
      <c r="BQ43" s="971"/>
      <c r="BR43" s="970"/>
      <c r="BS43" s="964"/>
      <c r="BT43" s="420"/>
      <c r="BU43" s="420"/>
      <c r="BV43" s="422"/>
      <c r="BW43" s="420"/>
      <c r="BX43" s="445"/>
      <c r="BY43" s="445"/>
      <c r="BZ43" s="445"/>
      <c r="CA43" s="445"/>
      <c r="CB43" s="445"/>
      <c r="CC43" s="702"/>
      <c r="CD43" s="445"/>
      <c r="CE43" s="972" t="str">
        <f>IFERROR(WWWW[[#This Row],['#_Water sources passed]]/WWWW[[#This Row],['#_Water sources tested for fecal coliform ]],"no test")</f>
        <v>no test</v>
      </c>
      <c r="CF43" s="970" t="str">
        <f>IFERROR(WWWW[[#This Row],['#_Household passed]]/WWWW[[#This Row],['#_Household water samples tested for fecal coliform]],"no test")</f>
        <v>no test</v>
      </c>
      <c r="CG43" s="971" t="str">
        <f>IF(AND(WWWW[[#This Row],[% of water sources passed]]="no test",WWWW[[#This Row],[% Household passed]]="no test"),"No Test","Tested")</f>
        <v>No Test</v>
      </c>
      <c r="CH43" s="971">
        <f>WWWW[[#This Row],['#_Constructed/existing protected hand dug well]]-WWWW[[#This Row],['#_Non-functional protected hand dug well]]</f>
        <v>5</v>
      </c>
      <c r="CI43" s="971">
        <f>(WWWW[[#This Row],['#_Constructed/Existing tube wells/boreholes/handpumps_WASH_agency]]+WWWW[[#This Row],['#_Non-Cluster partner water tube-wells/boreholes/handpumps]])-WWWW[[#This Row],['#_Non-functional tube wells/boreholes/handpumps]]</f>
        <v>3</v>
      </c>
      <c r="CJ43" s="971">
        <f>WWWW[[#This Row],['#_Constructed/Existingwater storage tank with gravity fed reticulation system]]-WWWW[[#This Row],['#_Non-functional storage tank gravity fed reticulation system]]</f>
        <v>0</v>
      </c>
      <c r="CK43" s="971">
        <f>(WWWW[[#This Row],['#_Water_Liters_supplied_by_Water boating or water trucking]]/90)/15</f>
        <v>0</v>
      </c>
      <c r="CL43" s="971">
        <f>WWWW[[#This Row],['#_Water_Liters_from_Constructed/Existing water distribution system from river or natural spring]]/90/15</f>
        <v>0</v>
      </c>
      <c r="CM43" s="421">
        <f>IF(WWWW[[#This Row],['#_of water points in TLS/CFS]]*500&gt;WWWW[[#This Row],[Total PoP ]],WWWW[[#This Row],[Total PoP ]],WWWW[[#This Row],['#_of water points in TLS/CFS]]*500)</f>
        <v>0</v>
      </c>
      <c r="CN43" s="421">
        <f>IF(WWWW[[#This Row],['#_of water points in THF]]*500&gt;WWWW[[#This Row],[Total PoP ]],WWWW[[#This Row],[Total PoP ]],WWWW[[#This Row],['#_of water points in THF]]*500)</f>
        <v>0</v>
      </c>
      <c r="CO43" s="421"/>
      <c r="CP4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3" s="970">
        <f>IF(WWWW[[#This Row],[Location Type 1]]="Village",WWWW[[#This Row],[Access to safe drinking water for Village]],WWWW[[#This Row],[Access to safe drinking water for Camp]])</f>
        <v>1</v>
      </c>
      <c r="CS43" s="968">
        <f>WWWW[[#This Row],[%Equitable and continuous access to sufficient quantity of safe drinking water]]*WWWW[[#This Row],[Total PoP ]]</f>
        <v>607</v>
      </c>
      <c r="CT43" s="970">
        <f>IF((WWWW[[#This Row],['#_Constructed/Existing protected/fenced ponds]]*250)/WWWW[[#This Row],[Total PoP ]]&gt;1,1,(WWWW[[#This Row],['#_Constructed/Existing protected/fenced ponds]]*250)/WWWW[[#This Row],[Total PoP ]])</f>
        <v>0</v>
      </c>
      <c r="CU43" s="968">
        <f>WWWW[[#This Row],[% Access to unimproved water points]]*WWWW[[#This Row],[Total PoP ]]</f>
        <v>0</v>
      </c>
      <c r="CV4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607</v>
      </c>
      <c r="CX43" s="968">
        <f>WWWW[[#This Row],[HRP1]]/500</f>
        <v>1.214</v>
      </c>
      <c r="CY43" s="973">
        <f>1-WWWW[[#This Row],[% Equitable and continuous access to sufficient quantity of domestic water]]</f>
        <v>0</v>
      </c>
      <c r="CZ43" s="968">
        <f>WWWW[[#This Row],[%equitable and continuous access to sufficient quantity of safe drinking and domestic water''s GAP]]*WWWW[[#This Row],[Total PoP ]]</f>
        <v>0</v>
      </c>
      <c r="DA43" s="971">
        <f>IF(WWWW[[#This Row],[Total required water points]]-WWWW[[#This Row],['#Water points coverage]]&lt;0,0,WWWW[[#This Row],[Total required water points]]-WWWW[[#This Row],['#Water points coverage]])</f>
        <v>0</v>
      </c>
      <c r="DB43" s="971">
        <f>ROUND(IF(WWWW[[#This Row],[Total PoP ]]&lt;500,1,WWWW[[#This Row],[Total PoP ]]/500),0)</f>
        <v>1</v>
      </c>
      <c r="DC43" s="971">
        <f>(WWWW[[#This Row],['#_Constructed latrines_by_WASHAgencies]]+WWWW[[#This Row],['#_Non Cluster partner latrines]])-WWWW[[#This Row],['#_Non-functional latrines]]</f>
        <v>20</v>
      </c>
      <c r="DD43" s="619">
        <f>WWWW[[#This Row],[HRP2]]/WWWW[[#This Row],[Total PoP ]]</f>
        <v>0.65897858319604607</v>
      </c>
      <c r="DE4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400</v>
      </c>
      <c r="DF4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 s="421">
        <f>IF(WWWW[[#This Row],['# of functional latrines in THF supported by WASH partners during the reporting period2]]="",0,WWWW[[#This Row],['# of functional latrines in THF supported by WASH partners during the reporting period2]]*50)</f>
        <v>0</v>
      </c>
      <c r="DI43" s="971">
        <f>ROUND(IF(WWWW[[#This Row],[Location Type 1]]="camp",WWWW[[#This Row],[Total PoP ]]/20,IF(WWWW[[#This Row],[Location Type 1]]="Temporary Location",WWWW[[#This Row],[Total PoP ]]/50,(WWWW[[#This Row],[Total PoP ]]/6))),0)</f>
        <v>30</v>
      </c>
      <c r="DJ43" s="971">
        <f>IF(WWWW[[#This Row],[Total required Latrines]]-(WWWW[[#This Row],['#_Constructed latrines_by_WASHAgencies]]+WWWW[[#This Row],['#_Non Cluster partner latrines]])&lt;0,0,WWWW[[#This Row],[Total required Latrines]]-(WWWW[[#This Row],['#_Constructed latrines_by_WASHAgencies]]+WWWW[[#This Row],['#_Non Cluster partner latrines]]))</f>
        <v>10</v>
      </c>
      <c r="DK43" s="973">
        <f>1-WWWW[[#This Row],[% people access to functioning Latrine]]</f>
        <v>0.34102141680395393</v>
      </c>
      <c r="DL43" s="972">
        <f>IF(OR(WWWW[[#This Row],['#_Non-functional latrines]]="",WWWW[[#This Row],['#_Non-functional latrines]]=0),0,WWWW[[#This Row],['#_Non-functional latrines]]/(WWWW[[#This Row],['#_Constructed latrines_by_WASHAgencies]]+WWWW[[#This Row],['#_Non Cluster partner latrines]]))</f>
        <v>0</v>
      </c>
      <c r="DM43" s="968">
        <f>IF(500*(WWWW[[#This Row],['#_male hygiene promoters]]+WWWW[[#This Row],['#_female hygiene promoters]])&gt;WWWW[[#This Row],[Total PoP ]],WWWW[[#This Row],[Total PoP ]],500*(WWWW[[#This Row],['#_male hygiene promoters]]+WWWW[[#This Row],['#_female hygiene promoters]]))</f>
        <v>607</v>
      </c>
      <c r="DN4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 s="971">
        <f>IF(WWWW[[#This Row],['# People with access to soap]]&gt;WWWW[[#This Row],['# People with access to Sanity Pads]],WWWW[[#This Row],['# People with access to soap]],WWWW[[#This Row],['# People with access to Sanity Pads]])</f>
        <v>0</v>
      </c>
      <c r="DQ43" s="971">
        <f>IF(WWWW[[#This Row],['# people reached by regular dedicated hygiene promotion_5]]&gt;WWWW[[#This Row],['# People received regular supply of hygiene items_6]],WWWW[[#This Row],['# people reached by regular dedicated hygiene promotion_5]],WWWW[[#This Row],['# People received regular supply of hygiene items_6]])</f>
        <v>607</v>
      </c>
      <c r="DR43" s="973">
        <f>IF(WWWW[[#This Row],[HRP3]]/WWWW[[#This Row],[Total PoP ]]&gt;1,1,WWWW[[#This Row],[HRP3]]/WWWW[[#This Row],[Total PoP ]])</f>
        <v>1</v>
      </c>
      <c r="DS43" s="972">
        <f>1-WWWW[[#This Row],[Hygiene Coverage%]]</f>
        <v>0</v>
      </c>
      <c r="DT43" s="970">
        <f>WWWW[[#This Row],['# people reached by regular dedicated hygiene promotion_5]]/WWWW[[#This Row],[Total PoP ]]</f>
        <v>1</v>
      </c>
      <c r="DU4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 s="971">
        <f>WWWW[[#This Row],['#_Constructed/Existing hand washing stations]]-WWWW[[#This Row],['#_Non-Functional_hand_washing_stations]]</f>
        <v>4</v>
      </c>
      <c r="DX43" s="968">
        <f>IF(WWWW[[#This Row],['# Functional hand washing stations during reporting period]]*20&gt;WWWW[[#This Row],[Total HH]],WWWW[[#This Row],[Total HH]],WWWW[[#This Row],['# Functional hand washing stations during reporting period]]*20)</f>
        <v>80</v>
      </c>
      <c r="DY43" s="968">
        <f>IF(WWWW[[#This Row],[Is sufficient soap available for TLS? (Yes/No)]]="yes",WWWW[[#This Row],['#_Constructed/Existing hand washing stations at TLS/CFS/THF]],0)</f>
        <v>0</v>
      </c>
      <c r="DZ43" s="425">
        <f>IF(WWWW[[#This Row],['# Functional hand washing stations during reporting period]]*100&gt;WWWW[[#This Row],[Total PoP ]],WWWW[[#This Row],[Total PoP ]],WWWW[[#This Row],['# Functional hand washing stations during reporting period]]*100)</f>
        <v>400</v>
      </c>
      <c r="EA43" s="425" t="str">
        <f>IF(OR(WWWW[[#This Row],['#_students at TLS_CFS]]="",WWWW[[#This Row],['#_students at TLS_CFS]]=0),"No","Yes")</f>
        <v>No</v>
      </c>
      <c r="EB4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 s="570">
        <f>WWWW[[#This Row],[%_of_affected_people_surveyed_who_report_feeling_satistfied_with_the_latrine_design_and_sanitation_service]]*WWWW[[#This Row],[Total PoP ]]</f>
        <v>0</v>
      </c>
      <c r="ED43" s="570">
        <f>WWWW[[#This Row],[%_of_affected_people_surveyed_who_report_feeling_satistfied_with_the_water_point_design_and_water_service]]*WWWW[[#This Row],[Total PoP ]]</f>
        <v>0</v>
      </c>
      <c r="EE43" s="570">
        <f>WWWW[[#This Row],[%_of_complaints_received_that_result_in_timely_corrective_action_and_feedback_to_the_community]]*WWWW[[#This Row],[Total PoP ]]</f>
        <v>0</v>
      </c>
      <c r="EF4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 s="964">
        <f>VLOOKUP(WWWW[[#This Row],[Site Name]],SiteDB6[[Site Name]:[CCCM Management]],6,FALSE)</f>
        <v>0</v>
      </c>
      <c r="EJ43" s="964" t="str">
        <f>VLOOKUP(WWWW[[#This Row],[Site Name]],SiteDB6[[Site Name]:[CCCM Focal Agency]],7,FALSE)</f>
        <v>KBC-MYT</v>
      </c>
      <c r="EK43" s="964" t="str">
        <f>VLOOKUP(WWWW[[#This Row],[Site Name]],SiteDB6[[Site Name]:[Location Type 1]],9,FALSE)</f>
        <v>Camp</v>
      </c>
      <c r="EL43" s="964" t="str">
        <f>VLOOKUP(WWWW[[#This Row],[Site Name]],SiteDB6[[Site Name]:[Type of Accommodation]],10,FALSE)</f>
        <v>Camp</v>
      </c>
      <c r="EM43" s="964" t="str">
        <f>VLOOKUP(WWWW[[#This Row],[Site Name]],SiteDB6[[Site Name]:[Ethnic or GCA/NGCA]],11,FALSE)</f>
        <v>GCA</v>
      </c>
      <c r="EN43" s="964">
        <f>VLOOKUP(WWWW[[#This Row],[Site Name]],SiteDB6[[Site Name]:[Lat]],12,FALSE)</f>
        <v>25.2226</v>
      </c>
      <c r="EO43" s="964">
        <f>VLOOKUP(WWWW[[#This Row],[Site Name]],SiteDB6[[Site Name]:[Long]],13,FALSE)</f>
        <v>97.012299999999996</v>
      </c>
      <c r="EP43" s="964" t="str">
        <f>VLOOKUP(WWWW[[#This Row],[Site Name]],SiteDB6[[Site Name]:[Pcode]],3,FALSE)</f>
        <v>MMR001CMP261</v>
      </c>
      <c r="EQ43" s="969" t="str">
        <f t="shared" si="1"/>
        <v>Covered</v>
      </c>
      <c r="ER43" s="969" t="s">
        <v>3147</v>
      </c>
      <c r="ES43" s="964">
        <f>VLOOKUP(WWWW[[#This Row],[Site Name]],SiteDB6[[Site Name]:[Pop
(Kachin/Shan-CCCM as of March 2023)]],16,FALSE)</f>
        <v>110</v>
      </c>
      <c r="ET43" s="964">
        <f>VLOOKUP(WWWW[[#This Row],[Site Name]],SiteDB6[[Site Name]:[Pop
(Kachin/Shan-CCCM as of March 2023)]],17,FALSE)</f>
        <v>590</v>
      </c>
    </row>
    <row r="44" spans="1:150" hidden="1">
      <c r="A44" s="962" t="s">
        <v>2977</v>
      </c>
      <c r="B44" s="962" t="s">
        <v>192</v>
      </c>
      <c r="C44" s="963" t="s">
        <v>192</v>
      </c>
      <c r="D44" s="963" t="s">
        <v>2899</v>
      </c>
      <c r="E44" s="963" t="s">
        <v>37</v>
      </c>
      <c r="F44" s="963" t="s">
        <v>205</v>
      </c>
      <c r="G44" s="964" t="str">
        <f>VLOOKUP(WWWW[[#This Row],[Site Name]],SiteDB6[[Site Name]:[Location Type]],8,FALSE)</f>
        <v>Camp</v>
      </c>
      <c r="H44" s="963" t="s">
        <v>217</v>
      </c>
      <c r="I44" s="965">
        <v>689</v>
      </c>
      <c r="J44" s="965">
        <v>3545</v>
      </c>
      <c r="K44" s="966" t="s">
        <v>3154</v>
      </c>
      <c r="L44" s="967" t="s">
        <v>3155</v>
      </c>
      <c r="M44" s="965"/>
      <c r="N44" s="965"/>
      <c r="O44" s="965"/>
      <c r="P44" s="965"/>
      <c r="Q44" s="968" t="s">
        <v>41</v>
      </c>
      <c r="R44" s="965">
        <v>1</v>
      </c>
      <c r="S44" s="965">
        <v>3</v>
      </c>
      <c r="T44" s="445">
        <v>3</v>
      </c>
      <c r="U44" s="965"/>
      <c r="V44" s="965"/>
      <c r="W44" s="965"/>
      <c r="X44" s="965"/>
      <c r="Y44" s="965"/>
      <c r="Z44" s="965"/>
      <c r="AA44" s="965">
        <v>11</v>
      </c>
      <c r="AB44" s="965"/>
      <c r="AC44" s="965"/>
      <c r="AD44" s="965"/>
      <c r="AE44" s="965"/>
      <c r="AF44" s="965"/>
      <c r="AG44" s="965">
        <v>1</v>
      </c>
      <c r="AH44" s="965"/>
      <c r="AI44" s="965"/>
      <c r="AJ44" s="965"/>
      <c r="AK44" s="965"/>
      <c r="AL44" s="965"/>
      <c r="AM44" s="965">
        <v>5</v>
      </c>
      <c r="AN44" s="965">
        <v>3</v>
      </c>
      <c r="AO44" s="445"/>
      <c r="AP44" s="969"/>
      <c r="AQ44" s="965">
        <v>313</v>
      </c>
      <c r="AR44" s="965"/>
      <c r="AS44" s="970"/>
      <c r="AT44" s="965"/>
      <c r="AU44" s="965"/>
      <c r="AV44" s="965"/>
      <c r="AW44" s="965"/>
      <c r="AX44" s="965"/>
      <c r="AY44" s="964" t="s">
        <v>41</v>
      </c>
      <c r="AZ44" s="969" t="s">
        <v>137</v>
      </c>
      <c r="BA44" s="965">
        <v>13</v>
      </c>
      <c r="BB44" s="965"/>
      <c r="BC44" s="965">
        <v>46</v>
      </c>
      <c r="BD44" s="445">
        <v>4</v>
      </c>
      <c r="BE44" s="445"/>
      <c r="BF44" s="964"/>
      <c r="BG44" s="965">
        <v>1</v>
      </c>
      <c r="BH44" s="965"/>
      <c r="BI44" s="965"/>
      <c r="BJ44" s="965">
        <v>22</v>
      </c>
      <c r="BK44" s="965"/>
      <c r="BL44" s="965"/>
      <c r="BM44" s="965"/>
      <c r="BN44" s="965">
        <v>681</v>
      </c>
      <c r="BO44" s="965">
        <v>1773</v>
      </c>
      <c r="BP44" s="964"/>
      <c r="BQ44" s="971"/>
      <c r="BR44" s="970"/>
      <c r="BS44" s="964"/>
      <c r="BT44" s="420"/>
      <c r="BU44" s="420"/>
      <c r="BV44" s="422"/>
      <c r="BW44" s="420"/>
      <c r="BX44" s="445"/>
      <c r="BY44" s="445"/>
      <c r="BZ44" s="445"/>
      <c r="CA44" s="445"/>
      <c r="CB44" s="445"/>
      <c r="CC44" s="702"/>
      <c r="CD44" s="445"/>
      <c r="CE44" s="972" t="str">
        <f>IFERROR(WWWW[[#This Row],['#_Water sources passed]]/WWWW[[#This Row],['#_Water sources tested for fecal coliform ]],"no test")</f>
        <v>no test</v>
      </c>
      <c r="CF44" s="970" t="str">
        <f>IFERROR(WWWW[[#This Row],['#_Household passed]]/WWWW[[#This Row],['#_Household water samples tested for fecal coliform]],"no test")</f>
        <v>no test</v>
      </c>
      <c r="CG44" s="971" t="str">
        <f>IF(AND(WWWW[[#This Row],[% of water sources passed]]="no test",WWWW[[#This Row],[% Household passed]]="no test"),"No Test","Tested")</f>
        <v>No Test</v>
      </c>
      <c r="CH44" s="971">
        <f>WWWW[[#This Row],['#_Constructed/existing protected hand dug well]]-WWWW[[#This Row],['#_Non-functional protected hand dug well]]</f>
        <v>3</v>
      </c>
      <c r="CI44" s="971">
        <f>(WWWW[[#This Row],['#_Constructed/Existing tube wells/boreholes/handpumps_WASH_agency]]+WWWW[[#This Row],['#_Non-Cluster partner water tube-wells/boreholes/handpumps]])-WWWW[[#This Row],['#_Non-functional tube wells/boreholes/handpumps]]</f>
        <v>0</v>
      </c>
      <c r="CJ44" s="971">
        <f>WWWW[[#This Row],['#_Constructed/Existingwater storage tank with gravity fed reticulation system]]-WWWW[[#This Row],['#_Non-functional storage tank gravity fed reticulation system]]</f>
        <v>11</v>
      </c>
      <c r="CK44" s="971">
        <f>(WWWW[[#This Row],['#_Water_Liters_supplied_by_Water boating or water trucking]]/90)/15</f>
        <v>0</v>
      </c>
      <c r="CL44" s="971">
        <f>WWWW[[#This Row],['#_Water_Liters_from_Constructed/Existing water distribution system from river or natural spring]]/90/15</f>
        <v>0</v>
      </c>
      <c r="CM44" s="421">
        <f>IF(WWWW[[#This Row],['#_of water points in TLS/CFS]]*500&gt;WWWW[[#This Row],[Total PoP ]],WWWW[[#This Row],[Total PoP ]],WWWW[[#This Row],['#_of water points in TLS/CFS]]*500)</f>
        <v>1500</v>
      </c>
      <c r="CN44" s="421">
        <f>IF(WWWW[[#This Row],['#_of water points in THF]]*500&gt;WWWW[[#This Row],[Total PoP ]],WWWW[[#This Row],[Total PoP ]],WWWW[[#This Row],['#_of water points in THF]]*500)</f>
        <v>0</v>
      </c>
      <c r="CO44" s="421"/>
      <c r="CP4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0.54536906440996713</v>
      </c>
      <c r="CQ4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0.41842971321109546</v>
      </c>
      <c r="CR44" s="970">
        <f>IF(WWWW[[#This Row],[Location Type 1]]="Village",WWWW[[#This Row],[Access to safe drinking water for Village]],WWWW[[#This Row],[Access to safe drinking water for Camp]])</f>
        <v>0.54536906440996713</v>
      </c>
      <c r="CS44" s="968">
        <f>WWWW[[#This Row],[%Equitable and continuous access to sufficient quantity of safe drinking water]]*WWWW[[#This Row],[Total PoP ]]</f>
        <v>1933.3333333333335</v>
      </c>
      <c r="CT44" s="970">
        <f>IF((WWWW[[#This Row],['#_Constructed/Existing protected/fenced ponds]]*250)/WWWW[[#This Row],[Total PoP ]]&gt;1,1,(WWWW[[#This Row],['#_Constructed/Existing protected/fenced ponds]]*250)/WWWW[[#This Row],[Total PoP ]])</f>
        <v>0</v>
      </c>
      <c r="CU44" s="968">
        <f>WWWW[[#This Row],[% Access to unimproved water points]]*WWWW[[#This Row],[Total PoP ]]</f>
        <v>0</v>
      </c>
      <c r="CV4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0.54536906440996713</v>
      </c>
      <c r="CW4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1933.3333333333335</v>
      </c>
      <c r="CX44" s="968">
        <f>WWWW[[#This Row],[HRP1]]/500</f>
        <v>3.8666666666666671</v>
      </c>
      <c r="CY44" s="973">
        <f>1-WWWW[[#This Row],[% Equitable and continuous access to sufficient quantity of domestic water]]</f>
        <v>0.45463093559003287</v>
      </c>
      <c r="CZ44" s="968">
        <f>WWWW[[#This Row],[%equitable and continuous access to sufficient quantity of safe drinking and domestic water''s GAP]]*WWWW[[#This Row],[Total PoP ]]</f>
        <v>1611.6666666666665</v>
      </c>
      <c r="DA44" s="971">
        <f>IF(WWWW[[#This Row],[Total required water points]]-WWWW[[#This Row],['#Water points coverage]]&lt;0,0,WWWW[[#This Row],[Total required water points]]-WWWW[[#This Row],['#Water points coverage]])</f>
        <v>3.1333333333333329</v>
      </c>
      <c r="DB44" s="971">
        <f>ROUND(IF(WWWW[[#This Row],[Total PoP ]]&lt;500,1,WWWW[[#This Row],[Total PoP ]]/500),0)</f>
        <v>7</v>
      </c>
      <c r="DC44" s="971">
        <f>(WWWW[[#This Row],['#_Constructed latrines_by_WASHAgencies]]+WWWW[[#This Row],['#_Non Cluster partner latrines]])-WWWW[[#This Row],['#_Non-functional latrines]]</f>
        <v>313</v>
      </c>
      <c r="DD44" s="619">
        <f>WWWW[[#This Row],[HRP2]]/WWWW[[#This Row],[Total PoP ]]</f>
        <v>1</v>
      </c>
      <c r="DE4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3545</v>
      </c>
      <c r="DF4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 s="421">
        <f>IF(WWWW[[#This Row],['# of functional latrines in THF supported by WASH partners during the reporting period2]]="",0,WWWW[[#This Row],['# of functional latrines in THF supported by WASH partners during the reporting period2]]*50)</f>
        <v>200</v>
      </c>
      <c r="DI44" s="971">
        <f>ROUND(IF(WWWW[[#This Row],[Location Type 1]]="camp",WWWW[[#This Row],[Total PoP ]]/20,IF(WWWW[[#This Row],[Location Type 1]]="Temporary Location",WWWW[[#This Row],[Total PoP ]]/50,(WWWW[[#This Row],[Total PoP ]]/6))),0)</f>
        <v>177</v>
      </c>
      <c r="DJ44" s="971">
        <f>IF(WWWW[[#This Row],[Total required Latrines]]-(WWWW[[#This Row],['#_Constructed latrines_by_WASHAgencies]]+WWWW[[#This Row],['#_Non Cluster partner latrines]])&lt;0,0,WWWW[[#This Row],[Total required Latrines]]-(WWWW[[#This Row],['#_Constructed latrines_by_WASHAgencies]]+WWWW[[#This Row],['#_Non Cluster partner latrines]]))</f>
        <v>0</v>
      </c>
      <c r="DK44" s="973">
        <f>1-WWWW[[#This Row],[% people access to functioning Latrine]]</f>
        <v>0</v>
      </c>
      <c r="DL44" s="972">
        <f>IF(OR(WWWW[[#This Row],['#_Non-functional latrines]]="",WWWW[[#This Row],['#_Non-functional latrines]]=0),0,WWWW[[#This Row],['#_Non-functional latrines]]/(WWWW[[#This Row],['#_Constructed latrines_by_WASHAgencies]]+WWWW[[#This Row],['#_Non Cluster partner latrines]]))</f>
        <v>0</v>
      </c>
      <c r="DM44" s="968">
        <f>IF(500*(WWWW[[#This Row],['#_male hygiene promoters]]+WWWW[[#This Row],['#_female hygiene promoters]])&gt;WWWW[[#This Row],[Total PoP ]],WWWW[[#This Row],[Total PoP ]],500*(WWWW[[#This Row],['#_male hygiene promoters]]+WWWW[[#This Row],['#_female hygiene promoters]]))</f>
        <v>0</v>
      </c>
      <c r="DN4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3405</v>
      </c>
      <c r="DO4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1773</v>
      </c>
      <c r="DP44" s="971">
        <f>IF(WWWW[[#This Row],['# People with access to soap]]&gt;WWWW[[#This Row],['# People with access to Sanity Pads]],WWWW[[#This Row],['# People with access to soap]],WWWW[[#This Row],['# People with access to Sanity Pads]])</f>
        <v>3405</v>
      </c>
      <c r="DQ44" s="971">
        <f>IF(WWWW[[#This Row],['# people reached by regular dedicated hygiene promotion_5]]&gt;WWWW[[#This Row],['# People received regular supply of hygiene items_6]],WWWW[[#This Row],['# people reached by regular dedicated hygiene promotion_5]],WWWW[[#This Row],['# People received regular supply of hygiene items_6]])</f>
        <v>3405</v>
      </c>
      <c r="DR44" s="973">
        <f>IF(WWWW[[#This Row],[HRP3]]/WWWW[[#This Row],[Total PoP ]]&gt;1,1,WWWW[[#This Row],[HRP3]]/WWWW[[#This Row],[Total PoP ]])</f>
        <v>0.96050775740479544</v>
      </c>
      <c r="DS44" s="972">
        <f>1-WWWW[[#This Row],[Hygiene Coverage%]]</f>
        <v>3.9492242595204563E-2</v>
      </c>
      <c r="DT44" s="970">
        <f>WWWW[[#This Row],['# people reached by regular dedicated hygiene promotion_5]]/WWWW[[#This Row],[Total PoP ]]</f>
        <v>0</v>
      </c>
      <c r="DU4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0.98838896952104505</v>
      </c>
      <c r="DV4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4" s="971">
        <f>WWWW[[#This Row],['#_Constructed/Existing hand washing stations]]-WWWW[[#This Row],['#_Non-Functional_hand_washing_stations]]</f>
        <v>1</v>
      </c>
      <c r="DX44" s="968">
        <f>IF(WWWW[[#This Row],['# Functional hand washing stations during reporting period]]*20&gt;WWWW[[#This Row],[Total HH]],WWWW[[#This Row],[Total HH]],WWWW[[#This Row],['# Functional hand washing stations during reporting period]]*20)</f>
        <v>20</v>
      </c>
      <c r="DY44" s="968">
        <f>IF(WWWW[[#This Row],[Is sufficient soap available for TLS? (Yes/No)]]="yes",WWWW[[#This Row],['#_Constructed/Existing hand washing stations at TLS/CFS/THF]],0)</f>
        <v>0</v>
      </c>
      <c r="DZ44" s="425">
        <f>IF(WWWW[[#This Row],['# Functional hand washing stations during reporting period]]*100&gt;WWWW[[#This Row],[Total PoP ]],WWWW[[#This Row],[Total PoP ]],WWWW[[#This Row],['# Functional hand washing stations during reporting period]]*100)</f>
        <v>100</v>
      </c>
      <c r="EA44" s="425" t="str">
        <f>IF(OR(WWWW[[#This Row],['#_students at TLS_CFS]]="",WWWW[[#This Row],['#_students at TLS_CFS]]=0),"No","Yes")</f>
        <v>No</v>
      </c>
      <c r="EB4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 s="570">
        <f>WWWW[[#This Row],[%_of_affected_people_surveyed_who_report_feeling_satistfied_with_the_latrine_design_and_sanitation_service]]*WWWW[[#This Row],[Total PoP ]]</f>
        <v>0</v>
      </c>
      <c r="ED44" s="570">
        <f>WWWW[[#This Row],[%_of_affected_people_surveyed_who_report_feeling_satistfied_with_the_water_point_design_and_water_service]]*WWWW[[#This Row],[Total PoP ]]</f>
        <v>0</v>
      </c>
      <c r="EE44" s="570">
        <f>WWWW[[#This Row],[%_of_complaints_received_that_result_in_timely_corrective_action_and_feedback_to_the_community]]*WWWW[[#This Row],[Total PoP ]]</f>
        <v>0</v>
      </c>
      <c r="EF4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4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I44" s="964" t="str">
        <f>VLOOKUP(WWWW[[#This Row],[Site Name]],SiteDB6[[Site Name]:[CCCM Management]],6,FALSE)</f>
        <v>Yes</v>
      </c>
      <c r="EJ44" s="964" t="str">
        <f>VLOOKUP(WWWW[[#This Row],[Site Name]],SiteDB6[[Site Name]:[CCCM Focal Agency]],7,FALSE)</f>
        <v>KMSS-MYT</v>
      </c>
      <c r="EK44" s="964" t="str">
        <f>VLOOKUP(WWWW[[#This Row],[Site Name]],SiteDB6[[Site Name]:[Location Type 1]],9,FALSE)</f>
        <v>Camp</v>
      </c>
      <c r="EL44" s="964" t="str">
        <f>VLOOKUP(WWWW[[#This Row],[Site Name]],SiteDB6[[Site Name]:[Type of Accommodation]],10,FALSE)</f>
        <v>Camp</v>
      </c>
      <c r="EM44" s="964" t="str">
        <f>VLOOKUP(WWWW[[#This Row],[Site Name]],SiteDB6[[Site Name]:[Ethnic or GCA/NGCA]],11,FALSE)</f>
        <v>NGCA</v>
      </c>
      <c r="EN44" s="964">
        <f>VLOOKUP(WWWW[[#This Row],[Site Name]],SiteDB6[[Site Name]:[Lat]],12,FALSE)</f>
        <v>24.661905999999998</v>
      </c>
      <c r="EO44" s="964">
        <f>VLOOKUP(WWWW[[#This Row],[Site Name]],SiteDB6[[Site Name]:[Long]],13,FALSE)</f>
        <v>97.573126000000002</v>
      </c>
      <c r="EP44" s="964" t="str">
        <f>VLOOKUP(WWWW[[#This Row],[Site Name]],SiteDB6[[Site Name]:[Pcode]],3,FALSE)</f>
        <v>MMR001CMP122</v>
      </c>
      <c r="EQ44" s="969" t="str">
        <f t="shared" si="1"/>
        <v>Covered</v>
      </c>
      <c r="ER44" s="969" t="s">
        <v>3147</v>
      </c>
      <c r="ES44" s="964">
        <f>VLOOKUP(WWWW[[#This Row],[Site Name]],SiteDB6[[Site Name]:[Pop
(Kachin/Shan-CCCM as of March 2023)]],16,FALSE)</f>
        <v>676</v>
      </c>
      <c r="ET44" s="964">
        <f>VLOOKUP(WWWW[[#This Row],[Site Name]],SiteDB6[[Site Name]:[Pop
(Kachin/Shan-CCCM as of March 2023)]],17,FALSE)</f>
        <v>3507</v>
      </c>
    </row>
    <row r="45" spans="1:150" hidden="1">
      <c r="A45" s="962" t="s">
        <v>2977</v>
      </c>
      <c r="B45" s="962" t="s">
        <v>36</v>
      </c>
      <c r="C45" s="963" t="s">
        <v>36</v>
      </c>
      <c r="D45" s="963" t="s">
        <v>241</v>
      </c>
      <c r="E45" s="963" t="s">
        <v>37</v>
      </c>
      <c r="F45" s="963" t="s">
        <v>205</v>
      </c>
      <c r="G45" s="964" t="str">
        <f>VLOOKUP(WWWW[[#This Row],[Site Name]],SiteDB6[[Site Name]:[Location Type]],8,FALSE)</f>
        <v>Camp</v>
      </c>
      <c r="H45" s="963" t="s">
        <v>232</v>
      </c>
      <c r="I45" s="965">
        <v>72</v>
      </c>
      <c r="J45" s="965">
        <v>404</v>
      </c>
      <c r="K45" s="966">
        <v>44973</v>
      </c>
      <c r="L45" s="967">
        <v>45337</v>
      </c>
      <c r="M45" s="965"/>
      <c r="N45" s="965">
        <v>2</v>
      </c>
      <c r="O45" s="965"/>
      <c r="P45" s="965"/>
      <c r="Q45" s="968" t="s">
        <v>41</v>
      </c>
      <c r="R45" s="965">
        <v>3</v>
      </c>
      <c r="S45" s="965">
        <v>3</v>
      </c>
      <c r="T45" s="445">
        <v>3</v>
      </c>
      <c r="U45" s="965"/>
      <c r="V45" s="965"/>
      <c r="W45" s="965">
        <v>1</v>
      </c>
      <c r="X45" s="965"/>
      <c r="Y45" s="965"/>
      <c r="Z45" s="965"/>
      <c r="AA45" s="965">
        <v>1</v>
      </c>
      <c r="AB45" s="965"/>
      <c r="AC45" s="965"/>
      <c r="AD45" s="965"/>
      <c r="AE45" s="965"/>
      <c r="AF45" s="965"/>
      <c r="AG45" s="965"/>
      <c r="AH45" s="965"/>
      <c r="AI45" s="965"/>
      <c r="AJ45" s="965"/>
      <c r="AK45" s="965"/>
      <c r="AL45" s="965"/>
      <c r="AM45" s="965">
        <v>4</v>
      </c>
      <c r="AN45" s="965"/>
      <c r="AO45" s="445"/>
      <c r="AP45" s="969"/>
      <c r="AQ45" s="965">
        <v>20</v>
      </c>
      <c r="AR45" s="965"/>
      <c r="AS45" s="970"/>
      <c r="AT45" s="965"/>
      <c r="AU45" s="965"/>
      <c r="AV45" s="965"/>
      <c r="AW45" s="965"/>
      <c r="AX45" s="965"/>
      <c r="AY45" s="964" t="s">
        <v>41</v>
      </c>
      <c r="AZ45" s="969" t="s">
        <v>137</v>
      </c>
      <c r="BA45" s="965">
        <v>1</v>
      </c>
      <c r="BB45" s="965"/>
      <c r="BC45" s="965"/>
      <c r="BD45" s="445"/>
      <c r="BE45" s="445"/>
      <c r="BF45" s="964"/>
      <c r="BG45" s="965"/>
      <c r="BH45" s="965"/>
      <c r="BI45" s="965"/>
      <c r="BJ45" s="965">
        <v>3</v>
      </c>
      <c r="BK45" s="965"/>
      <c r="BL45" s="965"/>
      <c r="BM45" s="965">
        <v>2</v>
      </c>
      <c r="BN45" s="965"/>
      <c r="BO45" s="965"/>
      <c r="BP45" s="964" t="s">
        <v>41</v>
      </c>
      <c r="BQ45" s="971">
        <v>1</v>
      </c>
      <c r="BR45" s="970"/>
      <c r="BS45" s="964"/>
      <c r="BT45" s="420"/>
      <c r="BU45" s="420"/>
      <c r="BV45" s="422"/>
      <c r="BW45" s="420"/>
      <c r="BX45" s="445"/>
      <c r="BY45" s="445"/>
      <c r="BZ45" s="445"/>
      <c r="CA45" s="445"/>
      <c r="CB45" s="445"/>
      <c r="CC45" s="702"/>
      <c r="CD45" s="445"/>
      <c r="CE45" s="972" t="str">
        <f>IFERROR(WWWW[[#This Row],['#_Water sources passed]]/WWWW[[#This Row],['#_Water sources tested for fecal coliform ]],"no test")</f>
        <v>no test</v>
      </c>
      <c r="CF45" s="970" t="str">
        <f>IFERROR(WWWW[[#This Row],['#_Household passed]]/WWWW[[#This Row],['#_Household water samples tested for fecal coliform]],"no test")</f>
        <v>no test</v>
      </c>
      <c r="CG45" s="971" t="str">
        <f>IF(AND(WWWW[[#This Row],[% of water sources passed]]="no test",WWWW[[#This Row],[% Household passed]]="no test"),"No Test","Tested")</f>
        <v>No Test</v>
      </c>
      <c r="CH45" s="971">
        <f>WWWW[[#This Row],['#_Constructed/existing protected hand dug well]]-WWWW[[#This Row],['#_Non-functional protected hand dug well]]</f>
        <v>3</v>
      </c>
      <c r="CI45" s="971">
        <f>(WWWW[[#This Row],['#_Constructed/Existing tube wells/boreholes/handpumps_WASH_agency]]+WWWW[[#This Row],['#_Non-Cluster partner water tube-wells/boreholes/handpumps]])-WWWW[[#This Row],['#_Non-functional tube wells/boreholes/handpumps]]</f>
        <v>1</v>
      </c>
      <c r="CJ45" s="971">
        <f>WWWW[[#This Row],['#_Constructed/Existingwater storage tank with gravity fed reticulation system]]-WWWW[[#This Row],['#_Non-functional storage tank gravity fed reticulation system]]</f>
        <v>1</v>
      </c>
      <c r="CK45" s="971">
        <f>(WWWW[[#This Row],['#_Water_Liters_supplied_by_Water boating or water trucking]]/90)/15</f>
        <v>0</v>
      </c>
      <c r="CL45" s="971">
        <f>WWWW[[#This Row],['#_Water_Liters_from_Constructed/Existing water distribution system from river or natural spring]]/90/15</f>
        <v>0</v>
      </c>
      <c r="CM45" s="421">
        <f>IF(WWWW[[#This Row],['#_of water points in TLS/CFS]]*500&gt;WWWW[[#This Row],[Total PoP ]],WWWW[[#This Row],[Total PoP ]],WWWW[[#This Row],['#_of water points in TLS/CFS]]*500)</f>
        <v>0</v>
      </c>
      <c r="CN45" s="421">
        <f>IF(WWWW[[#This Row],['#_of water points in THF]]*500&gt;WWWW[[#This Row],[Total PoP ]],WWWW[[#This Row],[Total PoP ]],WWWW[[#This Row],['#_of water points in THF]]*500)</f>
        <v>0</v>
      </c>
      <c r="CO45" s="421"/>
      <c r="CP4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5" s="970">
        <f>IF(WWWW[[#This Row],[Location Type 1]]="Village",WWWW[[#This Row],[Access to safe drinking water for Village]],WWWW[[#This Row],[Access to safe drinking water for Camp]])</f>
        <v>1</v>
      </c>
      <c r="CS45" s="968">
        <f>WWWW[[#This Row],[%Equitable and continuous access to sufficient quantity of safe drinking water]]*WWWW[[#This Row],[Total PoP ]]</f>
        <v>404</v>
      </c>
      <c r="CT45" s="970">
        <f>IF((WWWW[[#This Row],['#_Constructed/Existing protected/fenced ponds]]*250)/WWWW[[#This Row],[Total PoP ]]&gt;1,1,(WWWW[[#This Row],['#_Constructed/Existing protected/fenced ponds]]*250)/WWWW[[#This Row],[Total PoP ]])</f>
        <v>0</v>
      </c>
      <c r="CU45" s="968">
        <f>WWWW[[#This Row],[% Access to unimproved water points]]*WWWW[[#This Row],[Total PoP ]]</f>
        <v>0</v>
      </c>
      <c r="CV4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45" s="968">
        <f>WWWW[[#This Row],[HRP1]]/500</f>
        <v>0.80800000000000005</v>
      </c>
      <c r="CY45" s="973">
        <f>1-WWWW[[#This Row],[% Equitable and continuous access to sufficient quantity of domestic water]]</f>
        <v>0</v>
      </c>
      <c r="CZ45" s="968">
        <f>WWWW[[#This Row],[%equitable and continuous access to sufficient quantity of safe drinking and domestic water''s GAP]]*WWWW[[#This Row],[Total PoP ]]</f>
        <v>0</v>
      </c>
      <c r="DA45" s="971">
        <f>IF(WWWW[[#This Row],[Total required water points]]-WWWW[[#This Row],['#Water points coverage]]&lt;0,0,WWWW[[#This Row],[Total required water points]]-WWWW[[#This Row],['#Water points coverage]])</f>
        <v>0.19199999999999995</v>
      </c>
      <c r="DB45" s="971">
        <f>ROUND(IF(WWWW[[#This Row],[Total PoP ]]&lt;500,1,WWWW[[#This Row],[Total PoP ]]/500),0)</f>
        <v>1</v>
      </c>
      <c r="DC45" s="971">
        <f>(WWWW[[#This Row],['#_Constructed latrines_by_WASHAgencies]]+WWWW[[#This Row],['#_Non Cluster partner latrines]])-WWWW[[#This Row],['#_Non-functional latrines]]</f>
        <v>20</v>
      </c>
      <c r="DD45" s="619">
        <f>WWWW[[#This Row],[HRP2]]/WWWW[[#This Row],[Total PoP ]]</f>
        <v>1</v>
      </c>
      <c r="DE4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404</v>
      </c>
      <c r="DF4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 s="421">
        <f>IF(WWWW[[#This Row],['# of functional latrines in THF supported by WASH partners during the reporting period2]]="",0,WWWW[[#This Row],['# of functional latrines in THF supported by WASH partners during the reporting period2]]*50)</f>
        <v>0</v>
      </c>
      <c r="DI45" s="971">
        <f>ROUND(IF(WWWW[[#This Row],[Location Type 1]]="camp",WWWW[[#This Row],[Total PoP ]]/20,IF(WWWW[[#This Row],[Location Type 1]]="Temporary Location",WWWW[[#This Row],[Total PoP ]]/50,(WWWW[[#This Row],[Total PoP ]]/6))),0)</f>
        <v>20</v>
      </c>
      <c r="DJ45" s="971">
        <f>IF(WWWW[[#This Row],[Total required Latrines]]-(WWWW[[#This Row],['#_Constructed latrines_by_WASHAgencies]]+WWWW[[#This Row],['#_Non Cluster partner latrines]])&lt;0,0,WWWW[[#This Row],[Total required Latrines]]-(WWWW[[#This Row],['#_Constructed latrines_by_WASHAgencies]]+WWWW[[#This Row],['#_Non Cluster partner latrines]]))</f>
        <v>0</v>
      </c>
      <c r="DK45" s="973">
        <f>1-WWWW[[#This Row],[% people access to functioning Latrine]]</f>
        <v>0</v>
      </c>
      <c r="DL45" s="972">
        <f>IF(OR(WWWW[[#This Row],['#_Non-functional latrines]]="",WWWW[[#This Row],['#_Non-functional latrines]]=0),0,WWWW[[#This Row],['#_Non-functional latrines]]/(WWWW[[#This Row],['#_Constructed latrines_by_WASHAgencies]]+WWWW[[#This Row],['#_Non Cluster partner latrines]]))</f>
        <v>0</v>
      </c>
      <c r="DM45" s="968">
        <f>IF(500*(WWWW[[#This Row],['#_male hygiene promoters]]+WWWW[[#This Row],['#_female hygiene promoters]])&gt;WWWW[[#This Row],[Total PoP ]],WWWW[[#This Row],[Total PoP ]],500*(WWWW[[#This Row],['#_male hygiene promoters]]+WWWW[[#This Row],['#_female hygiene promoters]]))</f>
        <v>404</v>
      </c>
      <c r="DN4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 s="971">
        <f>IF(WWWW[[#This Row],['# People with access to soap]]&gt;WWWW[[#This Row],['# People with access to Sanity Pads]],WWWW[[#This Row],['# People with access to soap]],WWWW[[#This Row],['# People with access to Sanity Pads]])</f>
        <v>0</v>
      </c>
      <c r="DQ45" s="971">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45" s="973">
        <f>IF(WWWW[[#This Row],[HRP3]]/WWWW[[#This Row],[Total PoP ]]&gt;1,1,WWWW[[#This Row],[HRP3]]/WWWW[[#This Row],[Total PoP ]])</f>
        <v>1</v>
      </c>
      <c r="DS45" s="972">
        <f>1-WWWW[[#This Row],[Hygiene Coverage%]]</f>
        <v>0</v>
      </c>
      <c r="DT45" s="970">
        <f>WWWW[[#This Row],['# people reached by regular dedicated hygiene promotion_5]]/WWWW[[#This Row],[Total PoP ]]</f>
        <v>1</v>
      </c>
      <c r="DU4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 s="971">
        <f>WWWW[[#This Row],['#_Constructed/Existing hand washing stations]]-WWWW[[#This Row],['#_Non-Functional_hand_washing_stations]]</f>
        <v>0</v>
      </c>
      <c r="DX45" s="968">
        <f>IF(WWWW[[#This Row],['# Functional hand washing stations during reporting period]]*20&gt;WWWW[[#This Row],[Total HH]],WWWW[[#This Row],[Total HH]],WWWW[[#This Row],['# Functional hand washing stations during reporting period]]*20)</f>
        <v>0</v>
      </c>
      <c r="DY45" s="968">
        <f>IF(WWWW[[#This Row],[Is sufficient soap available for TLS? (Yes/No)]]="yes",WWWW[[#This Row],['#_Constructed/Existing hand washing stations at TLS/CFS/THF]],0)</f>
        <v>4</v>
      </c>
      <c r="DZ45" s="425">
        <f>IF(WWWW[[#This Row],['# Functional hand washing stations during reporting period]]*100&gt;WWWW[[#This Row],[Total PoP ]],WWWW[[#This Row],[Total PoP ]],WWWW[[#This Row],['# Functional hand washing stations during reporting period]]*100)</f>
        <v>0</v>
      </c>
      <c r="EA45" s="425" t="str">
        <f>IF(OR(WWWW[[#This Row],['#_students at TLS_CFS]]="",WWWW[[#This Row],['#_students at TLS_CFS]]=0),"No","Yes")</f>
        <v>No</v>
      </c>
      <c r="EB4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 s="570">
        <f>WWWW[[#This Row],[%_of_affected_people_surveyed_who_report_feeling_satistfied_with_the_latrine_design_and_sanitation_service]]*WWWW[[#This Row],[Total PoP ]]</f>
        <v>0</v>
      </c>
      <c r="ED45" s="570">
        <f>WWWW[[#This Row],[%_of_affected_people_surveyed_who_report_feeling_satistfied_with_the_water_point_design_and_water_service]]*WWWW[[#This Row],[Total PoP ]]</f>
        <v>0</v>
      </c>
      <c r="EE45" s="570">
        <f>WWWW[[#This Row],[%_of_complaints_received_that_result_in_timely_corrective_action_and_feedback_to_the_community]]*WWWW[[#This Row],[Total PoP ]]</f>
        <v>0</v>
      </c>
      <c r="EF4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 s="964" t="str">
        <f>VLOOKUP(WWWW[[#This Row],[Site Name]],SiteDB6[[Site Name]:[CCCM Management]],6,FALSE)</f>
        <v>Yes</v>
      </c>
      <c r="EJ45" s="964" t="str">
        <f>VLOOKUP(WWWW[[#This Row],[Site Name]],SiteDB6[[Site Name]:[CCCM Focal Agency]],7,FALSE)</f>
        <v>KMSS-MYT</v>
      </c>
      <c r="EK45" s="964" t="str">
        <f>VLOOKUP(WWWW[[#This Row],[Site Name]],SiteDB6[[Site Name]:[Location Type 1]],9,FALSE)</f>
        <v>Camp</v>
      </c>
      <c r="EL45" s="964" t="str">
        <f>VLOOKUP(WWWW[[#This Row],[Site Name]],SiteDB6[[Site Name]:[Type of Accommodation]],10,FALSE)</f>
        <v>Camp</v>
      </c>
      <c r="EM45" s="964" t="str">
        <f>VLOOKUP(WWWW[[#This Row],[Site Name]],SiteDB6[[Site Name]:[Ethnic or GCA/NGCA]],11,FALSE)</f>
        <v>NGCA</v>
      </c>
      <c r="EN45" s="964">
        <f>VLOOKUP(WWWW[[#This Row],[Site Name]],SiteDB6[[Site Name]:[Lat]],12,FALSE)</f>
        <v>24.461033</v>
      </c>
      <c r="EO45" s="964">
        <f>VLOOKUP(WWWW[[#This Row],[Site Name]],SiteDB6[[Site Name]:[Long]],13,FALSE)</f>
        <v>97.537099999999995</v>
      </c>
      <c r="EP45" s="964" t="str">
        <f>VLOOKUP(WWWW[[#This Row],[Site Name]],SiteDB6[[Site Name]:[Pcode]],3,FALSE)</f>
        <v>MMR001CMP123</v>
      </c>
      <c r="EQ45" s="969" t="str">
        <f t="shared" si="1"/>
        <v>Covered</v>
      </c>
      <c r="ER45" s="969" t="s">
        <v>3147</v>
      </c>
      <c r="ES45" s="964">
        <f>VLOOKUP(WWWW[[#This Row],[Site Name]],SiteDB6[[Site Name]:[Pop
(Kachin/Shan-CCCM as of March 2023)]],16,FALSE)</f>
        <v>72</v>
      </c>
      <c r="ET45" s="964">
        <f>VLOOKUP(WWWW[[#This Row],[Site Name]],SiteDB6[[Site Name]:[Pop
(Kachin/Shan-CCCM as of March 2023)]],17,FALSE)</f>
        <v>404</v>
      </c>
    </row>
    <row r="46" spans="1:150" hidden="1">
      <c r="A46" s="962" t="s">
        <v>2977</v>
      </c>
      <c r="B46" s="962" t="s">
        <v>291</v>
      </c>
      <c r="C46" s="963" t="s">
        <v>291</v>
      </c>
      <c r="D46" s="963" t="s">
        <v>2609</v>
      </c>
      <c r="E46" s="963" t="s">
        <v>37</v>
      </c>
      <c r="F46" s="963" t="s">
        <v>205</v>
      </c>
      <c r="G46" s="964" t="str">
        <f>VLOOKUP(WWWW[[#This Row],[Site Name]],SiteDB6[[Site Name]:[Location Type]],8,FALSE)</f>
        <v>Camp</v>
      </c>
      <c r="H46" s="963" t="s">
        <v>296</v>
      </c>
      <c r="I46" s="965">
        <v>616</v>
      </c>
      <c r="J46" s="965">
        <v>3682</v>
      </c>
      <c r="K46" s="966">
        <v>44652</v>
      </c>
      <c r="L46" s="967">
        <v>44926</v>
      </c>
      <c r="M46" s="965"/>
      <c r="N46" s="965"/>
      <c r="O46" s="965"/>
      <c r="P46" s="965"/>
      <c r="Q46" s="968" t="s">
        <v>41</v>
      </c>
      <c r="R46" s="965"/>
      <c r="S46" s="965"/>
      <c r="T46" s="445"/>
      <c r="U46" s="965"/>
      <c r="V46" s="965"/>
      <c r="W46" s="965"/>
      <c r="X46" s="965"/>
      <c r="Y46" s="965"/>
      <c r="Z46" s="965"/>
      <c r="AA46" s="965"/>
      <c r="AB46" s="965"/>
      <c r="AC46" s="965"/>
      <c r="AD46" s="965"/>
      <c r="AE46" s="965">
        <v>1</v>
      </c>
      <c r="AF46" s="965"/>
      <c r="AG46" s="965"/>
      <c r="AH46" s="965">
        <v>1</v>
      </c>
      <c r="AI46" s="965"/>
      <c r="AJ46" s="965"/>
      <c r="AK46" s="965"/>
      <c r="AL46" s="965"/>
      <c r="AM46" s="965">
        <v>21</v>
      </c>
      <c r="AN46" s="965">
        <v>6</v>
      </c>
      <c r="AO46" s="445"/>
      <c r="AP46" s="969"/>
      <c r="AQ46" s="965">
        <v>152</v>
      </c>
      <c r="AR46" s="965"/>
      <c r="AS46" s="970"/>
      <c r="AT46" s="965"/>
      <c r="AU46" s="965"/>
      <c r="AV46" s="965"/>
      <c r="AW46" s="965"/>
      <c r="AX46" s="965"/>
      <c r="AY46" s="964" t="s">
        <v>136</v>
      </c>
      <c r="AZ46" s="969" t="s">
        <v>137</v>
      </c>
      <c r="BA46" s="965">
        <v>4</v>
      </c>
      <c r="BB46" s="965"/>
      <c r="BC46" s="965">
        <v>16</v>
      </c>
      <c r="BD46" s="445">
        <v>2</v>
      </c>
      <c r="BE46" s="445"/>
      <c r="BF46" s="964"/>
      <c r="BG46" s="965">
        <v>7</v>
      </c>
      <c r="BH46" s="965"/>
      <c r="BI46" s="965"/>
      <c r="BJ46" s="965">
        <v>7</v>
      </c>
      <c r="BK46" s="965"/>
      <c r="BL46" s="965"/>
      <c r="BM46" s="965">
        <v>6</v>
      </c>
      <c r="BN46" s="965"/>
      <c r="BO46" s="965"/>
      <c r="BP46" s="964"/>
      <c r="BQ46" s="971"/>
      <c r="BR46" s="970"/>
      <c r="BS46" s="964"/>
      <c r="BT46" s="420"/>
      <c r="BU46" s="420"/>
      <c r="BV46" s="422"/>
      <c r="BW46" s="420"/>
      <c r="BX46" s="445"/>
      <c r="BY46" s="445"/>
      <c r="BZ46" s="445"/>
      <c r="CA46" s="445"/>
      <c r="CB46" s="445"/>
      <c r="CC46" s="702"/>
      <c r="CD46" s="445"/>
      <c r="CE46" s="972" t="str">
        <f>IFERROR(WWWW[[#This Row],['#_Water sources passed]]/WWWW[[#This Row],['#_Water sources tested for fecal coliform ]],"no test")</f>
        <v>no test</v>
      </c>
      <c r="CF46" s="970" t="str">
        <f>IFERROR(WWWW[[#This Row],['#_Household passed]]/WWWW[[#This Row],['#_Household water samples tested for fecal coliform]],"no test")</f>
        <v>no test</v>
      </c>
      <c r="CG46" s="971" t="str">
        <f>IF(AND(WWWW[[#This Row],[% of water sources passed]]="no test",WWWW[[#This Row],[% Household passed]]="no test"),"No Test","Tested")</f>
        <v>No Test</v>
      </c>
      <c r="CH46" s="971">
        <f>WWWW[[#This Row],['#_Constructed/existing protected hand dug well]]-WWWW[[#This Row],['#_Non-functional protected hand dug well]]</f>
        <v>0</v>
      </c>
      <c r="CI46" s="971">
        <f>(WWWW[[#This Row],['#_Constructed/Existing tube wells/boreholes/handpumps_WASH_agency]]+WWWW[[#This Row],['#_Non-Cluster partner water tube-wells/boreholes/handpumps]])-WWWW[[#This Row],['#_Non-functional tube wells/boreholes/handpumps]]</f>
        <v>0</v>
      </c>
      <c r="CJ46" s="971">
        <f>WWWW[[#This Row],['#_Constructed/Existingwater storage tank with gravity fed reticulation system]]-WWWW[[#This Row],['#_Non-functional storage tank gravity fed reticulation system]]</f>
        <v>0</v>
      </c>
      <c r="CK46" s="971">
        <f>(WWWW[[#This Row],['#_Water_Liters_supplied_by_Water boating or water trucking]]/90)/15</f>
        <v>0</v>
      </c>
      <c r="CL46" s="971">
        <f>WWWW[[#This Row],['#_Water_Liters_from_Constructed/Existing water distribution system from river or natural spring]]/90/15</f>
        <v>0</v>
      </c>
      <c r="CM46" s="421">
        <f>IF(WWWW[[#This Row],['#_of water points in TLS/CFS]]*500&gt;WWWW[[#This Row],[Total PoP ]],WWWW[[#This Row],[Total PoP ]],WWWW[[#This Row],['#_of water points in TLS/CFS]]*500)</f>
        <v>3000</v>
      </c>
      <c r="CN46" s="421">
        <f>IF(WWWW[[#This Row],['#_of water points in THF]]*500&gt;WWWW[[#This Row],[Total PoP ]],WWWW[[#This Row],[Total PoP ]],WWWW[[#This Row],['#_of water points in THF]]*500)</f>
        <v>0</v>
      </c>
      <c r="CO46" s="421"/>
      <c r="CP4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6" s="970">
        <f>IF(WWWW[[#This Row],[Location Type 1]]="Village",WWWW[[#This Row],[Access to safe drinking water for Village]],WWWW[[#This Row],[Access to safe drinking water for Camp]])</f>
        <v>0</v>
      </c>
      <c r="CS46" s="968">
        <f>WWWW[[#This Row],[%Equitable and continuous access to sufficient quantity of safe drinking water]]*WWWW[[#This Row],[Total PoP ]]</f>
        <v>0</v>
      </c>
      <c r="CT46" s="970">
        <f>IF((WWWW[[#This Row],['#_Constructed/Existing protected/fenced ponds]]*250)/WWWW[[#This Row],[Total PoP ]]&gt;1,1,(WWWW[[#This Row],['#_Constructed/Existing protected/fenced ponds]]*250)/WWWW[[#This Row],[Total PoP ]])</f>
        <v>6.7897881586094513E-2</v>
      </c>
      <c r="CU46" s="968">
        <f>WWWW[[#This Row],[% Access to unimproved water points]]*WWWW[[#This Row],[Total PoP ]]</f>
        <v>250</v>
      </c>
      <c r="CV4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W4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46" s="968">
        <f>WWWW[[#This Row],[HRP1]]/500</f>
        <v>0.5</v>
      </c>
      <c r="CY46" s="973">
        <f>1-WWWW[[#This Row],[% Equitable and continuous access to sufficient quantity of domestic water]]</f>
        <v>0.93210211841390544</v>
      </c>
      <c r="CZ46" s="968">
        <f>WWWW[[#This Row],[%equitable and continuous access to sufficient quantity of safe drinking and domestic water''s GAP]]*WWWW[[#This Row],[Total PoP ]]</f>
        <v>3432</v>
      </c>
      <c r="DA46" s="971">
        <f>IF(WWWW[[#This Row],[Total required water points]]-WWWW[[#This Row],['#Water points coverage]]&lt;0,0,WWWW[[#This Row],[Total required water points]]-WWWW[[#This Row],['#Water points coverage]])</f>
        <v>6.5</v>
      </c>
      <c r="DB46" s="971">
        <f>ROUND(IF(WWWW[[#This Row],[Total PoP ]]&lt;500,1,WWWW[[#This Row],[Total PoP ]]/500),0)</f>
        <v>7</v>
      </c>
      <c r="DC46" s="971">
        <f>(WWWW[[#This Row],['#_Constructed latrines_by_WASHAgencies]]+WWWW[[#This Row],['#_Non Cluster partner latrines]])-WWWW[[#This Row],['#_Non-functional latrines]]</f>
        <v>152</v>
      </c>
      <c r="DD46" s="619">
        <f>WWWW[[#This Row],[HRP2]]/WWWW[[#This Row],[Total PoP ]]</f>
        <v>0.84736556219445958</v>
      </c>
      <c r="DE4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3120</v>
      </c>
      <c r="DF4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 s="421">
        <f>IF(WWWW[[#This Row],['# of functional latrines in THF supported by WASH partners during the reporting period2]]="",0,WWWW[[#This Row],['# of functional latrines in THF supported by WASH partners during the reporting period2]]*50)</f>
        <v>100</v>
      </c>
      <c r="DI46" s="971">
        <f>ROUND(IF(WWWW[[#This Row],[Location Type 1]]="camp",WWWW[[#This Row],[Total PoP ]]/20,IF(WWWW[[#This Row],[Location Type 1]]="Temporary Location",WWWW[[#This Row],[Total PoP ]]/50,(WWWW[[#This Row],[Total PoP ]]/6))),0)</f>
        <v>184</v>
      </c>
      <c r="DJ46" s="971">
        <f>IF(WWWW[[#This Row],[Total required Latrines]]-(WWWW[[#This Row],['#_Constructed latrines_by_WASHAgencies]]+WWWW[[#This Row],['#_Non Cluster partner latrines]])&lt;0,0,WWWW[[#This Row],[Total required Latrines]]-(WWWW[[#This Row],['#_Constructed latrines_by_WASHAgencies]]+WWWW[[#This Row],['#_Non Cluster partner latrines]]))</f>
        <v>32</v>
      </c>
      <c r="DK46" s="973">
        <f>1-WWWW[[#This Row],[% people access to functioning Latrine]]</f>
        <v>0.15263443780554042</v>
      </c>
      <c r="DL46" s="972">
        <f>IF(OR(WWWW[[#This Row],['#_Non-functional latrines]]="",WWWW[[#This Row],['#_Non-functional latrines]]=0),0,WWWW[[#This Row],['#_Non-functional latrines]]/(WWWW[[#This Row],['#_Constructed latrines_by_WASHAgencies]]+WWWW[[#This Row],['#_Non Cluster partner latrines]]))</f>
        <v>0</v>
      </c>
      <c r="DM46" s="968">
        <f>IF(500*(WWWW[[#This Row],['#_male hygiene promoters]]+WWWW[[#This Row],['#_female hygiene promoters]])&gt;WWWW[[#This Row],[Total PoP ]],WWWW[[#This Row],[Total PoP ]],500*(WWWW[[#This Row],['#_male hygiene promoters]]+WWWW[[#This Row],['#_female hygiene promoters]]))</f>
        <v>3000</v>
      </c>
      <c r="DN4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 s="971">
        <f>IF(WWWW[[#This Row],['# People with access to soap]]&gt;WWWW[[#This Row],['# People with access to Sanity Pads]],WWWW[[#This Row],['# People with access to soap]],WWWW[[#This Row],['# People with access to Sanity Pads]])</f>
        <v>0</v>
      </c>
      <c r="DQ46" s="971">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46" s="973">
        <f>IF(WWWW[[#This Row],[HRP3]]/WWWW[[#This Row],[Total PoP ]]&gt;1,1,WWWW[[#This Row],[HRP3]]/WWWW[[#This Row],[Total PoP ]])</f>
        <v>0.81477457903313422</v>
      </c>
      <c r="DS46" s="972">
        <f>1-WWWW[[#This Row],[Hygiene Coverage%]]</f>
        <v>0.18522542096686578</v>
      </c>
      <c r="DT46" s="970">
        <f>WWWW[[#This Row],['# people reached by regular dedicated hygiene promotion_5]]/WWWW[[#This Row],[Total PoP ]]</f>
        <v>0.81477457903313422</v>
      </c>
      <c r="DU4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 s="971">
        <f>WWWW[[#This Row],['#_Constructed/Existing hand washing stations]]-WWWW[[#This Row],['#_Non-Functional_hand_washing_stations]]</f>
        <v>7</v>
      </c>
      <c r="DX46" s="968">
        <f>IF(WWWW[[#This Row],['# Functional hand washing stations during reporting period]]*20&gt;WWWW[[#This Row],[Total HH]],WWWW[[#This Row],[Total HH]],WWWW[[#This Row],['# Functional hand washing stations during reporting period]]*20)</f>
        <v>140</v>
      </c>
      <c r="DY46" s="968">
        <f>IF(WWWW[[#This Row],[Is sufficient soap available for TLS? (Yes/No)]]="yes",WWWW[[#This Row],['#_Constructed/Existing hand washing stations at TLS/CFS/THF]],0)</f>
        <v>0</v>
      </c>
      <c r="DZ46" s="425">
        <f>IF(WWWW[[#This Row],['# Functional hand washing stations during reporting period]]*100&gt;WWWW[[#This Row],[Total PoP ]],WWWW[[#This Row],[Total PoP ]],WWWW[[#This Row],['# Functional hand washing stations during reporting period]]*100)</f>
        <v>700</v>
      </c>
      <c r="EA46" s="425" t="str">
        <f>IF(OR(WWWW[[#This Row],['#_students at TLS_CFS]]="",WWWW[[#This Row],['#_students at TLS_CFS]]=0),"No","Yes")</f>
        <v>No</v>
      </c>
      <c r="EB4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 s="570">
        <f>WWWW[[#This Row],[%_of_affected_people_surveyed_who_report_feeling_satistfied_with_the_latrine_design_and_sanitation_service]]*WWWW[[#This Row],[Total PoP ]]</f>
        <v>0</v>
      </c>
      <c r="ED46" s="570">
        <f>WWWW[[#This Row],[%_of_affected_people_surveyed_who_report_feeling_satistfied_with_the_water_point_design_and_water_service]]*WWWW[[#This Row],[Total PoP ]]</f>
        <v>0</v>
      </c>
      <c r="EE46" s="570">
        <f>WWWW[[#This Row],[%_of_complaints_received_that_result_in_timely_corrective_action_and_feedback_to_the_community]]*WWWW[[#This Row],[Total PoP ]]</f>
        <v>0</v>
      </c>
      <c r="EF4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H4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46" s="964" t="str">
        <f>VLOOKUP(WWWW[[#This Row],[Site Name]],SiteDB6[[Site Name]:[CCCM Management]],6,FALSE)</f>
        <v>Yes</v>
      </c>
      <c r="EJ46" s="964" t="str">
        <f>VLOOKUP(WWWW[[#This Row],[Site Name]],SiteDB6[[Site Name]:[CCCM Focal Agency]],7,FALSE)</f>
        <v>KMSS-BMO</v>
      </c>
      <c r="EK46" s="964" t="str">
        <f>VLOOKUP(WWWW[[#This Row],[Site Name]],SiteDB6[[Site Name]:[Location Type 1]],9,FALSE)</f>
        <v>Camp</v>
      </c>
      <c r="EL46" s="964" t="str">
        <f>VLOOKUP(WWWW[[#This Row],[Site Name]],SiteDB6[[Site Name]:[Type of Accommodation]],10,FALSE)</f>
        <v>Camp</v>
      </c>
      <c r="EM46" s="964" t="str">
        <f>VLOOKUP(WWWW[[#This Row],[Site Name]],SiteDB6[[Site Name]:[Ethnic or GCA/NGCA]],11,FALSE)</f>
        <v>NGCA</v>
      </c>
      <c r="EN46" s="964">
        <f>VLOOKUP(WWWW[[#This Row],[Site Name]],SiteDB6[[Site Name]:[Lat]],12,FALSE)</f>
        <v>24.2744</v>
      </c>
      <c r="EO46" s="964">
        <f>VLOOKUP(WWWW[[#This Row],[Site Name]],SiteDB6[[Site Name]:[Long]],13,FALSE)</f>
        <v>97.752667000000002</v>
      </c>
      <c r="EP46" s="964" t="str">
        <f>VLOOKUP(WWWW[[#This Row],[Site Name]],SiteDB6[[Site Name]:[Pcode]],3,FALSE)</f>
        <v>MMR001CMP126</v>
      </c>
      <c r="EQ46" s="969" t="str">
        <f t="shared" si="1"/>
        <v>Covered</v>
      </c>
      <c r="ER46" s="969" t="s">
        <v>136</v>
      </c>
      <c r="ES46" s="964">
        <f>VLOOKUP(WWWW[[#This Row],[Site Name]],SiteDB6[[Site Name]:[Pop
(Kachin/Shan-CCCM as of March 2023)]],16,FALSE)</f>
        <v>613</v>
      </c>
      <c r="ET46" s="964">
        <f>VLOOKUP(WWWW[[#This Row],[Site Name]],SiteDB6[[Site Name]:[Pop
(Kachin/Shan-CCCM as of March 2023)]],17,FALSE)</f>
        <v>3655</v>
      </c>
    </row>
    <row r="47" spans="1:150" hidden="1">
      <c r="A47" s="962" t="s">
        <v>2977</v>
      </c>
      <c r="B47" s="962" t="s">
        <v>291</v>
      </c>
      <c r="C47" s="963" t="s">
        <v>291</v>
      </c>
      <c r="D47" s="963" t="s">
        <v>2609</v>
      </c>
      <c r="E47" s="963" t="s">
        <v>37</v>
      </c>
      <c r="F47" s="963" t="s">
        <v>38</v>
      </c>
      <c r="G47" s="964" t="str">
        <f>VLOOKUP(WWWW[[#This Row],[Site Name]],SiteDB6[[Site Name]:[Location Type]],8,FALSE)</f>
        <v>Camp</v>
      </c>
      <c r="H47" s="963" t="s">
        <v>294</v>
      </c>
      <c r="I47" s="965">
        <v>542</v>
      </c>
      <c r="J47" s="965">
        <v>2503</v>
      </c>
      <c r="K47" s="966">
        <v>44652</v>
      </c>
      <c r="L47" s="967">
        <v>44926</v>
      </c>
      <c r="M47" s="965"/>
      <c r="N47" s="965"/>
      <c r="O47" s="965"/>
      <c r="P47" s="965"/>
      <c r="Q47" s="968" t="s">
        <v>41</v>
      </c>
      <c r="R47" s="965"/>
      <c r="S47" s="965"/>
      <c r="T47" s="445">
        <v>4</v>
      </c>
      <c r="U47" s="965"/>
      <c r="V47" s="965"/>
      <c r="W47" s="965"/>
      <c r="X47" s="965"/>
      <c r="Y47" s="965"/>
      <c r="Z47" s="965"/>
      <c r="AA47" s="965"/>
      <c r="AB47" s="965"/>
      <c r="AC47" s="965"/>
      <c r="AD47" s="965"/>
      <c r="AE47" s="965">
        <v>1</v>
      </c>
      <c r="AF47" s="965"/>
      <c r="AG47" s="965"/>
      <c r="AH47" s="965">
        <v>1</v>
      </c>
      <c r="AI47" s="965"/>
      <c r="AJ47" s="965"/>
      <c r="AK47" s="965"/>
      <c r="AL47" s="965"/>
      <c r="AM47" s="965">
        <v>5</v>
      </c>
      <c r="AN47" s="965">
        <v>2</v>
      </c>
      <c r="AO47" s="445"/>
      <c r="AP47" s="969"/>
      <c r="AQ47" s="965">
        <v>438</v>
      </c>
      <c r="AR47" s="965"/>
      <c r="AS47" s="970"/>
      <c r="AT47" s="965"/>
      <c r="AU47" s="965"/>
      <c r="AV47" s="965"/>
      <c r="AW47" s="965"/>
      <c r="AX47" s="965">
        <v>266</v>
      </c>
      <c r="AY47" s="964" t="s">
        <v>136</v>
      </c>
      <c r="AZ47" s="969" t="s">
        <v>137</v>
      </c>
      <c r="BA47" s="965">
        <v>6</v>
      </c>
      <c r="BB47" s="965">
        <v>274</v>
      </c>
      <c r="BC47" s="965">
        <v>62</v>
      </c>
      <c r="BD47" s="445">
        <v>2</v>
      </c>
      <c r="BE47" s="445"/>
      <c r="BF47" s="964"/>
      <c r="BG47" s="965">
        <v>7</v>
      </c>
      <c r="BH47" s="965"/>
      <c r="BI47" s="965">
        <v>266</v>
      </c>
      <c r="BJ47" s="965">
        <v>4</v>
      </c>
      <c r="BK47" s="965"/>
      <c r="BL47" s="965"/>
      <c r="BM47" s="965">
        <v>7</v>
      </c>
      <c r="BN47" s="965"/>
      <c r="BO47" s="965"/>
      <c r="BP47" s="964"/>
      <c r="BQ47" s="971"/>
      <c r="BR47" s="970"/>
      <c r="BS47" s="964"/>
      <c r="BT47" s="420"/>
      <c r="BU47" s="420"/>
      <c r="BV47" s="422"/>
      <c r="BW47" s="420"/>
      <c r="BX47" s="445"/>
      <c r="BY47" s="445"/>
      <c r="BZ47" s="445"/>
      <c r="CA47" s="445"/>
      <c r="CB47" s="445"/>
      <c r="CC47" s="702"/>
      <c r="CD47" s="445"/>
      <c r="CE47" s="972" t="str">
        <f>IFERROR(WWWW[[#This Row],['#_Water sources passed]]/WWWW[[#This Row],['#_Water sources tested for fecal coliform ]],"no test")</f>
        <v>no test</v>
      </c>
      <c r="CF47" s="970" t="str">
        <f>IFERROR(WWWW[[#This Row],['#_Household passed]]/WWWW[[#This Row],['#_Household water samples tested for fecal coliform]],"no test")</f>
        <v>no test</v>
      </c>
      <c r="CG47" s="971" t="str">
        <f>IF(AND(WWWW[[#This Row],[% of water sources passed]]="no test",WWWW[[#This Row],[% Household passed]]="no test"),"No Test","Tested")</f>
        <v>No Test</v>
      </c>
      <c r="CH47" s="971">
        <f>WWWW[[#This Row],['#_Constructed/existing protected hand dug well]]-WWWW[[#This Row],['#_Non-functional protected hand dug well]]</f>
        <v>4</v>
      </c>
      <c r="CI47" s="971">
        <f>(WWWW[[#This Row],['#_Constructed/Existing tube wells/boreholes/handpumps_WASH_agency]]+WWWW[[#This Row],['#_Non-Cluster partner water tube-wells/boreholes/handpumps]])-WWWW[[#This Row],['#_Non-functional tube wells/boreholes/handpumps]]</f>
        <v>0</v>
      </c>
      <c r="CJ47" s="971">
        <f>WWWW[[#This Row],['#_Constructed/Existingwater storage tank with gravity fed reticulation system]]-WWWW[[#This Row],['#_Non-functional storage tank gravity fed reticulation system]]</f>
        <v>0</v>
      </c>
      <c r="CK47" s="971">
        <f>(WWWW[[#This Row],['#_Water_Liters_supplied_by_Water boating or water trucking]]/90)/15</f>
        <v>0</v>
      </c>
      <c r="CL47" s="971">
        <f>WWWW[[#This Row],['#_Water_Liters_from_Constructed/Existing water distribution system from river or natural spring]]/90/15</f>
        <v>0</v>
      </c>
      <c r="CM47" s="421">
        <f>IF(WWWW[[#This Row],['#_of water points in TLS/CFS]]*500&gt;WWWW[[#This Row],[Total PoP ]],WWWW[[#This Row],[Total PoP ]],WWWW[[#This Row],['#_of water points in TLS/CFS]]*500)</f>
        <v>1000</v>
      </c>
      <c r="CN47" s="421">
        <f>IF(WWWW[[#This Row],['#_of water points in THF]]*500&gt;WWWW[[#This Row],[Total PoP ]],WWWW[[#This Row],[Total PoP ]],WWWW[[#This Row],['#_of water points in THF]]*500)</f>
        <v>0</v>
      </c>
      <c r="CO47" s="421"/>
      <c r="CP4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Q4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R47" s="970">
        <f>IF(WWWW[[#This Row],[Location Type 1]]="Village",WWWW[[#This Row],[Access to safe drinking water for Village]],WWWW[[#This Row],[Access to safe drinking water for Camp]])</f>
        <v>0.63923292049540548</v>
      </c>
      <c r="CS47" s="968">
        <f>WWWW[[#This Row],[%Equitable and continuous access to sufficient quantity of safe drinking water]]*WWWW[[#This Row],[Total PoP ]]</f>
        <v>1600</v>
      </c>
      <c r="CT47" s="970">
        <f>IF((WWWW[[#This Row],['#_Constructed/Existing protected/fenced ponds]]*250)/WWWW[[#This Row],[Total PoP ]]&gt;1,1,(WWWW[[#This Row],['#_Constructed/Existing protected/fenced ponds]]*250)/WWWW[[#This Row],[Total PoP ]])</f>
        <v>9.9880143827407106E-2</v>
      </c>
      <c r="CU47" s="968">
        <f>WWWW[[#This Row],[% Access to unimproved water points]]*WWWW[[#This Row],[Total PoP ]]</f>
        <v>249.99999999999997</v>
      </c>
      <c r="CV4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W4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X47" s="968">
        <f>WWWW[[#This Row],[HRP1]]/500</f>
        <v>3.7</v>
      </c>
      <c r="CY47" s="973">
        <f>1-WWWW[[#This Row],[% Equitable and continuous access to sufficient quantity of domestic water]]</f>
        <v>0.26088693567718746</v>
      </c>
      <c r="CZ47" s="968">
        <f>WWWW[[#This Row],[%equitable and continuous access to sufficient quantity of safe drinking and domestic water''s GAP]]*WWWW[[#This Row],[Total PoP ]]</f>
        <v>653.00000000000023</v>
      </c>
      <c r="DA47" s="971">
        <f>IF(WWWW[[#This Row],[Total required water points]]-WWWW[[#This Row],['#Water points coverage]]&lt;0,0,WWWW[[#This Row],[Total required water points]]-WWWW[[#This Row],['#Water points coverage]])</f>
        <v>1.2999999999999998</v>
      </c>
      <c r="DB47" s="971">
        <f>ROUND(IF(WWWW[[#This Row],[Total PoP ]]&lt;500,1,WWWW[[#This Row],[Total PoP ]]/500),0)</f>
        <v>5</v>
      </c>
      <c r="DC47" s="971">
        <f>(WWWW[[#This Row],['#_Constructed latrines_by_WASHAgencies]]+WWWW[[#This Row],['#_Non Cluster partner latrines]])-WWWW[[#This Row],['#_Non-functional latrines]]</f>
        <v>438</v>
      </c>
      <c r="DD47" s="619">
        <f>WWWW[[#This Row],[HRP2]]/WWWW[[#This Row],[Total PoP ]]</f>
        <v>1</v>
      </c>
      <c r="DE4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2503</v>
      </c>
      <c r="DF4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 s="421">
        <f>IF(WWWW[[#This Row],['# of functional latrines in THF supported by WASH partners during the reporting period2]]="",0,WWWW[[#This Row],['# of functional latrines in THF supported by WASH partners during the reporting period2]]*50)</f>
        <v>100</v>
      </c>
      <c r="DI47" s="971">
        <f>ROUND(IF(WWWW[[#This Row],[Location Type 1]]="camp",WWWW[[#This Row],[Total PoP ]]/20,IF(WWWW[[#This Row],[Location Type 1]]="Temporary Location",WWWW[[#This Row],[Total PoP ]]/50,(WWWW[[#This Row],[Total PoP ]]/6))),0)</f>
        <v>125</v>
      </c>
      <c r="DJ47" s="971">
        <f>IF(WWWW[[#This Row],[Total required Latrines]]-(WWWW[[#This Row],['#_Constructed latrines_by_WASHAgencies]]+WWWW[[#This Row],['#_Non Cluster partner latrines]])&lt;0,0,WWWW[[#This Row],[Total required Latrines]]-(WWWW[[#This Row],['#_Constructed latrines_by_WASHAgencies]]+WWWW[[#This Row],['#_Non Cluster partner latrines]]))</f>
        <v>0</v>
      </c>
      <c r="DK47" s="973">
        <f>1-WWWW[[#This Row],[% people access to functioning Latrine]]</f>
        <v>0</v>
      </c>
      <c r="DL47" s="972">
        <f>IF(OR(WWWW[[#This Row],['#_Non-functional latrines]]="",WWWW[[#This Row],['#_Non-functional latrines]]=0),0,WWWW[[#This Row],['#_Non-functional latrines]]/(WWWW[[#This Row],['#_Constructed latrines_by_WASHAgencies]]+WWWW[[#This Row],['#_Non Cluster partner latrines]]))</f>
        <v>0</v>
      </c>
      <c r="DM47" s="968">
        <f>IF(500*(WWWW[[#This Row],['#_male hygiene promoters]]+WWWW[[#This Row],['#_female hygiene promoters]])&gt;WWWW[[#This Row],[Total PoP ]],WWWW[[#This Row],[Total PoP ]],500*(WWWW[[#This Row],['#_male hygiene promoters]]+WWWW[[#This Row],['#_female hygiene promoters]]))</f>
        <v>2503</v>
      </c>
      <c r="DN4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 s="971">
        <f>IF(WWWW[[#This Row],['# People with access to soap]]&gt;WWWW[[#This Row],['# People with access to Sanity Pads]],WWWW[[#This Row],['# People with access to soap]],WWWW[[#This Row],['# People with access to Sanity Pads]])</f>
        <v>0</v>
      </c>
      <c r="DQ47" s="971">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R47" s="973">
        <f>IF(WWWW[[#This Row],[HRP3]]/WWWW[[#This Row],[Total PoP ]]&gt;1,1,WWWW[[#This Row],[HRP3]]/WWWW[[#This Row],[Total PoP ]])</f>
        <v>1</v>
      </c>
      <c r="DS47" s="972">
        <f>1-WWWW[[#This Row],[Hygiene Coverage%]]</f>
        <v>0</v>
      </c>
      <c r="DT47" s="970">
        <f>WWWW[[#This Row],['# people reached by regular dedicated hygiene promotion_5]]/WWWW[[#This Row],[Total PoP ]]</f>
        <v>1</v>
      </c>
      <c r="DU4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 s="971">
        <f>WWWW[[#This Row],['#_Constructed/Existing hand washing stations]]-WWWW[[#This Row],['#_Non-Functional_hand_washing_stations]]</f>
        <v>7</v>
      </c>
      <c r="DX47" s="968">
        <f>IF(WWWW[[#This Row],['# Functional hand washing stations during reporting period]]*20&gt;WWWW[[#This Row],[Total HH]],WWWW[[#This Row],[Total HH]],WWWW[[#This Row],['# Functional hand washing stations during reporting period]]*20)</f>
        <v>140</v>
      </c>
      <c r="DY47" s="968">
        <f>IF(WWWW[[#This Row],[Is sufficient soap available for TLS? (Yes/No)]]="yes",WWWW[[#This Row],['#_Constructed/Existing hand washing stations at TLS/CFS/THF]],0)</f>
        <v>0</v>
      </c>
      <c r="DZ47" s="425">
        <f>IF(WWWW[[#This Row],['# Functional hand washing stations during reporting period]]*100&gt;WWWW[[#This Row],[Total PoP ]],WWWW[[#This Row],[Total PoP ]],WWWW[[#This Row],['# Functional hand washing stations during reporting period]]*100)</f>
        <v>700</v>
      </c>
      <c r="EA47" s="425" t="str">
        <f>IF(OR(WWWW[[#This Row],['#_students at TLS_CFS]]="",WWWW[[#This Row],['#_students at TLS_CFS]]=0),"No","Yes")</f>
        <v>No</v>
      </c>
      <c r="EB4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 s="570">
        <f>WWWW[[#This Row],[%_of_affected_people_surveyed_who_report_feeling_satistfied_with_the_latrine_design_and_sanitation_service]]*WWWW[[#This Row],[Total PoP ]]</f>
        <v>0</v>
      </c>
      <c r="ED47" s="570">
        <f>WWWW[[#This Row],[%_of_affected_people_surveyed_who_report_feeling_satistfied_with_the_water_point_design_and_water_service]]*WWWW[[#This Row],[Total PoP ]]</f>
        <v>0</v>
      </c>
      <c r="EE47" s="570">
        <f>WWWW[[#This Row],[%_of_complaints_received_that_result_in_timely_corrective_action_and_feedback_to_the_community]]*WWWW[[#This Row],[Total PoP ]]</f>
        <v>0</v>
      </c>
      <c r="EF4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4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47" s="964" t="str">
        <f>VLOOKUP(WWWW[[#This Row],[Site Name]],SiteDB6[[Site Name]:[CCCM Management]],6,FALSE)</f>
        <v>Yes</v>
      </c>
      <c r="EJ47" s="964" t="str">
        <f>VLOOKUP(WWWW[[#This Row],[Site Name]],SiteDB6[[Site Name]:[CCCM Focal Agency]],7,FALSE)</f>
        <v>KMSS-BMO</v>
      </c>
      <c r="EK47" s="964" t="str">
        <f>VLOOKUP(WWWW[[#This Row],[Site Name]],SiteDB6[[Site Name]:[Location Type 1]],9,FALSE)</f>
        <v>Camp</v>
      </c>
      <c r="EL47" s="964" t="str">
        <f>VLOOKUP(WWWW[[#This Row],[Site Name]],SiteDB6[[Site Name]:[Type of Accommodation]],10,FALSE)</f>
        <v>Camp</v>
      </c>
      <c r="EM47" s="964" t="str">
        <f>VLOOKUP(WWWW[[#This Row],[Site Name]],SiteDB6[[Site Name]:[Ethnic or GCA/NGCA]],11,FALSE)</f>
        <v>NGCA</v>
      </c>
      <c r="EN47" s="964">
        <f>VLOOKUP(WWWW[[#This Row],[Site Name]],SiteDB6[[Site Name]:[Lat]],12,FALSE)</f>
        <v>24.056132999999999</v>
      </c>
      <c r="EO47" s="964">
        <f>VLOOKUP(WWWW[[#This Row],[Site Name]],SiteDB6[[Site Name]:[Long]],13,FALSE)</f>
        <v>97.625617000000005</v>
      </c>
      <c r="EP47" s="964" t="str">
        <f>VLOOKUP(WWWW[[#This Row],[Site Name]],SiteDB6[[Site Name]:[Pcode]],3,FALSE)</f>
        <v>MMR001CMP128</v>
      </c>
      <c r="EQ47" s="969" t="str">
        <f t="shared" si="1"/>
        <v>Covered</v>
      </c>
      <c r="ER47" s="969" t="s">
        <v>136</v>
      </c>
      <c r="ES47" s="964">
        <f>VLOOKUP(WWWW[[#This Row],[Site Name]],SiteDB6[[Site Name]:[Pop
(Kachin/Shan-CCCM as of March 2023)]],16,FALSE)</f>
        <v>541</v>
      </c>
      <c r="ET47" s="964">
        <f>VLOOKUP(WWWW[[#This Row],[Site Name]],SiteDB6[[Site Name]:[Pop
(Kachin/Shan-CCCM as of March 2023)]],17,FALSE)</f>
        <v>2507</v>
      </c>
    </row>
    <row r="48" spans="1:150" hidden="1">
      <c r="A48" s="962" t="s">
        <v>2977</v>
      </c>
      <c r="B48" s="963" t="s">
        <v>141</v>
      </c>
      <c r="C48" s="963" t="s">
        <v>141</v>
      </c>
      <c r="D48" s="963" t="s">
        <v>241</v>
      </c>
      <c r="E48" s="963" t="s">
        <v>37</v>
      </c>
      <c r="F48" s="963" t="s">
        <v>152</v>
      </c>
      <c r="G48" s="964" t="str">
        <f>VLOOKUP(WWWW[[#This Row],[Site Name]],SiteDB6[[Site Name]:[Location Type]],8,FALSE)</f>
        <v>Camp</v>
      </c>
      <c r="H48" s="963" t="s">
        <v>155</v>
      </c>
      <c r="I48" s="965">
        <v>10</v>
      </c>
      <c r="J48" s="965">
        <v>51</v>
      </c>
      <c r="K48" s="966">
        <v>44811</v>
      </c>
      <c r="L48" s="967">
        <v>45175</v>
      </c>
      <c r="M48" s="965"/>
      <c r="N48" s="965">
        <v>1</v>
      </c>
      <c r="O48" s="965"/>
      <c r="P48" s="965"/>
      <c r="Q48" s="968" t="s">
        <v>41</v>
      </c>
      <c r="R48" s="965">
        <v>2</v>
      </c>
      <c r="S48" s="965">
        <v>1</v>
      </c>
      <c r="T48" s="445">
        <v>2</v>
      </c>
      <c r="U48" s="965">
        <v>1</v>
      </c>
      <c r="V48" s="965"/>
      <c r="W48" s="965">
        <v>2</v>
      </c>
      <c r="X48" s="965"/>
      <c r="Y48" s="965"/>
      <c r="Z48" s="965"/>
      <c r="AA48" s="965"/>
      <c r="AB48" s="965"/>
      <c r="AC48" s="965"/>
      <c r="AD48" s="965"/>
      <c r="AE48" s="965"/>
      <c r="AF48" s="965"/>
      <c r="AG48" s="965"/>
      <c r="AH48" s="965">
        <v>3</v>
      </c>
      <c r="AI48" s="965"/>
      <c r="AJ48" s="965"/>
      <c r="AK48" s="965"/>
      <c r="AL48" s="965"/>
      <c r="AM48" s="965"/>
      <c r="AN48" s="965"/>
      <c r="AO48" s="445"/>
      <c r="AP48" s="969"/>
      <c r="AQ48" s="965">
        <v>4</v>
      </c>
      <c r="AR48" s="965"/>
      <c r="AS48" s="970"/>
      <c r="AT48" s="965"/>
      <c r="AU48" s="965"/>
      <c r="AV48" s="965"/>
      <c r="AW48" s="965"/>
      <c r="AX48" s="965">
        <v>3</v>
      </c>
      <c r="AY48" s="964" t="s">
        <v>41</v>
      </c>
      <c r="AZ48" s="969" t="s">
        <v>137</v>
      </c>
      <c r="BA48" s="965"/>
      <c r="BB48" s="965"/>
      <c r="BC48" s="965"/>
      <c r="BD48" s="445"/>
      <c r="BE48" s="445"/>
      <c r="BF48" s="964"/>
      <c r="BG48" s="965">
        <v>3</v>
      </c>
      <c r="BH48" s="965"/>
      <c r="BI48" s="965"/>
      <c r="BJ48" s="965">
        <v>2</v>
      </c>
      <c r="BK48" s="965"/>
      <c r="BL48" s="965"/>
      <c r="BM48" s="965"/>
      <c r="BN48" s="965"/>
      <c r="BO48" s="965"/>
      <c r="BP48" s="964"/>
      <c r="BQ48" s="971"/>
      <c r="BR48" s="970"/>
      <c r="BS48" s="964"/>
      <c r="BT48" s="420"/>
      <c r="BU48" s="420"/>
      <c r="BV48" s="422"/>
      <c r="BW48" s="420"/>
      <c r="BX48" s="445"/>
      <c r="BY48" s="445"/>
      <c r="BZ48" s="445"/>
      <c r="CA48" s="445"/>
      <c r="CB48" s="445"/>
      <c r="CC48" s="702"/>
      <c r="CD48" s="445"/>
      <c r="CE48" s="972" t="str">
        <f>IFERROR(WWWW[[#This Row],['#_Water sources passed]]/WWWW[[#This Row],['#_Water sources tested for fecal coliform ]],"no test")</f>
        <v>no test</v>
      </c>
      <c r="CF48" s="970" t="str">
        <f>IFERROR(WWWW[[#This Row],['#_Household passed]]/WWWW[[#This Row],['#_Household water samples tested for fecal coliform]],"no test")</f>
        <v>no test</v>
      </c>
      <c r="CG48" s="971" t="str">
        <f>IF(AND(WWWW[[#This Row],[% of water sources passed]]="no test",WWWW[[#This Row],[% Household passed]]="no test"),"No Test","Tested")</f>
        <v>No Test</v>
      </c>
      <c r="CH48" s="971">
        <f>WWWW[[#This Row],['#_Constructed/existing protected hand dug well]]-WWWW[[#This Row],['#_Non-functional protected hand dug well]]</f>
        <v>1</v>
      </c>
      <c r="CI48" s="971">
        <f>(WWWW[[#This Row],['#_Constructed/Existing tube wells/boreholes/handpumps_WASH_agency]]+WWWW[[#This Row],['#_Non-Cluster partner water tube-wells/boreholes/handpumps]])-WWWW[[#This Row],['#_Non-functional tube wells/boreholes/handpumps]]</f>
        <v>2</v>
      </c>
      <c r="CJ48" s="971">
        <f>WWWW[[#This Row],['#_Constructed/Existingwater storage tank with gravity fed reticulation system]]-WWWW[[#This Row],['#_Non-functional storage tank gravity fed reticulation system]]</f>
        <v>0</v>
      </c>
      <c r="CK48" s="971">
        <f>(WWWW[[#This Row],['#_Water_Liters_supplied_by_Water boating or water trucking]]/90)/15</f>
        <v>0</v>
      </c>
      <c r="CL48" s="971">
        <f>WWWW[[#This Row],['#_Water_Liters_from_Constructed/Existing water distribution system from river or natural spring]]/90/15</f>
        <v>0</v>
      </c>
      <c r="CM48" s="421">
        <f>IF(WWWW[[#This Row],['#_of water points in TLS/CFS]]*500&gt;WWWW[[#This Row],[Total PoP ]],WWWW[[#This Row],[Total PoP ]],WWWW[[#This Row],['#_of water points in TLS/CFS]]*500)</f>
        <v>0</v>
      </c>
      <c r="CN48" s="421">
        <f>IF(WWWW[[#This Row],['#_of water points in THF]]*500&gt;WWWW[[#This Row],[Total PoP ]],WWWW[[#This Row],[Total PoP ]],WWWW[[#This Row],['#_of water points in THF]]*500)</f>
        <v>0</v>
      </c>
      <c r="CO48" s="421"/>
      <c r="CP4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 s="970">
        <f>IF(WWWW[[#This Row],[Location Type 1]]="Village",WWWW[[#This Row],[Access to safe drinking water for Village]],WWWW[[#This Row],[Access to safe drinking water for Camp]])</f>
        <v>1</v>
      </c>
      <c r="CS48" s="968">
        <f>WWWW[[#This Row],[%Equitable and continuous access to sufficient quantity of safe drinking water]]*WWWW[[#This Row],[Total PoP ]]</f>
        <v>51</v>
      </c>
      <c r="CT48" s="970">
        <f>IF((WWWW[[#This Row],['#_Constructed/Existing protected/fenced ponds]]*250)/WWWW[[#This Row],[Total PoP ]]&gt;1,1,(WWWW[[#This Row],['#_Constructed/Existing protected/fenced ponds]]*250)/WWWW[[#This Row],[Total PoP ]])</f>
        <v>0</v>
      </c>
      <c r="CU48" s="968">
        <f>WWWW[[#This Row],[% Access to unimproved water points]]*WWWW[[#This Row],[Total PoP ]]</f>
        <v>0</v>
      </c>
      <c r="CV4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v>
      </c>
      <c r="CX48" s="968">
        <f>WWWW[[#This Row],[HRP1]]/500</f>
        <v>0.10199999999999999</v>
      </c>
      <c r="CY48" s="973">
        <f>1-WWWW[[#This Row],[% Equitable and continuous access to sufficient quantity of domestic water]]</f>
        <v>0</v>
      </c>
      <c r="CZ48" s="968">
        <f>WWWW[[#This Row],[%equitable and continuous access to sufficient quantity of safe drinking and domestic water''s GAP]]*WWWW[[#This Row],[Total PoP ]]</f>
        <v>0</v>
      </c>
      <c r="DA48" s="971">
        <f>IF(WWWW[[#This Row],[Total required water points]]-WWWW[[#This Row],['#Water points coverage]]&lt;0,0,WWWW[[#This Row],[Total required water points]]-WWWW[[#This Row],['#Water points coverage]])</f>
        <v>0.89800000000000002</v>
      </c>
      <c r="DB48" s="971">
        <f>ROUND(IF(WWWW[[#This Row],[Total PoP ]]&lt;500,1,WWWW[[#This Row],[Total PoP ]]/500),0)</f>
        <v>1</v>
      </c>
      <c r="DC48" s="971">
        <f>(WWWW[[#This Row],['#_Constructed latrines_by_WASHAgencies]]+WWWW[[#This Row],['#_Non Cluster partner latrines]])-WWWW[[#This Row],['#_Non-functional latrines]]</f>
        <v>4</v>
      </c>
      <c r="DD48" s="619">
        <f>WWWW[[#This Row],[HRP2]]/WWWW[[#This Row],[Total PoP ]]</f>
        <v>1</v>
      </c>
      <c r="DE4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v>
      </c>
      <c r="DF4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 s="421">
        <f>IF(WWWW[[#This Row],['# of functional latrines in THF supported by WASH partners during the reporting period2]]="",0,WWWW[[#This Row],['# of functional latrines in THF supported by WASH partners during the reporting period2]]*50)</f>
        <v>0</v>
      </c>
      <c r="DI48" s="971">
        <f>ROUND(IF(WWWW[[#This Row],[Location Type 1]]="camp",WWWW[[#This Row],[Total PoP ]]/20,IF(WWWW[[#This Row],[Location Type 1]]="Temporary Location",WWWW[[#This Row],[Total PoP ]]/50,(WWWW[[#This Row],[Total PoP ]]/6))),0)</f>
        <v>3</v>
      </c>
      <c r="DJ48" s="971">
        <f>IF(WWWW[[#This Row],[Total required Latrines]]-(WWWW[[#This Row],['#_Constructed latrines_by_WASHAgencies]]+WWWW[[#This Row],['#_Non Cluster partner latrines]])&lt;0,0,WWWW[[#This Row],[Total required Latrines]]-(WWWW[[#This Row],['#_Constructed latrines_by_WASHAgencies]]+WWWW[[#This Row],['#_Non Cluster partner latrines]]))</f>
        <v>0</v>
      </c>
      <c r="DK48" s="973">
        <f>1-WWWW[[#This Row],[% people access to functioning Latrine]]</f>
        <v>0</v>
      </c>
      <c r="DL48" s="972">
        <f>IF(OR(WWWW[[#This Row],['#_Non-functional latrines]]="",WWWW[[#This Row],['#_Non-functional latrines]]=0),0,WWWW[[#This Row],['#_Non-functional latrines]]/(WWWW[[#This Row],['#_Constructed latrines_by_WASHAgencies]]+WWWW[[#This Row],['#_Non Cluster partner latrines]]))</f>
        <v>0</v>
      </c>
      <c r="DM48" s="968">
        <f>IF(500*(WWWW[[#This Row],['#_male hygiene promoters]]+WWWW[[#This Row],['#_female hygiene promoters]])&gt;WWWW[[#This Row],[Total PoP ]],WWWW[[#This Row],[Total PoP ]],500*(WWWW[[#This Row],['#_male hygiene promoters]]+WWWW[[#This Row],['#_female hygiene promoters]]))</f>
        <v>0</v>
      </c>
      <c r="DN4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 s="971">
        <f>IF(WWWW[[#This Row],['# People with access to soap]]&gt;WWWW[[#This Row],['# People with access to Sanity Pads]],WWWW[[#This Row],['# People with access to soap]],WWWW[[#This Row],['# People with access to Sanity Pads]])</f>
        <v>0</v>
      </c>
      <c r="DQ48"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8" s="973">
        <f>IF(WWWW[[#This Row],[HRP3]]/WWWW[[#This Row],[Total PoP ]]&gt;1,1,WWWW[[#This Row],[HRP3]]/WWWW[[#This Row],[Total PoP ]])</f>
        <v>0</v>
      </c>
      <c r="DS48" s="972">
        <f>1-WWWW[[#This Row],[Hygiene Coverage%]]</f>
        <v>1</v>
      </c>
      <c r="DT48" s="970">
        <f>WWWW[[#This Row],['# people reached by regular dedicated hygiene promotion_5]]/WWWW[[#This Row],[Total PoP ]]</f>
        <v>0</v>
      </c>
      <c r="DU4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 s="971">
        <f>WWWW[[#This Row],['#_Constructed/Existing hand washing stations]]-WWWW[[#This Row],['#_Non-Functional_hand_washing_stations]]</f>
        <v>3</v>
      </c>
      <c r="DX48" s="968">
        <f>IF(WWWW[[#This Row],['# Functional hand washing stations during reporting period]]*20&gt;WWWW[[#This Row],[Total HH]],WWWW[[#This Row],[Total HH]],WWWW[[#This Row],['# Functional hand washing stations during reporting period]]*20)</f>
        <v>10</v>
      </c>
      <c r="DY48" s="968">
        <f>IF(WWWW[[#This Row],[Is sufficient soap available for TLS? (Yes/No)]]="yes",WWWW[[#This Row],['#_Constructed/Existing hand washing stations at TLS/CFS/THF]],0)</f>
        <v>0</v>
      </c>
      <c r="DZ48" s="425">
        <f>IF(WWWW[[#This Row],['# Functional hand washing stations during reporting period]]*100&gt;WWWW[[#This Row],[Total PoP ]],WWWW[[#This Row],[Total PoP ]],WWWW[[#This Row],['# Functional hand washing stations during reporting period]]*100)</f>
        <v>51</v>
      </c>
      <c r="EA48" s="425" t="str">
        <f>IF(OR(WWWW[[#This Row],['#_students at TLS_CFS]]="",WWWW[[#This Row],['#_students at TLS_CFS]]=0),"No","Yes")</f>
        <v>No</v>
      </c>
      <c r="EB4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 s="570">
        <f>WWWW[[#This Row],[%_of_affected_people_surveyed_who_report_feeling_satistfied_with_the_latrine_design_and_sanitation_service]]*WWWW[[#This Row],[Total PoP ]]</f>
        <v>0</v>
      </c>
      <c r="ED48" s="570">
        <f>WWWW[[#This Row],[%_of_affected_people_surveyed_who_report_feeling_satistfied_with_the_water_point_design_and_water_service]]*WWWW[[#This Row],[Total PoP ]]</f>
        <v>0</v>
      </c>
      <c r="EE48" s="570">
        <f>WWWW[[#This Row],[%_of_complaints_received_that_result_in_timely_corrective_action_and_feedback_to_the_community]]*WWWW[[#This Row],[Total PoP ]]</f>
        <v>0</v>
      </c>
      <c r="EF4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 s="964" t="str">
        <f>VLOOKUP(WWWW[[#This Row],[Site Name]],SiteDB6[[Site Name]:[CCCM Management]],6,FALSE)</f>
        <v>Yes</v>
      </c>
      <c r="EJ48" s="964" t="str">
        <f>VLOOKUP(WWWW[[#This Row],[Site Name]],SiteDB6[[Site Name]:[CCCM Focal Agency]],7,FALSE)</f>
        <v>KBC-MYT</v>
      </c>
      <c r="EK48" s="964" t="str">
        <f>VLOOKUP(WWWW[[#This Row],[Site Name]],SiteDB6[[Site Name]:[Location Type 1]],9,FALSE)</f>
        <v>Camp</v>
      </c>
      <c r="EL48" s="964" t="str">
        <f>VLOOKUP(WWWW[[#This Row],[Site Name]],SiteDB6[[Site Name]:[Type of Accommodation]],10,FALSE)</f>
        <v>Camp</v>
      </c>
      <c r="EM48" s="964" t="str">
        <f>VLOOKUP(WWWW[[#This Row],[Site Name]],SiteDB6[[Site Name]:[Ethnic or GCA/NGCA]],11,FALSE)</f>
        <v>GCA</v>
      </c>
      <c r="EN48" s="964">
        <f>VLOOKUP(WWWW[[#This Row],[Site Name]],SiteDB6[[Site Name]:[Lat]],12,FALSE)</f>
        <v>25.30442</v>
      </c>
      <c r="EO48" s="964">
        <f>VLOOKUP(WWWW[[#This Row],[Site Name]],SiteDB6[[Site Name]:[Long]],13,FALSE)</f>
        <v>96.948740000000001</v>
      </c>
      <c r="EP48" s="964" t="str">
        <f>VLOOKUP(WWWW[[#This Row],[Site Name]],SiteDB6[[Site Name]:[Pcode]],3,FALSE)</f>
        <v>MMR001CMP079</v>
      </c>
      <c r="EQ48" s="969" t="str">
        <f t="shared" si="1"/>
        <v>Covered</v>
      </c>
      <c r="ER48" s="969" t="s">
        <v>3147</v>
      </c>
      <c r="ES48" s="964">
        <f>VLOOKUP(WWWW[[#This Row],[Site Name]],SiteDB6[[Site Name]:[Pop
(Kachin/Shan-CCCM as of March 2023)]],16,FALSE)</f>
        <v>10</v>
      </c>
      <c r="ET48" s="964">
        <f>VLOOKUP(WWWW[[#This Row],[Site Name]],SiteDB6[[Site Name]:[Pop
(Kachin/Shan-CCCM as of March 2023)]],17,FALSE)</f>
        <v>48</v>
      </c>
    </row>
    <row r="49" spans="1:150" hidden="1">
      <c r="A49" s="962" t="s">
        <v>2977</v>
      </c>
      <c r="B49" s="962" t="s">
        <v>291</v>
      </c>
      <c r="C49" s="963" t="s">
        <v>291</v>
      </c>
      <c r="D49" s="963" t="s">
        <v>2609</v>
      </c>
      <c r="E49" s="963" t="s">
        <v>37</v>
      </c>
      <c r="F49" s="963" t="s">
        <v>205</v>
      </c>
      <c r="G49" s="964" t="str">
        <f>VLOOKUP(WWWW[[#This Row],[Site Name]],SiteDB6[[Site Name]:[Location Type]],8,FALSE)</f>
        <v>Camp</v>
      </c>
      <c r="H49" s="963" t="s">
        <v>295</v>
      </c>
      <c r="I49" s="965">
        <v>349</v>
      </c>
      <c r="J49" s="965">
        <v>1570</v>
      </c>
      <c r="K49" s="966">
        <v>44652</v>
      </c>
      <c r="L49" s="967">
        <v>44926</v>
      </c>
      <c r="M49" s="965"/>
      <c r="N49" s="965"/>
      <c r="O49" s="965"/>
      <c r="P49" s="965"/>
      <c r="Q49" s="968" t="s">
        <v>41</v>
      </c>
      <c r="R49" s="965"/>
      <c r="S49" s="965"/>
      <c r="T49" s="445"/>
      <c r="U49" s="965"/>
      <c r="V49" s="965"/>
      <c r="W49" s="965"/>
      <c r="X49" s="965"/>
      <c r="Y49" s="965"/>
      <c r="Z49" s="965"/>
      <c r="AA49" s="965"/>
      <c r="AB49" s="965"/>
      <c r="AC49" s="965"/>
      <c r="AD49" s="965"/>
      <c r="AE49" s="965">
        <v>6</v>
      </c>
      <c r="AF49" s="965"/>
      <c r="AG49" s="965"/>
      <c r="AH49" s="965">
        <v>6</v>
      </c>
      <c r="AI49" s="965"/>
      <c r="AJ49" s="965"/>
      <c r="AK49" s="965"/>
      <c r="AL49" s="965"/>
      <c r="AM49" s="965">
        <v>4</v>
      </c>
      <c r="AN49" s="965">
        <v>2</v>
      </c>
      <c r="AO49" s="445"/>
      <c r="AP49" s="969"/>
      <c r="AQ49" s="965">
        <v>181</v>
      </c>
      <c r="AR49" s="965"/>
      <c r="AS49" s="970"/>
      <c r="AT49" s="965"/>
      <c r="AU49" s="965"/>
      <c r="AV49" s="965"/>
      <c r="AW49" s="965"/>
      <c r="AX49" s="965">
        <v>71</v>
      </c>
      <c r="AY49" s="964" t="s">
        <v>136</v>
      </c>
      <c r="AZ49" s="969" t="s">
        <v>137</v>
      </c>
      <c r="BA49" s="965">
        <v>2</v>
      </c>
      <c r="BB49" s="965"/>
      <c r="BC49" s="965">
        <v>16</v>
      </c>
      <c r="BD49" s="445">
        <v>2</v>
      </c>
      <c r="BE49" s="445"/>
      <c r="BF49" s="964"/>
      <c r="BG49" s="965">
        <v>8</v>
      </c>
      <c r="BH49" s="965"/>
      <c r="BI49" s="965">
        <v>30</v>
      </c>
      <c r="BJ49" s="965">
        <v>3</v>
      </c>
      <c r="BK49" s="965"/>
      <c r="BL49" s="965"/>
      <c r="BM49" s="965">
        <v>6</v>
      </c>
      <c r="BN49" s="965"/>
      <c r="BO49" s="965"/>
      <c r="BP49" s="964"/>
      <c r="BQ49" s="971"/>
      <c r="BR49" s="970"/>
      <c r="BS49" s="964"/>
      <c r="BT49" s="420"/>
      <c r="BU49" s="420"/>
      <c r="BV49" s="422"/>
      <c r="BW49" s="420"/>
      <c r="BX49" s="445"/>
      <c r="BY49" s="445"/>
      <c r="BZ49" s="445"/>
      <c r="CA49" s="445"/>
      <c r="CB49" s="445"/>
      <c r="CC49" s="702"/>
      <c r="CD49" s="445"/>
      <c r="CE49" s="972" t="str">
        <f>IFERROR(WWWW[[#This Row],['#_Water sources passed]]/WWWW[[#This Row],['#_Water sources tested for fecal coliform ]],"no test")</f>
        <v>no test</v>
      </c>
      <c r="CF49" s="970" t="str">
        <f>IFERROR(WWWW[[#This Row],['#_Household passed]]/WWWW[[#This Row],['#_Household water samples tested for fecal coliform]],"no test")</f>
        <v>no test</v>
      </c>
      <c r="CG49" s="971" t="str">
        <f>IF(AND(WWWW[[#This Row],[% of water sources passed]]="no test",WWWW[[#This Row],[% Household passed]]="no test"),"No Test","Tested")</f>
        <v>No Test</v>
      </c>
      <c r="CH49" s="971">
        <f>WWWW[[#This Row],['#_Constructed/existing protected hand dug well]]-WWWW[[#This Row],['#_Non-functional protected hand dug well]]</f>
        <v>0</v>
      </c>
      <c r="CI49" s="971">
        <f>(WWWW[[#This Row],['#_Constructed/Existing tube wells/boreholes/handpumps_WASH_agency]]+WWWW[[#This Row],['#_Non-Cluster partner water tube-wells/boreholes/handpumps]])-WWWW[[#This Row],['#_Non-functional tube wells/boreholes/handpumps]]</f>
        <v>0</v>
      </c>
      <c r="CJ49" s="971">
        <f>WWWW[[#This Row],['#_Constructed/Existingwater storage tank with gravity fed reticulation system]]-WWWW[[#This Row],['#_Non-functional storage tank gravity fed reticulation system]]</f>
        <v>0</v>
      </c>
      <c r="CK49" s="971">
        <f>(WWWW[[#This Row],['#_Water_Liters_supplied_by_Water boating or water trucking]]/90)/15</f>
        <v>0</v>
      </c>
      <c r="CL49" s="971">
        <f>WWWW[[#This Row],['#_Water_Liters_from_Constructed/Existing water distribution system from river or natural spring]]/90/15</f>
        <v>0</v>
      </c>
      <c r="CM49" s="421">
        <f>IF(WWWW[[#This Row],['#_of water points in TLS/CFS]]*500&gt;WWWW[[#This Row],[Total PoP ]],WWWW[[#This Row],[Total PoP ]],WWWW[[#This Row],['#_of water points in TLS/CFS]]*500)</f>
        <v>1000</v>
      </c>
      <c r="CN49" s="421">
        <f>IF(WWWW[[#This Row],['#_of water points in THF]]*500&gt;WWWW[[#This Row],[Total PoP ]],WWWW[[#This Row],[Total PoP ]],WWWW[[#This Row],['#_of water points in THF]]*500)</f>
        <v>0</v>
      </c>
      <c r="CO49" s="421"/>
      <c r="CP4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9" s="970">
        <f>IF(WWWW[[#This Row],[Location Type 1]]="Village",WWWW[[#This Row],[Access to safe drinking water for Village]],WWWW[[#This Row],[Access to safe drinking water for Camp]])</f>
        <v>0</v>
      </c>
      <c r="CS49" s="968">
        <f>WWWW[[#This Row],[%Equitable and continuous access to sufficient quantity of safe drinking water]]*WWWW[[#This Row],[Total PoP ]]</f>
        <v>0</v>
      </c>
      <c r="CT49" s="970">
        <f>IF((WWWW[[#This Row],['#_Constructed/Existing protected/fenced ponds]]*250)/WWWW[[#This Row],[Total PoP ]]&gt;1,1,(WWWW[[#This Row],['#_Constructed/Existing protected/fenced ponds]]*250)/WWWW[[#This Row],[Total PoP ]])</f>
        <v>0.95541401273885351</v>
      </c>
      <c r="CU49" s="968">
        <f>WWWW[[#This Row],[% Access to unimproved water points]]*WWWW[[#This Row],[Total PoP ]]</f>
        <v>1500</v>
      </c>
      <c r="CV4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W4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X49" s="968">
        <f>WWWW[[#This Row],[HRP1]]/500</f>
        <v>3</v>
      </c>
      <c r="CY49" s="973">
        <f>1-WWWW[[#This Row],[% Equitable and continuous access to sufficient quantity of domestic water]]</f>
        <v>4.4585987261146487E-2</v>
      </c>
      <c r="CZ49" s="968">
        <f>WWWW[[#This Row],[%equitable and continuous access to sufficient quantity of safe drinking and domestic water''s GAP]]*WWWW[[#This Row],[Total PoP ]]</f>
        <v>69.999999999999986</v>
      </c>
      <c r="DA49" s="971">
        <f>IF(WWWW[[#This Row],[Total required water points]]-WWWW[[#This Row],['#Water points coverage]]&lt;0,0,WWWW[[#This Row],[Total required water points]]-WWWW[[#This Row],['#Water points coverage]])</f>
        <v>0</v>
      </c>
      <c r="DB49" s="971">
        <f>ROUND(IF(WWWW[[#This Row],[Total PoP ]]&lt;500,1,WWWW[[#This Row],[Total PoP ]]/500),0)</f>
        <v>3</v>
      </c>
      <c r="DC49" s="971">
        <f>(WWWW[[#This Row],['#_Constructed latrines_by_WASHAgencies]]+WWWW[[#This Row],['#_Non Cluster partner latrines]])-WWWW[[#This Row],['#_Non-functional latrines]]</f>
        <v>181</v>
      </c>
      <c r="DD49" s="619">
        <f>WWWW[[#This Row],[HRP2]]/WWWW[[#This Row],[Total PoP ]]</f>
        <v>1</v>
      </c>
      <c r="DE4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1570</v>
      </c>
      <c r="DF4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 s="421">
        <f>IF(WWWW[[#This Row],['# of functional latrines in THF supported by WASH partners during the reporting period2]]="",0,WWWW[[#This Row],['# of functional latrines in THF supported by WASH partners during the reporting period2]]*50)</f>
        <v>100</v>
      </c>
      <c r="DI49" s="971">
        <f>ROUND(IF(WWWW[[#This Row],[Location Type 1]]="camp",WWWW[[#This Row],[Total PoP ]]/20,IF(WWWW[[#This Row],[Location Type 1]]="Temporary Location",WWWW[[#This Row],[Total PoP ]]/50,(WWWW[[#This Row],[Total PoP ]]/6))),0)</f>
        <v>79</v>
      </c>
      <c r="DJ49" s="971">
        <f>IF(WWWW[[#This Row],[Total required Latrines]]-(WWWW[[#This Row],['#_Constructed latrines_by_WASHAgencies]]+WWWW[[#This Row],['#_Non Cluster partner latrines]])&lt;0,0,WWWW[[#This Row],[Total required Latrines]]-(WWWW[[#This Row],['#_Constructed latrines_by_WASHAgencies]]+WWWW[[#This Row],['#_Non Cluster partner latrines]]))</f>
        <v>0</v>
      </c>
      <c r="DK49" s="973">
        <f>1-WWWW[[#This Row],[% people access to functioning Latrine]]</f>
        <v>0</v>
      </c>
      <c r="DL49" s="972">
        <f>IF(OR(WWWW[[#This Row],['#_Non-functional latrines]]="",WWWW[[#This Row],['#_Non-functional latrines]]=0),0,WWWW[[#This Row],['#_Non-functional latrines]]/(WWWW[[#This Row],['#_Constructed latrines_by_WASHAgencies]]+WWWW[[#This Row],['#_Non Cluster partner latrines]]))</f>
        <v>0</v>
      </c>
      <c r="DM49" s="968">
        <f>IF(500*(WWWW[[#This Row],['#_male hygiene promoters]]+WWWW[[#This Row],['#_female hygiene promoters]])&gt;WWWW[[#This Row],[Total PoP ]],WWWW[[#This Row],[Total PoP ]],500*(WWWW[[#This Row],['#_male hygiene promoters]]+WWWW[[#This Row],['#_female hygiene promoters]]))</f>
        <v>1570</v>
      </c>
      <c r="DN4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 s="971">
        <f>IF(WWWW[[#This Row],['# People with access to soap]]&gt;WWWW[[#This Row],['# People with access to Sanity Pads]],WWWW[[#This Row],['# People with access to soap]],WWWW[[#This Row],['# People with access to Sanity Pads]])</f>
        <v>0</v>
      </c>
      <c r="DQ49" s="971">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R49" s="973">
        <f>IF(WWWW[[#This Row],[HRP3]]/WWWW[[#This Row],[Total PoP ]]&gt;1,1,WWWW[[#This Row],[HRP3]]/WWWW[[#This Row],[Total PoP ]])</f>
        <v>1</v>
      </c>
      <c r="DS49" s="972">
        <f>1-WWWW[[#This Row],[Hygiene Coverage%]]</f>
        <v>0</v>
      </c>
      <c r="DT49" s="970">
        <f>WWWW[[#This Row],['# people reached by regular dedicated hygiene promotion_5]]/WWWW[[#This Row],[Total PoP ]]</f>
        <v>1</v>
      </c>
      <c r="DU4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 s="971">
        <f>WWWW[[#This Row],['#_Constructed/Existing hand washing stations]]-WWWW[[#This Row],['#_Non-Functional_hand_washing_stations]]</f>
        <v>8</v>
      </c>
      <c r="DX49" s="968">
        <f>IF(WWWW[[#This Row],['# Functional hand washing stations during reporting period]]*20&gt;WWWW[[#This Row],[Total HH]],WWWW[[#This Row],[Total HH]],WWWW[[#This Row],['# Functional hand washing stations during reporting period]]*20)</f>
        <v>160</v>
      </c>
      <c r="DY49" s="968">
        <f>IF(WWWW[[#This Row],[Is sufficient soap available for TLS? (Yes/No)]]="yes",WWWW[[#This Row],['#_Constructed/Existing hand washing stations at TLS/CFS/THF]],0)</f>
        <v>0</v>
      </c>
      <c r="DZ49" s="425">
        <f>IF(WWWW[[#This Row],['# Functional hand washing stations during reporting period]]*100&gt;WWWW[[#This Row],[Total PoP ]],WWWW[[#This Row],[Total PoP ]],WWWW[[#This Row],['# Functional hand washing stations during reporting period]]*100)</f>
        <v>800</v>
      </c>
      <c r="EA49" s="425" t="str">
        <f>IF(OR(WWWW[[#This Row],['#_students at TLS_CFS]]="",WWWW[[#This Row],['#_students at TLS_CFS]]=0),"No","Yes")</f>
        <v>No</v>
      </c>
      <c r="EB4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 s="570">
        <f>WWWW[[#This Row],[%_of_affected_people_surveyed_who_report_feeling_satistfied_with_the_latrine_design_and_sanitation_service]]*WWWW[[#This Row],[Total PoP ]]</f>
        <v>0</v>
      </c>
      <c r="ED49" s="570">
        <f>WWWW[[#This Row],[%_of_affected_people_surveyed_who_report_feeling_satistfied_with_the_water_point_design_and_water_service]]*WWWW[[#This Row],[Total PoP ]]</f>
        <v>0</v>
      </c>
      <c r="EE49" s="570">
        <f>WWWW[[#This Row],[%_of_complaints_received_that_result_in_timely_corrective_action_and_feedback_to_the_community]]*WWWW[[#This Row],[Total PoP ]]</f>
        <v>0</v>
      </c>
      <c r="EF4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4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49" s="964" t="str">
        <f>VLOOKUP(WWWW[[#This Row],[Site Name]],SiteDB6[[Site Name]:[CCCM Management]],6,FALSE)</f>
        <v>Yes</v>
      </c>
      <c r="EJ49" s="964" t="str">
        <f>VLOOKUP(WWWW[[#This Row],[Site Name]],SiteDB6[[Site Name]:[CCCM Focal Agency]],7,FALSE)</f>
        <v>KMSS-BMO</v>
      </c>
      <c r="EK49" s="964" t="str">
        <f>VLOOKUP(WWWW[[#This Row],[Site Name]],SiteDB6[[Site Name]:[Location Type 1]],9,FALSE)</f>
        <v>Camp</v>
      </c>
      <c r="EL49" s="964" t="str">
        <f>VLOOKUP(WWWW[[#This Row],[Site Name]],SiteDB6[[Site Name]:[Type of Accommodation]],10,FALSE)</f>
        <v>Camp</v>
      </c>
      <c r="EM49" s="964" t="str">
        <f>VLOOKUP(WWWW[[#This Row],[Site Name]],SiteDB6[[Site Name]:[Ethnic or GCA/NGCA]],11,FALSE)</f>
        <v>NGCA</v>
      </c>
      <c r="EN49" s="964">
        <f>VLOOKUP(WWWW[[#This Row],[Site Name]],SiteDB6[[Site Name]:[Lat]],12,FALSE)</f>
        <v>24.378167000000001</v>
      </c>
      <c r="EO49" s="964">
        <f>VLOOKUP(WWWW[[#This Row],[Site Name]],SiteDB6[[Site Name]:[Long]],13,FALSE)</f>
        <v>97.669366999999994</v>
      </c>
      <c r="EP49" s="964" t="str">
        <f>VLOOKUP(WWWW[[#This Row],[Site Name]],SiteDB6[[Site Name]:[Pcode]],3,FALSE)</f>
        <v>MMR001CMP131</v>
      </c>
      <c r="EQ49" s="969" t="str">
        <f t="shared" si="1"/>
        <v>Covered</v>
      </c>
      <c r="ER49" s="969" t="s">
        <v>136</v>
      </c>
      <c r="ES49" s="964">
        <f>VLOOKUP(WWWW[[#This Row],[Site Name]],SiteDB6[[Site Name]:[Pop
(Kachin/Shan-CCCM as of March 2023)]],16,FALSE)</f>
        <v>350</v>
      </c>
      <c r="ET49" s="964">
        <f>VLOOKUP(WWWW[[#This Row],[Site Name]],SiteDB6[[Site Name]:[Pop
(Kachin/Shan-CCCM as of March 2023)]],17,FALSE)</f>
        <v>1590</v>
      </c>
    </row>
    <row r="50" spans="1:150" hidden="1">
      <c r="A50" s="962" t="s">
        <v>2977</v>
      </c>
      <c r="B50" s="962" t="s">
        <v>36</v>
      </c>
      <c r="C50" s="963" t="s">
        <v>36</v>
      </c>
      <c r="D50" s="963" t="s">
        <v>241</v>
      </c>
      <c r="E50" s="963" t="s">
        <v>37</v>
      </c>
      <c r="F50" s="963" t="s">
        <v>38</v>
      </c>
      <c r="G50" s="964" t="str">
        <f>VLOOKUP(WWWW[[#This Row],[Site Name]],SiteDB6[[Site Name]:[Location Type]],8,FALSE)</f>
        <v>Camp</v>
      </c>
      <c r="H50" s="963" t="s">
        <v>39</v>
      </c>
      <c r="I50" s="965">
        <v>154</v>
      </c>
      <c r="J50" s="965">
        <v>694</v>
      </c>
      <c r="K50" s="966">
        <v>44414</v>
      </c>
      <c r="L50" s="967">
        <v>44778</v>
      </c>
      <c r="M50" s="965"/>
      <c r="N50" s="965">
        <v>5</v>
      </c>
      <c r="O50" s="965"/>
      <c r="P50" s="965"/>
      <c r="Q50" s="968" t="s">
        <v>41</v>
      </c>
      <c r="R50" s="965">
        <v>3</v>
      </c>
      <c r="S50" s="965">
        <v>4</v>
      </c>
      <c r="T50" s="445">
        <v>1</v>
      </c>
      <c r="U50" s="965"/>
      <c r="V50" s="965"/>
      <c r="W50" s="965">
        <v>3</v>
      </c>
      <c r="X50" s="965">
        <v>2</v>
      </c>
      <c r="Y50" s="965"/>
      <c r="Z50" s="965"/>
      <c r="AA50" s="965"/>
      <c r="AB50" s="965"/>
      <c r="AC50" s="965"/>
      <c r="AD50" s="965"/>
      <c r="AE50" s="965"/>
      <c r="AF50" s="965"/>
      <c r="AG50" s="965"/>
      <c r="AH50" s="965"/>
      <c r="AI50" s="965"/>
      <c r="AJ50" s="965"/>
      <c r="AK50" s="965"/>
      <c r="AL50" s="965"/>
      <c r="AM50" s="965"/>
      <c r="AN50" s="965"/>
      <c r="AO50" s="445"/>
      <c r="AP50" s="969"/>
      <c r="AQ50" s="965">
        <v>61</v>
      </c>
      <c r="AR50" s="965"/>
      <c r="AS50" s="970"/>
      <c r="AT50" s="965"/>
      <c r="AU50" s="965"/>
      <c r="AV50" s="965"/>
      <c r="AW50" s="965"/>
      <c r="AX50" s="965"/>
      <c r="AY50" s="964" t="s">
        <v>41</v>
      </c>
      <c r="AZ50" s="969" t="s">
        <v>137</v>
      </c>
      <c r="BA50" s="965"/>
      <c r="BB50" s="965"/>
      <c r="BC50" s="965"/>
      <c r="BD50" s="445"/>
      <c r="BE50" s="445"/>
      <c r="BF50" s="964"/>
      <c r="BG50" s="965">
        <v>10</v>
      </c>
      <c r="BH50" s="965"/>
      <c r="BI50" s="965"/>
      <c r="BJ50" s="965">
        <v>7</v>
      </c>
      <c r="BK50" s="965"/>
      <c r="BL50" s="965"/>
      <c r="BM50" s="965">
        <v>2</v>
      </c>
      <c r="BN50" s="965"/>
      <c r="BO50" s="965"/>
      <c r="BP50" s="964" t="s">
        <v>41</v>
      </c>
      <c r="BQ50" s="971"/>
      <c r="BR50" s="970"/>
      <c r="BS50" s="964"/>
      <c r="BT50" s="420"/>
      <c r="BU50" s="420"/>
      <c r="BV50" s="422"/>
      <c r="BW50" s="420"/>
      <c r="BX50" s="445"/>
      <c r="BY50" s="445"/>
      <c r="BZ50" s="445"/>
      <c r="CA50" s="445"/>
      <c r="CB50" s="445"/>
      <c r="CC50" s="702"/>
      <c r="CD50" s="445"/>
      <c r="CE50" s="972" t="str">
        <f>IFERROR(WWWW[[#This Row],['#_Water sources passed]]/WWWW[[#This Row],['#_Water sources tested for fecal coliform ]],"no test")</f>
        <v>no test</v>
      </c>
      <c r="CF50" s="970" t="str">
        <f>IFERROR(WWWW[[#This Row],['#_Household passed]]/WWWW[[#This Row],['#_Household water samples tested for fecal coliform]],"no test")</f>
        <v>no test</v>
      </c>
      <c r="CG50" s="971" t="str">
        <f>IF(AND(WWWW[[#This Row],[% of water sources passed]]="no test",WWWW[[#This Row],[% Household passed]]="no test"),"No Test","Tested")</f>
        <v>No Test</v>
      </c>
      <c r="CH50" s="971">
        <f>WWWW[[#This Row],['#_Constructed/existing protected hand dug well]]-WWWW[[#This Row],['#_Non-functional protected hand dug well]]</f>
        <v>1</v>
      </c>
      <c r="CI50" s="971">
        <f>(WWWW[[#This Row],['#_Constructed/Existing tube wells/boreholes/handpumps_WASH_agency]]+WWWW[[#This Row],['#_Non-Cluster partner water tube-wells/boreholes/handpumps]])-WWWW[[#This Row],['#_Non-functional tube wells/boreholes/handpumps]]</f>
        <v>5</v>
      </c>
      <c r="CJ50" s="971">
        <f>WWWW[[#This Row],['#_Constructed/Existingwater storage tank with gravity fed reticulation system]]-WWWW[[#This Row],['#_Non-functional storage tank gravity fed reticulation system]]</f>
        <v>0</v>
      </c>
      <c r="CK50" s="971">
        <f>(WWWW[[#This Row],['#_Water_Liters_supplied_by_Water boating or water trucking]]/90)/15</f>
        <v>0</v>
      </c>
      <c r="CL50" s="971">
        <f>WWWW[[#This Row],['#_Water_Liters_from_Constructed/Existing water distribution system from river or natural spring]]/90/15</f>
        <v>0</v>
      </c>
      <c r="CM50" s="421">
        <f>IF(WWWW[[#This Row],['#_of water points in TLS/CFS]]*500&gt;WWWW[[#This Row],[Total PoP ]],WWWW[[#This Row],[Total PoP ]],WWWW[[#This Row],['#_of water points in TLS/CFS]]*500)</f>
        <v>0</v>
      </c>
      <c r="CN50" s="421">
        <f>IF(WWWW[[#This Row],['#_of water points in THF]]*500&gt;WWWW[[#This Row],[Total PoP ]],WWWW[[#This Row],[Total PoP ]],WWWW[[#This Row],['#_of water points in THF]]*500)</f>
        <v>0</v>
      </c>
      <c r="CO50" s="421"/>
      <c r="CP5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0" s="970">
        <f>IF(WWWW[[#This Row],[Location Type 1]]="Village",WWWW[[#This Row],[Access to safe drinking water for Village]],WWWW[[#This Row],[Access to safe drinking water for Camp]])</f>
        <v>1</v>
      </c>
      <c r="CS50" s="968">
        <f>WWWW[[#This Row],[%Equitable and continuous access to sufficient quantity of safe drinking water]]*WWWW[[#This Row],[Total PoP ]]</f>
        <v>694</v>
      </c>
      <c r="CT50" s="970">
        <f>IF((WWWW[[#This Row],['#_Constructed/Existing protected/fenced ponds]]*250)/WWWW[[#This Row],[Total PoP ]]&gt;1,1,(WWWW[[#This Row],['#_Constructed/Existing protected/fenced ponds]]*250)/WWWW[[#This Row],[Total PoP ]])</f>
        <v>0</v>
      </c>
      <c r="CU50" s="968">
        <f>WWWW[[#This Row],[% Access to unimproved water points]]*WWWW[[#This Row],[Total PoP ]]</f>
        <v>0</v>
      </c>
      <c r="CV5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X50" s="968">
        <f>WWWW[[#This Row],[HRP1]]/500</f>
        <v>1.3879999999999999</v>
      </c>
      <c r="CY50" s="973">
        <f>1-WWWW[[#This Row],[% Equitable and continuous access to sufficient quantity of domestic water]]</f>
        <v>0</v>
      </c>
      <c r="CZ50" s="968">
        <f>WWWW[[#This Row],[%equitable and continuous access to sufficient quantity of safe drinking and domestic water''s GAP]]*WWWW[[#This Row],[Total PoP ]]</f>
        <v>0</v>
      </c>
      <c r="DA50" s="971">
        <f>IF(WWWW[[#This Row],[Total required water points]]-WWWW[[#This Row],['#Water points coverage]]&lt;0,0,WWWW[[#This Row],[Total required water points]]-WWWW[[#This Row],['#Water points coverage]])</f>
        <v>0</v>
      </c>
      <c r="DB50" s="971">
        <f>ROUND(IF(WWWW[[#This Row],[Total PoP ]]&lt;500,1,WWWW[[#This Row],[Total PoP ]]/500),0)</f>
        <v>1</v>
      </c>
      <c r="DC50" s="971">
        <f>(WWWW[[#This Row],['#_Constructed latrines_by_WASHAgencies]]+WWWW[[#This Row],['#_Non Cluster partner latrines]])-WWWW[[#This Row],['#_Non-functional latrines]]</f>
        <v>61</v>
      </c>
      <c r="DD50" s="619">
        <f>WWWW[[#This Row],[HRP2]]/WWWW[[#This Row],[Total PoP ]]</f>
        <v>1</v>
      </c>
      <c r="DE5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694</v>
      </c>
      <c r="DF5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 s="421">
        <f>IF(WWWW[[#This Row],['# of functional latrines in THF supported by WASH partners during the reporting period2]]="",0,WWWW[[#This Row],['# of functional latrines in THF supported by WASH partners during the reporting period2]]*50)</f>
        <v>0</v>
      </c>
      <c r="DI50" s="971">
        <f>ROUND(IF(WWWW[[#This Row],[Location Type 1]]="camp",WWWW[[#This Row],[Total PoP ]]/20,IF(WWWW[[#This Row],[Location Type 1]]="Temporary Location",WWWW[[#This Row],[Total PoP ]]/50,(WWWW[[#This Row],[Total PoP ]]/6))),0)</f>
        <v>35</v>
      </c>
      <c r="DJ50" s="971">
        <f>IF(WWWW[[#This Row],[Total required Latrines]]-(WWWW[[#This Row],['#_Constructed latrines_by_WASHAgencies]]+WWWW[[#This Row],['#_Non Cluster partner latrines]])&lt;0,0,WWWW[[#This Row],[Total required Latrines]]-(WWWW[[#This Row],['#_Constructed latrines_by_WASHAgencies]]+WWWW[[#This Row],['#_Non Cluster partner latrines]]))</f>
        <v>0</v>
      </c>
      <c r="DK50" s="973">
        <f>1-WWWW[[#This Row],[% people access to functioning Latrine]]</f>
        <v>0</v>
      </c>
      <c r="DL50" s="972">
        <f>IF(OR(WWWW[[#This Row],['#_Non-functional latrines]]="",WWWW[[#This Row],['#_Non-functional latrines]]=0),0,WWWW[[#This Row],['#_Non-functional latrines]]/(WWWW[[#This Row],['#_Constructed latrines_by_WASHAgencies]]+WWWW[[#This Row],['#_Non Cluster partner latrines]]))</f>
        <v>0</v>
      </c>
      <c r="DM50" s="968">
        <f>IF(500*(WWWW[[#This Row],['#_male hygiene promoters]]+WWWW[[#This Row],['#_female hygiene promoters]])&gt;WWWW[[#This Row],[Total PoP ]],WWWW[[#This Row],[Total PoP ]],500*(WWWW[[#This Row],['#_male hygiene promoters]]+WWWW[[#This Row],['#_female hygiene promoters]]))</f>
        <v>694</v>
      </c>
      <c r="DN5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 s="971">
        <f>IF(WWWW[[#This Row],['# People with access to soap]]&gt;WWWW[[#This Row],['# People with access to Sanity Pads]],WWWW[[#This Row],['# People with access to soap]],WWWW[[#This Row],['# People with access to Sanity Pads]])</f>
        <v>0</v>
      </c>
      <c r="DQ50" s="971">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R50" s="973">
        <f>IF(WWWW[[#This Row],[HRP3]]/WWWW[[#This Row],[Total PoP ]]&gt;1,1,WWWW[[#This Row],[HRP3]]/WWWW[[#This Row],[Total PoP ]])</f>
        <v>1</v>
      </c>
      <c r="DS50" s="972">
        <f>1-WWWW[[#This Row],[Hygiene Coverage%]]</f>
        <v>0</v>
      </c>
      <c r="DT50" s="970">
        <f>WWWW[[#This Row],['# people reached by regular dedicated hygiene promotion_5]]/WWWW[[#This Row],[Total PoP ]]</f>
        <v>1</v>
      </c>
      <c r="DU5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 s="971">
        <f>WWWW[[#This Row],['#_Constructed/Existing hand washing stations]]-WWWW[[#This Row],['#_Non-Functional_hand_washing_stations]]</f>
        <v>10</v>
      </c>
      <c r="DX50" s="968">
        <f>IF(WWWW[[#This Row],['# Functional hand washing stations during reporting period]]*20&gt;WWWW[[#This Row],[Total HH]],WWWW[[#This Row],[Total HH]],WWWW[[#This Row],['# Functional hand washing stations during reporting period]]*20)</f>
        <v>154</v>
      </c>
      <c r="DY50" s="968">
        <f>IF(WWWW[[#This Row],[Is sufficient soap available for TLS? (Yes/No)]]="yes",WWWW[[#This Row],['#_Constructed/Existing hand washing stations at TLS/CFS/THF]],0)</f>
        <v>0</v>
      </c>
      <c r="DZ50" s="425">
        <f>IF(WWWW[[#This Row],['# Functional hand washing stations during reporting period]]*100&gt;WWWW[[#This Row],[Total PoP ]],WWWW[[#This Row],[Total PoP ]],WWWW[[#This Row],['# Functional hand washing stations during reporting period]]*100)</f>
        <v>694</v>
      </c>
      <c r="EA50" s="425" t="str">
        <f>IF(OR(WWWW[[#This Row],['#_students at TLS_CFS]]="",WWWW[[#This Row],['#_students at TLS_CFS]]=0),"No","Yes")</f>
        <v>No</v>
      </c>
      <c r="EB5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 s="570">
        <f>WWWW[[#This Row],[%_of_affected_people_surveyed_who_report_feeling_satistfied_with_the_latrine_design_and_sanitation_service]]*WWWW[[#This Row],[Total PoP ]]</f>
        <v>0</v>
      </c>
      <c r="ED50" s="570">
        <f>WWWW[[#This Row],[%_of_affected_people_surveyed_who_report_feeling_satistfied_with_the_water_point_design_and_water_service]]*WWWW[[#This Row],[Total PoP ]]</f>
        <v>0</v>
      </c>
      <c r="EE50" s="570">
        <f>WWWW[[#This Row],[%_of_complaints_received_that_result_in_timely_corrective_action_and_feedback_to_the_community]]*WWWW[[#This Row],[Total PoP ]]</f>
        <v>0</v>
      </c>
      <c r="EF5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 s="964" t="str">
        <f>VLOOKUP(WWWW[[#This Row],[Site Name]],SiteDB6[[Site Name]:[CCCM Management]],6,FALSE)</f>
        <v>Yes</v>
      </c>
      <c r="EJ50" s="964" t="str">
        <f>VLOOKUP(WWWW[[#This Row],[Site Name]],SiteDB6[[Site Name]:[CCCM Focal Agency]],7,FALSE)</f>
        <v>KMSS-BMO</v>
      </c>
      <c r="EK50" s="964" t="str">
        <f>VLOOKUP(WWWW[[#This Row],[Site Name]],SiteDB6[[Site Name]:[Location Type 1]],9,FALSE)</f>
        <v>Camp</v>
      </c>
      <c r="EL50" s="964" t="str">
        <f>VLOOKUP(WWWW[[#This Row],[Site Name]],SiteDB6[[Site Name]:[Type of Accommodation]],10,FALSE)</f>
        <v>Camp</v>
      </c>
      <c r="EM50" s="964" t="str">
        <f>VLOOKUP(WWWW[[#This Row],[Site Name]],SiteDB6[[Site Name]:[Ethnic or GCA/NGCA]],11,FALSE)</f>
        <v>GCA</v>
      </c>
      <c r="EN50" s="964">
        <f>VLOOKUP(WWWW[[#This Row],[Site Name]],SiteDB6[[Site Name]:[Lat]],12,FALSE)</f>
        <v>23.976571</v>
      </c>
      <c r="EO50" s="964">
        <f>VLOOKUP(WWWW[[#This Row],[Site Name]],SiteDB6[[Site Name]:[Long]],13,FALSE)</f>
        <v>97.227057000000002</v>
      </c>
      <c r="EP50" s="964" t="str">
        <f>VLOOKUP(WWWW[[#This Row],[Site Name]],SiteDB6[[Site Name]:[Pcode]],3,FALSE)</f>
        <v>MMR001CMP223</v>
      </c>
      <c r="EQ50" s="969" t="str">
        <f t="shared" si="1"/>
        <v>Covered</v>
      </c>
      <c r="ER50" s="969" t="s">
        <v>3147</v>
      </c>
      <c r="ES50" s="964">
        <f>VLOOKUP(WWWW[[#This Row],[Site Name]],SiteDB6[[Site Name]:[Pop
(Kachin/Shan-CCCM as of March 2023)]],16,FALSE)</f>
        <v>139</v>
      </c>
      <c r="ET50" s="964">
        <f>VLOOKUP(WWWW[[#This Row],[Site Name]],SiteDB6[[Site Name]:[Pop
(Kachin/Shan-CCCM as of March 2023)]],17,FALSE)</f>
        <v>672</v>
      </c>
    </row>
    <row r="51" spans="1:150" hidden="1">
      <c r="A51" s="962" t="s">
        <v>2977</v>
      </c>
      <c r="B51" s="962" t="s">
        <v>3164</v>
      </c>
      <c r="C51" s="962" t="s">
        <v>3164</v>
      </c>
      <c r="D51" s="1014" t="s">
        <v>2648</v>
      </c>
      <c r="E51" s="963" t="s">
        <v>37</v>
      </c>
      <c r="F51" s="963" t="s">
        <v>38</v>
      </c>
      <c r="G51" s="964" t="str">
        <f>VLOOKUP(WWWW[[#This Row],[Site Name]],SiteDB6[[Site Name]:[Location Type]],8,FALSE)</f>
        <v>Camp</v>
      </c>
      <c r="H51" s="963" t="s">
        <v>298</v>
      </c>
      <c r="I51" s="965">
        <v>155</v>
      </c>
      <c r="J51" s="965">
        <v>655</v>
      </c>
      <c r="K51" s="966" t="s">
        <v>2962</v>
      </c>
      <c r="L51" s="967" t="s">
        <v>2972</v>
      </c>
      <c r="M51" s="965"/>
      <c r="N51" s="965">
        <v>2</v>
      </c>
      <c r="O51" s="965"/>
      <c r="P51" s="965"/>
      <c r="Q51" s="968" t="s">
        <v>41</v>
      </c>
      <c r="R51" s="965">
        <v>4</v>
      </c>
      <c r="S51" s="965">
        <v>3</v>
      </c>
      <c r="T51" s="445">
        <v>2</v>
      </c>
      <c r="U51" s="965"/>
      <c r="V51" s="965"/>
      <c r="W51" s="965"/>
      <c r="X51" s="965">
        <v>1</v>
      </c>
      <c r="Y51" s="965"/>
      <c r="Z51" s="965"/>
      <c r="AA51" s="965">
        <v>1</v>
      </c>
      <c r="AB51" s="965"/>
      <c r="AC51" s="965"/>
      <c r="AD51" s="965"/>
      <c r="AE51" s="965"/>
      <c r="AF51" s="965"/>
      <c r="AG51" s="965"/>
      <c r="AH51" s="965"/>
      <c r="AI51" s="965"/>
      <c r="AJ51" s="965"/>
      <c r="AK51" s="965"/>
      <c r="AL51" s="965"/>
      <c r="AM51" s="965"/>
      <c r="AN51" s="965"/>
      <c r="AO51" s="445"/>
      <c r="AP51" s="969"/>
      <c r="AQ51" s="965">
        <v>18</v>
      </c>
      <c r="AR51" s="965"/>
      <c r="AS51" s="970"/>
      <c r="AT51" s="965"/>
      <c r="AU51" s="965"/>
      <c r="AV51" s="965"/>
      <c r="AW51" s="965"/>
      <c r="AX51" s="965"/>
      <c r="AY51" s="964" t="s">
        <v>140</v>
      </c>
      <c r="AZ51" s="969" t="s">
        <v>140</v>
      </c>
      <c r="BA51" s="965"/>
      <c r="BB51" s="965"/>
      <c r="BC51" s="965"/>
      <c r="BD51" s="445"/>
      <c r="BE51" s="445"/>
      <c r="BF51" s="964"/>
      <c r="BG51" s="965">
        <v>3</v>
      </c>
      <c r="BH51" s="965"/>
      <c r="BI51" s="965"/>
      <c r="BJ51" s="965">
        <v>2</v>
      </c>
      <c r="BK51" s="965"/>
      <c r="BL51" s="965"/>
      <c r="BM51" s="965">
        <v>1</v>
      </c>
      <c r="BN51" s="965"/>
      <c r="BO51" s="965"/>
      <c r="BP51" s="964" t="s">
        <v>41</v>
      </c>
      <c r="BQ51" s="971"/>
      <c r="BR51" s="970"/>
      <c r="BS51" s="964"/>
      <c r="BT51" s="420"/>
      <c r="BU51" s="420"/>
      <c r="BV51" s="422"/>
      <c r="BW51" s="420"/>
      <c r="BX51" s="445"/>
      <c r="BY51" s="445"/>
      <c r="BZ51" s="445"/>
      <c r="CA51" s="445"/>
      <c r="CB51" s="445"/>
      <c r="CC51" s="702"/>
      <c r="CD51" s="445"/>
      <c r="CE51" s="972" t="str">
        <f>IFERROR(WWWW[[#This Row],['#_Water sources passed]]/WWWW[[#This Row],['#_Water sources tested for fecal coliform ]],"no test")</f>
        <v>no test</v>
      </c>
      <c r="CF51" s="970" t="str">
        <f>IFERROR(WWWW[[#This Row],['#_Household passed]]/WWWW[[#This Row],['#_Household water samples tested for fecal coliform]],"no test")</f>
        <v>no test</v>
      </c>
      <c r="CG51" s="971" t="str">
        <f>IF(AND(WWWW[[#This Row],[% of water sources passed]]="no test",WWWW[[#This Row],[% Household passed]]="no test"),"No Test","Tested")</f>
        <v>No Test</v>
      </c>
      <c r="CH51" s="971">
        <f>WWWW[[#This Row],['#_Constructed/existing protected hand dug well]]-WWWW[[#This Row],['#_Non-functional protected hand dug well]]</f>
        <v>2</v>
      </c>
      <c r="CI51" s="971">
        <f>(WWWW[[#This Row],['#_Constructed/Existing tube wells/boreholes/handpumps_WASH_agency]]+WWWW[[#This Row],['#_Non-Cluster partner water tube-wells/boreholes/handpumps]])-WWWW[[#This Row],['#_Non-functional tube wells/boreholes/handpumps]]</f>
        <v>1</v>
      </c>
      <c r="CJ51" s="971">
        <f>WWWW[[#This Row],['#_Constructed/Existingwater storage tank with gravity fed reticulation system]]-WWWW[[#This Row],['#_Non-functional storage tank gravity fed reticulation system]]</f>
        <v>1</v>
      </c>
      <c r="CK51" s="971">
        <f>(WWWW[[#This Row],['#_Water_Liters_supplied_by_Water boating or water trucking]]/90)/15</f>
        <v>0</v>
      </c>
      <c r="CL51" s="971">
        <f>WWWW[[#This Row],['#_Water_Liters_from_Constructed/Existing water distribution system from river or natural spring]]/90/15</f>
        <v>0</v>
      </c>
      <c r="CM51" s="421">
        <f>IF(WWWW[[#This Row],['#_of water points in TLS/CFS]]*500&gt;WWWW[[#This Row],[Total PoP ]],WWWW[[#This Row],[Total PoP ]],WWWW[[#This Row],['#_of water points in TLS/CFS]]*500)</f>
        <v>0</v>
      </c>
      <c r="CN51" s="421">
        <f>IF(WWWW[[#This Row],['#_of water points in THF]]*500&gt;WWWW[[#This Row],[Total PoP ]],WWWW[[#This Row],[Total PoP ]],WWWW[[#This Row],['#_of water points in THF]]*500)</f>
        <v>0</v>
      </c>
      <c r="CO51" s="421"/>
      <c r="CP5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1" s="970">
        <f>IF(WWWW[[#This Row],[Location Type 1]]="Village",WWWW[[#This Row],[Access to safe drinking water for Village]],WWWW[[#This Row],[Access to safe drinking water for Camp]])</f>
        <v>1</v>
      </c>
      <c r="CS51" s="968">
        <f>WWWW[[#This Row],[%Equitable and continuous access to sufficient quantity of safe drinking water]]*WWWW[[#This Row],[Total PoP ]]</f>
        <v>655</v>
      </c>
      <c r="CT51" s="970">
        <f>IF((WWWW[[#This Row],['#_Constructed/Existing protected/fenced ponds]]*250)/WWWW[[#This Row],[Total PoP ]]&gt;1,1,(WWWW[[#This Row],['#_Constructed/Existing protected/fenced ponds]]*250)/WWWW[[#This Row],[Total PoP ]])</f>
        <v>0</v>
      </c>
      <c r="CU51" s="968">
        <f>WWWW[[#This Row],[% Access to unimproved water points]]*WWWW[[#This Row],[Total PoP ]]</f>
        <v>0</v>
      </c>
      <c r="CV5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655</v>
      </c>
      <c r="CX51" s="968">
        <f>WWWW[[#This Row],[HRP1]]/500</f>
        <v>1.31</v>
      </c>
      <c r="CY51" s="973">
        <f>1-WWWW[[#This Row],[% Equitable and continuous access to sufficient quantity of domestic water]]</f>
        <v>0</v>
      </c>
      <c r="CZ51" s="968">
        <f>WWWW[[#This Row],[%equitable and continuous access to sufficient quantity of safe drinking and domestic water''s GAP]]*WWWW[[#This Row],[Total PoP ]]</f>
        <v>0</v>
      </c>
      <c r="DA51" s="971">
        <f>IF(WWWW[[#This Row],[Total required water points]]-WWWW[[#This Row],['#Water points coverage]]&lt;0,0,WWWW[[#This Row],[Total required water points]]-WWWW[[#This Row],['#Water points coverage]])</f>
        <v>0</v>
      </c>
      <c r="DB51" s="971">
        <f>ROUND(IF(WWWW[[#This Row],[Total PoP ]]&lt;500,1,WWWW[[#This Row],[Total PoP ]]/500),0)</f>
        <v>1</v>
      </c>
      <c r="DC51" s="971">
        <f>(WWWW[[#This Row],['#_Constructed latrines_by_WASHAgencies]]+WWWW[[#This Row],['#_Non Cluster partner latrines]])-WWWW[[#This Row],['#_Non-functional latrines]]</f>
        <v>18</v>
      </c>
      <c r="DD51" s="619">
        <f>WWWW[[#This Row],[HRP2]]/WWWW[[#This Row],[Total PoP ]]</f>
        <v>0.54961832061068705</v>
      </c>
      <c r="DE5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360</v>
      </c>
      <c r="DF5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 s="421">
        <f>IF(WWWW[[#This Row],['# of functional latrines in THF supported by WASH partners during the reporting period2]]="",0,WWWW[[#This Row],['# of functional latrines in THF supported by WASH partners during the reporting period2]]*50)</f>
        <v>0</v>
      </c>
      <c r="DI51" s="971">
        <f>ROUND(IF(WWWW[[#This Row],[Location Type 1]]="camp",WWWW[[#This Row],[Total PoP ]]/20,IF(WWWW[[#This Row],[Location Type 1]]="Temporary Location",WWWW[[#This Row],[Total PoP ]]/50,(WWWW[[#This Row],[Total PoP ]]/6))),0)</f>
        <v>33</v>
      </c>
      <c r="DJ51" s="971">
        <f>IF(WWWW[[#This Row],[Total required Latrines]]-(WWWW[[#This Row],['#_Constructed latrines_by_WASHAgencies]]+WWWW[[#This Row],['#_Non Cluster partner latrines]])&lt;0,0,WWWW[[#This Row],[Total required Latrines]]-(WWWW[[#This Row],['#_Constructed latrines_by_WASHAgencies]]+WWWW[[#This Row],['#_Non Cluster partner latrines]]))</f>
        <v>15</v>
      </c>
      <c r="DK51" s="973">
        <f>1-WWWW[[#This Row],[% people access to functioning Latrine]]</f>
        <v>0.45038167938931295</v>
      </c>
      <c r="DL51" s="972">
        <f>IF(OR(WWWW[[#This Row],['#_Non-functional latrines]]="",WWWW[[#This Row],['#_Non-functional latrines]]=0),0,WWWW[[#This Row],['#_Non-functional latrines]]/(WWWW[[#This Row],['#_Constructed latrines_by_WASHAgencies]]+WWWW[[#This Row],['#_Non Cluster partner latrines]]))</f>
        <v>0</v>
      </c>
      <c r="DM51" s="968">
        <f>IF(500*(WWWW[[#This Row],['#_male hygiene promoters]]+WWWW[[#This Row],['#_female hygiene promoters]])&gt;WWWW[[#This Row],[Total PoP ]],WWWW[[#This Row],[Total PoP ]],500*(WWWW[[#This Row],['#_male hygiene promoters]]+WWWW[[#This Row],['#_female hygiene promoters]]))</f>
        <v>500</v>
      </c>
      <c r="DN5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 s="971">
        <f>IF(WWWW[[#This Row],['# People with access to soap]]&gt;WWWW[[#This Row],['# People with access to Sanity Pads]],WWWW[[#This Row],['# People with access to soap]],WWWW[[#This Row],['# People with access to Sanity Pads]])</f>
        <v>0</v>
      </c>
      <c r="DQ51"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51" s="973">
        <f>IF(WWWW[[#This Row],[HRP3]]/WWWW[[#This Row],[Total PoP ]]&gt;1,1,WWWW[[#This Row],[HRP3]]/WWWW[[#This Row],[Total PoP ]])</f>
        <v>0.76335877862595425</v>
      </c>
      <c r="DS51" s="972">
        <f>1-WWWW[[#This Row],[Hygiene Coverage%]]</f>
        <v>0.23664122137404575</v>
      </c>
      <c r="DT51" s="970">
        <f>WWWW[[#This Row],['# people reached by regular dedicated hygiene promotion_5]]/WWWW[[#This Row],[Total PoP ]]</f>
        <v>0.76335877862595425</v>
      </c>
      <c r="DU5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 s="971">
        <f>WWWW[[#This Row],['#_Constructed/Existing hand washing stations]]-WWWW[[#This Row],['#_Non-Functional_hand_washing_stations]]</f>
        <v>3</v>
      </c>
      <c r="DX51" s="968">
        <f>IF(WWWW[[#This Row],['# Functional hand washing stations during reporting period]]*20&gt;WWWW[[#This Row],[Total HH]],WWWW[[#This Row],[Total HH]],WWWW[[#This Row],['# Functional hand washing stations during reporting period]]*20)</f>
        <v>60</v>
      </c>
      <c r="DY51" s="968">
        <f>IF(WWWW[[#This Row],[Is sufficient soap available for TLS? (Yes/No)]]="yes",WWWW[[#This Row],['#_Constructed/Existing hand washing stations at TLS/CFS/THF]],0)</f>
        <v>0</v>
      </c>
      <c r="DZ51" s="425">
        <f>IF(WWWW[[#This Row],['# Functional hand washing stations during reporting period]]*100&gt;WWWW[[#This Row],[Total PoP ]],WWWW[[#This Row],[Total PoP ]],WWWW[[#This Row],['# Functional hand washing stations during reporting period]]*100)</f>
        <v>300</v>
      </c>
      <c r="EA51" s="425" t="str">
        <f>IF(OR(WWWW[[#This Row],['#_students at TLS_CFS]]="",WWWW[[#This Row],['#_students at TLS_CFS]]=0),"No","Yes")</f>
        <v>No</v>
      </c>
      <c r="EB5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 s="570">
        <f>WWWW[[#This Row],[%_of_affected_people_surveyed_who_report_feeling_satistfied_with_the_latrine_design_and_sanitation_service]]*WWWW[[#This Row],[Total PoP ]]</f>
        <v>0</v>
      </c>
      <c r="ED51" s="570">
        <f>WWWW[[#This Row],[%_of_affected_people_surveyed_who_report_feeling_satistfied_with_the_water_point_design_and_water_service]]*WWWW[[#This Row],[Total PoP ]]</f>
        <v>0</v>
      </c>
      <c r="EE51" s="570">
        <f>WWWW[[#This Row],[%_of_complaints_received_that_result_in_timely_corrective_action_and_feedback_to_the_community]]*WWWW[[#This Row],[Total PoP ]]</f>
        <v>0</v>
      </c>
      <c r="EF5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 s="964" t="str">
        <f>VLOOKUP(WWWW[[#This Row],[Site Name]],SiteDB6[[Site Name]:[CCCM Management]],6,FALSE)</f>
        <v>Yes</v>
      </c>
      <c r="EJ51" s="964" t="str">
        <f>VLOOKUP(WWWW[[#This Row],[Site Name]],SiteDB6[[Site Name]:[CCCM Focal Agency]],7,FALSE)</f>
        <v>KBC-NSS</v>
      </c>
      <c r="EK51" s="964" t="str">
        <f>VLOOKUP(WWWW[[#This Row],[Site Name]],SiteDB6[[Site Name]:[Location Type 1]],9,FALSE)</f>
        <v>Camp</v>
      </c>
      <c r="EL51" s="964" t="str">
        <f>VLOOKUP(WWWW[[#This Row],[Site Name]],SiteDB6[[Site Name]:[Type of Accommodation]],10,FALSE)</f>
        <v>Camp</v>
      </c>
      <c r="EM51" s="964" t="str">
        <f>VLOOKUP(WWWW[[#This Row],[Site Name]],SiteDB6[[Site Name]:[Ethnic or GCA/NGCA]],11,FALSE)</f>
        <v>GCA</v>
      </c>
      <c r="EN51" s="964">
        <f>VLOOKUP(WWWW[[#This Row],[Site Name]],SiteDB6[[Site Name]:[Lat]],12,FALSE)</f>
        <v>23.83013</v>
      </c>
      <c r="EO51" s="964">
        <f>VLOOKUP(WWWW[[#This Row],[Site Name]],SiteDB6[[Site Name]:[Long]],13,FALSE)</f>
        <v>97.589979999999997</v>
      </c>
      <c r="EP51" s="964" t="str">
        <f>VLOOKUP(WWWW[[#This Row],[Site Name]],SiteDB6[[Site Name]:[Pcode]],3,FALSE)</f>
        <v>MMR001CMP133</v>
      </c>
      <c r="EQ51" s="969" t="str">
        <f t="shared" si="1"/>
        <v>Covered</v>
      </c>
      <c r="ER51" s="969" t="s">
        <v>3147</v>
      </c>
      <c r="ES51" s="964">
        <f>VLOOKUP(WWWW[[#This Row],[Site Name]],SiteDB6[[Site Name]:[Pop
(Kachin/Shan-CCCM as of March 2023)]],16,FALSE)</f>
        <v>136</v>
      </c>
      <c r="ET51" s="964">
        <f>VLOOKUP(WWWW[[#This Row],[Site Name]],SiteDB6[[Site Name]:[Pop
(Kachin/Shan-CCCM as of March 2023)]],17,FALSE)</f>
        <v>631</v>
      </c>
    </row>
    <row r="52" spans="1:150" hidden="1">
      <c r="A52" s="962" t="s">
        <v>2977</v>
      </c>
      <c r="B52" s="1068" t="s">
        <v>3202</v>
      </c>
      <c r="C52" s="963" t="s">
        <v>141</v>
      </c>
      <c r="D52" s="963" t="s">
        <v>3114</v>
      </c>
      <c r="E52" s="963" t="s">
        <v>37</v>
      </c>
      <c r="F52" s="963" t="s">
        <v>152</v>
      </c>
      <c r="G52" s="964" t="str">
        <f>VLOOKUP(WWWW[[#This Row],[Site Name]],SiteDB6[[Site Name]:[Location Type]],8,FALSE)</f>
        <v>Camp</v>
      </c>
      <c r="H52" s="963" t="s">
        <v>156</v>
      </c>
      <c r="I52" s="965">
        <v>27</v>
      </c>
      <c r="J52" s="965">
        <v>141</v>
      </c>
      <c r="K52" s="966">
        <v>44811</v>
      </c>
      <c r="L52" s="967">
        <v>45175</v>
      </c>
      <c r="M52" s="965"/>
      <c r="N52" s="965">
        <v>1</v>
      </c>
      <c r="O52" s="965"/>
      <c r="P52" s="965"/>
      <c r="Q52" s="968" t="s">
        <v>41</v>
      </c>
      <c r="R52" s="965">
        <v>2</v>
      </c>
      <c r="S52" s="965">
        <v>2</v>
      </c>
      <c r="T52" s="445"/>
      <c r="U52" s="965"/>
      <c r="V52" s="965"/>
      <c r="W52" s="965">
        <v>1</v>
      </c>
      <c r="X52" s="965"/>
      <c r="Y52" s="965"/>
      <c r="Z52" s="965"/>
      <c r="AA52" s="965"/>
      <c r="AB52" s="965"/>
      <c r="AC52" s="965"/>
      <c r="AD52" s="965"/>
      <c r="AE52" s="965"/>
      <c r="AF52" s="965"/>
      <c r="AG52" s="965"/>
      <c r="AH52" s="965">
        <v>3</v>
      </c>
      <c r="AI52" s="965"/>
      <c r="AJ52" s="965"/>
      <c r="AK52" s="965"/>
      <c r="AL52" s="965"/>
      <c r="AM52" s="965"/>
      <c r="AN52" s="965"/>
      <c r="AO52" s="445"/>
      <c r="AP52" s="969"/>
      <c r="AQ52" s="965">
        <v>12</v>
      </c>
      <c r="AR52" s="965"/>
      <c r="AS52" s="970"/>
      <c r="AT52" s="965"/>
      <c r="AU52" s="965"/>
      <c r="AV52" s="965"/>
      <c r="AW52" s="965"/>
      <c r="AX52" s="965">
        <v>12</v>
      </c>
      <c r="AY52" s="964" t="s">
        <v>41</v>
      </c>
      <c r="AZ52" s="969" t="s">
        <v>904</v>
      </c>
      <c r="BA52" s="965"/>
      <c r="BB52" s="965"/>
      <c r="BC52" s="965"/>
      <c r="BD52" s="445"/>
      <c r="BE52" s="445"/>
      <c r="BF52" s="964"/>
      <c r="BG52" s="965">
        <v>8</v>
      </c>
      <c r="BH52" s="965"/>
      <c r="BI52" s="965"/>
      <c r="BJ52" s="965">
        <v>3</v>
      </c>
      <c r="BK52" s="965"/>
      <c r="BL52" s="965"/>
      <c r="BM52" s="965"/>
      <c r="BN52" s="965"/>
      <c r="BO52" s="965"/>
      <c r="BP52" s="964"/>
      <c r="BQ52" s="971"/>
      <c r="BR52" s="970"/>
      <c r="BS52" s="964"/>
      <c r="BT52" s="420"/>
      <c r="BU52" s="420"/>
      <c r="BV52" s="422"/>
      <c r="BW52" s="420"/>
      <c r="BX52" s="445"/>
      <c r="BY52" s="445"/>
      <c r="BZ52" s="445"/>
      <c r="CA52" s="445"/>
      <c r="CB52" s="445"/>
      <c r="CC52" s="702"/>
      <c r="CD52" s="445"/>
      <c r="CE52" s="972" t="str">
        <f>IFERROR(WWWW[[#This Row],['#_Water sources passed]]/WWWW[[#This Row],['#_Water sources tested for fecal coliform ]],"no test")</f>
        <v>no test</v>
      </c>
      <c r="CF52" s="970" t="str">
        <f>IFERROR(WWWW[[#This Row],['#_Household passed]]/WWWW[[#This Row],['#_Household water samples tested for fecal coliform]],"no test")</f>
        <v>no test</v>
      </c>
      <c r="CG52" s="971" t="str">
        <f>IF(AND(WWWW[[#This Row],[% of water sources passed]]="no test",WWWW[[#This Row],[% Household passed]]="no test"),"No Test","Tested")</f>
        <v>No Test</v>
      </c>
      <c r="CH52" s="971">
        <f>WWWW[[#This Row],['#_Constructed/existing protected hand dug well]]-WWWW[[#This Row],['#_Non-functional protected hand dug well]]</f>
        <v>0</v>
      </c>
      <c r="CI52" s="971">
        <f>(WWWW[[#This Row],['#_Constructed/Existing tube wells/boreholes/handpumps_WASH_agency]]+WWWW[[#This Row],['#_Non-Cluster partner water tube-wells/boreholes/handpumps]])-WWWW[[#This Row],['#_Non-functional tube wells/boreholes/handpumps]]</f>
        <v>1</v>
      </c>
      <c r="CJ52" s="971">
        <f>WWWW[[#This Row],['#_Constructed/Existingwater storage tank with gravity fed reticulation system]]-WWWW[[#This Row],['#_Non-functional storage tank gravity fed reticulation system]]</f>
        <v>0</v>
      </c>
      <c r="CK52" s="971">
        <f>(WWWW[[#This Row],['#_Water_Liters_supplied_by_Water boating or water trucking]]/90)/15</f>
        <v>0</v>
      </c>
      <c r="CL52" s="971">
        <f>WWWW[[#This Row],['#_Water_Liters_from_Constructed/Existing water distribution system from river or natural spring]]/90/15</f>
        <v>0</v>
      </c>
      <c r="CM52" s="421">
        <f>IF(WWWW[[#This Row],['#_of water points in TLS/CFS]]*500&gt;WWWW[[#This Row],[Total PoP ]],WWWW[[#This Row],[Total PoP ]],WWWW[[#This Row],['#_of water points in TLS/CFS]]*500)</f>
        <v>0</v>
      </c>
      <c r="CN52" s="421">
        <f>IF(WWWW[[#This Row],['#_of water points in THF]]*500&gt;WWWW[[#This Row],[Total PoP ]],WWWW[[#This Row],[Total PoP ]],WWWW[[#This Row],['#_of water points in THF]]*500)</f>
        <v>0</v>
      </c>
      <c r="CO52" s="421"/>
      <c r="CP5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2" s="970">
        <f>IF(WWWW[[#This Row],[Location Type 1]]="Village",WWWW[[#This Row],[Access to safe drinking water for Village]],WWWW[[#This Row],[Access to safe drinking water for Camp]])</f>
        <v>1</v>
      </c>
      <c r="CS52" s="968">
        <f>WWWW[[#This Row],[%Equitable and continuous access to sufficient quantity of safe drinking water]]*WWWW[[#This Row],[Total PoP ]]</f>
        <v>141</v>
      </c>
      <c r="CT52" s="970">
        <f>IF((WWWW[[#This Row],['#_Constructed/Existing protected/fenced ponds]]*250)/WWWW[[#This Row],[Total PoP ]]&gt;1,1,(WWWW[[#This Row],['#_Constructed/Existing protected/fenced ponds]]*250)/WWWW[[#This Row],[Total PoP ]])</f>
        <v>0</v>
      </c>
      <c r="CU52" s="968">
        <f>WWWW[[#This Row],[% Access to unimproved water points]]*WWWW[[#This Row],[Total PoP ]]</f>
        <v>0</v>
      </c>
      <c r="CV5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52" s="968">
        <f>WWWW[[#This Row],[HRP1]]/500</f>
        <v>0.28199999999999997</v>
      </c>
      <c r="CY52" s="973">
        <f>1-WWWW[[#This Row],[% Equitable and continuous access to sufficient quantity of domestic water]]</f>
        <v>0</v>
      </c>
      <c r="CZ52" s="968">
        <f>WWWW[[#This Row],[%equitable and continuous access to sufficient quantity of safe drinking and domestic water''s GAP]]*WWWW[[#This Row],[Total PoP ]]</f>
        <v>0</v>
      </c>
      <c r="DA52" s="971">
        <f>IF(WWWW[[#This Row],[Total required water points]]-WWWW[[#This Row],['#Water points coverage]]&lt;0,0,WWWW[[#This Row],[Total required water points]]-WWWW[[#This Row],['#Water points coverage]])</f>
        <v>0.71799999999999997</v>
      </c>
      <c r="DB52" s="971">
        <f>ROUND(IF(WWWW[[#This Row],[Total PoP ]]&lt;500,1,WWWW[[#This Row],[Total PoP ]]/500),0)</f>
        <v>1</v>
      </c>
      <c r="DC52" s="971">
        <f>(WWWW[[#This Row],['#_Constructed latrines_by_WASHAgencies]]+WWWW[[#This Row],['#_Non Cluster partner latrines]])-WWWW[[#This Row],['#_Non-functional latrines]]</f>
        <v>12</v>
      </c>
      <c r="DD52" s="619">
        <f>WWWW[[#This Row],[HRP2]]/WWWW[[#This Row],[Total PoP ]]</f>
        <v>1</v>
      </c>
      <c r="DE5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5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 s="421">
        <f>IF(WWWW[[#This Row],['# of functional latrines in THF supported by WASH partners during the reporting period2]]="",0,WWWW[[#This Row],['# of functional latrines in THF supported by WASH partners during the reporting period2]]*50)</f>
        <v>0</v>
      </c>
      <c r="DI52" s="971">
        <f>ROUND(IF(WWWW[[#This Row],[Location Type 1]]="camp",WWWW[[#This Row],[Total PoP ]]/20,IF(WWWW[[#This Row],[Location Type 1]]="Temporary Location",WWWW[[#This Row],[Total PoP ]]/50,(WWWW[[#This Row],[Total PoP ]]/6))),0)</f>
        <v>7</v>
      </c>
      <c r="DJ52" s="971">
        <f>IF(WWWW[[#This Row],[Total required Latrines]]-(WWWW[[#This Row],['#_Constructed latrines_by_WASHAgencies]]+WWWW[[#This Row],['#_Non Cluster partner latrines]])&lt;0,0,WWWW[[#This Row],[Total required Latrines]]-(WWWW[[#This Row],['#_Constructed latrines_by_WASHAgencies]]+WWWW[[#This Row],['#_Non Cluster partner latrines]]))</f>
        <v>0</v>
      </c>
      <c r="DK52" s="973">
        <f>1-WWWW[[#This Row],[% people access to functioning Latrine]]</f>
        <v>0</v>
      </c>
      <c r="DL52" s="972">
        <f>IF(OR(WWWW[[#This Row],['#_Non-functional latrines]]="",WWWW[[#This Row],['#_Non-functional latrines]]=0),0,WWWW[[#This Row],['#_Non-functional latrines]]/(WWWW[[#This Row],['#_Constructed latrines_by_WASHAgencies]]+WWWW[[#This Row],['#_Non Cluster partner latrines]]))</f>
        <v>0</v>
      </c>
      <c r="DM52" s="968">
        <f>IF(500*(WWWW[[#This Row],['#_male hygiene promoters]]+WWWW[[#This Row],['#_female hygiene promoters]])&gt;WWWW[[#This Row],[Total PoP ]],WWWW[[#This Row],[Total PoP ]],500*(WWWW[[#This Row],['#_male hygiene promoters]]+WWWW[[#This Row],['#_female hygiene promoters]]))</f>
        <v>0</v>
      </c>
      <c r="DN5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 s="971">
        <f>IF(WWWW[[#This Row],['# People with access to soap]]&gt;WWWW[[#This Row],['# People with access to Sanity Pads]],WWWW[[#This Row],['# People with access to soap]],WWWW[[#This Row],['# People with access to Sanity Pads]])</f>
        <v>0</v>
      </c>
      <c r="DQ5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 s="973">
        <f>IF(WWWW[[#This Row],[HRP3]]/WWWW[[#This Row],[Total PoP ]]&gt;1,1,WWWW[[#This Row],[HRP3]]/WWWW[[#This Row],[Total PoP ]])</f>
        <v>0</v>
      </c>
      <c r="DS52" s="972">
        <f>1-WWWW[[#This Row],[Hygiene Coverage%]]</f>
        <v>1</v>
      </c>
      <c r="DT52" s="970">
        <f>WWWW[[#This Row],['# people reached by regular dedicated hygiene promotion_5]]/WWWW[[#This Row],[Total PoP ]]</f>
        <v>0</v>
      </c>
      <c r="DU5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 s="971">
        <f>WWWW[[#This Row],['#_Constructed/Existing hand washing stations]]-WWWW[[#This Row],['#_Non-Functional_hand_washing_stations]]</f>
        <v>8</v>
      </c>
      <c r="DX52" s="968">
        <f>IF(WWWW[[#This Row],['# Functional hand washing stations during reporting period]]*20&gt;WWWW[[#This Row],[Total HH]],WWWW[[#This Row],[Total HH]],WWWW[[#This Row],['# Functional hand washing stations during reporting period]]*20)</f>
        <v>27</v>
      </c>
      <c r="DY52" s="968">
        <f>IF(WWWW[[#This Row],[Is sufficient soap available for TLS? (Yes/No)]]="yes",WWWW[[#This Row],['#_Constructed/Existing hand washing stations at TLS/CFS/THF]],0)</f>
        <v>0</v>
      </c>
      <c r="DZ52" s="425">
        <f>IF(WWWW[[#This Row],['# Functional hand washing stations during reporting period]]*100&gt;WWWW[[#This Row],[Total PoP ]],WWWW[[#This Row],[Total PoP ]],WWWW[[#This Row],['# Functional hand washing stations during reporting period]]*100)</f>
        <v>141</v>
      </c>
      <c r="EA52" s="425" t="str">
        <f>IF(OR(WWWW[[#This Row],['#_students at TLS_CFS]]="",WWWW[[#This Row],['#_students at TLS_CFS]]=0),"No","Yes")</f>
        <v>No</v>
      </c>
      <c r="EB5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 s="570">
        <f>WWWW[[#This Row],[%_of_affected_people_surveyed_who_report_feeling_satistfied_with_the_latrine_design_and_sanitation_service]]*WWWW[[#This Row],[Total PoP ]]</f>
        <v>0</v>
      </c>
      <c r="ED52" s="570">
        <f>WWWW[[#This Row],[%_of_affected_people_surveyed_who_report_feeling_satistfied_with_the_water_point_design_and_water_service]]*WWWW[[#This Row],[Total PoP ]]</f>
        <v>0</v>
      </c>
      <c r="EE52" s="570">
        <f>WWWW[[#This Row],[%_of_complaints_received_that_result_in_timely_corrective_action_and_feedback_to_the_community]]*WWWW[[#This Row],[Total PoP ]]</f>
        <v>0</v>
      </c>
      <c r="EF5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 s="964" t="str">
        <f>VLOOKUP(WWWW[[#This Row],[Site Name]],SiteDB6[[Site Name]:[CCCM Management]],6,FALSE)</f>
        <v>Yes</v>
      </c>
      <c r="EJ52" s="964" t="str">
        <f>VLOOKUP(WWWW[[#This Row],[Site Name]],SiteDB6[[Site Name]:[CCCM Focal Agency]],7,FALSE)</f>
        <v>KBC-MYT</v>
      </c>
      <c r="EK52" s="964" t="str">
        <f>VLOOKUP(WWWW[[#This Row],[Site Name]],SiteDB6[[Site Name]:[Location Type 1]],9,FALSE)</f>
        <v>Camp</v>
      </c>
      <c r="EL52" s="964" t="str">
        <f>VLOOKUP(WWWW[[#This Row],[Site Name]],SiteDB6[[Site Name]:[Type of Accommodation]],10,FALSE)</f>
        <v>Camp</v>
      </c>
      <c r="EM52" s="964" t="str">
        <f>VLOOKUP(WWWW[[#This Row],[Site Name]],SiteDB6[[Site Name]:[Ethnic or GCA/NGCA]],11,FALSE)</f>
        <v>GCA</v>
      </c>
      <c r="EN52" s="964">
        <f>VLOOKUP(WWWW[[#This Row],[Site Name]],SiteDB6[[Site Name]:[Lat]],12,FALSE)</f>
        <v>25.225000000000001</v>
      </c>
      <c r="EO52" s="964">
        <f>VLOOKUP(WWWW[[#This Row],[Site Name]],SiteDB6[[Site Name]:[Long]],13,FALSE)</f>
        <v>96.793999999999997</v>
      </c>
      <c r="EP52" s="964" t="str">
        <f>VLOOKUP(WWWW[[#This Row],[Site Name]],SiteDB6[[Site Name]:[Pcode]],3,FALSE)</f>
        <v>MMR001CMP236</v>
      </c>
      <c r="EQ52" s="969" t="str">
        <f t="shared" si="1"/>
        <v>Covered</v>
      </c>
      <c r="ER52" s="969" t="s">
        <v>3147</v>
      </c>
      <c r="ES52" s="964">
        <f>VLOOKUP(WWWW[[#This Row],[Site Name]],SiteDB6[[Site Name]:[Pop
(Kachin/Shan-CCCM as of March 2023)]],16,FALSE)</f>
        <v>26</v>
      </c>
      <c r="ET52" s="964">
        <f>VLOOKUP(WWWW[[#This Row],[Site Name]],SiteDB6[[Site Name]:[Pop
(Kachin/Shan-CCCM as of March 2023)]],17,FALSE)</f>
        <v>137</v>
      </c>
    </row>
    <row r="53" spans="1:150" hidden="1">
      <c r="A53" s="962" t="s">
        <v>2977</v>
      </c>
      <c r="B53" s="963" t="s">
        <v>141</v>
      </c>
      <c r="C53" s="963" t="s">
        <v>141</v>
      </c>
      <c r="D53" s="963" t="s">
        <v>241</v>
      </c>
      <c r="E53" s="963" t="s">
        <v>37</v>
      </c>
      <c r="F53" s="963" t="s">
        <v>157</v>
      </c>
      <c r="G53" s="964" t="str">
        <f>VLOOKUP(WWWW[[#This Row],[Site Name]],SiteDB6[[Site Name]:[Location Type]],8,FALSE)</f>
        <v>Camp</v>
      </c>
      <c r="H53" s="963" t="s">
        <v>158</v>
      </c>
      <c r="I53" s="965">
        <v>27</v>
      </c>
      <c r="J53" s="965">
        <v>127</v>
      </c>
      <c r="K53" s="966">
        <v>44811</v>
      </c>
      <c r="L53" s="967">
        <v>45175</v>
      </c>
      <c r="M53" s="965"/>
      <c r="N53" s="965">
        <v>1</v>
      </c>
      <c r="O53" s="965"/>
      <c r="P53" s="965"/>
      <c r="Q53" s="968" t="s">
        <v>41</v>
      </c>
      <c r="R53" s="965">
        <v>2</v>
      </c>
      <c r="S53" s="965">
        <v>2</v>
      </c>
      <c r="T53" s="445">
        <v>2</v>
      </c>
      <c r="U53" s="965"/>
      <c r="V53" s="965"/>
      <c r="W53" s="965">
        <v>1</v>
      </c>
      <c r="X53" s="965"/>
      <c r="Y53" s="965"/>
      <c r="Z53" s="965"/>
      <c r="AA53" s="965"/>
      <c r="AB53" s="965"/>
      <c r="AC53" s="965"/>
      <c r="AD53" s="965"/>
      <c r="AE53" s="965"/>
      <c r="AF53" s="965"/>
      <c r="AG53" s="965"/>
      <c r="AH53" s="965"/>
      <c r="AI53" s="965"/>
      <c r="AJ53" s="965"/>
      <c r="AK53" s="965"/>
      <c r="AL53" s="965"/>
      <c r="AM53" s="965"/>
      <c r="AN53" s="965"/>
      <c r="AO53" s="445"/>
      <c r="AP53" s="969"/>
      <c r="AQ53" s="965">
        <v>5</v>
      </c>
      <c r="AR53" s="965"/>
      <c r="AS53" s="970"/>
      <c r="AT53" s="965"/>
      <c r="AU53" s="965"/>
      <c r="AV53" s="965"/>
      <c r="AW53" s="965"/>
      <c r="AX53" s="965"/>
      <c r="AY53" s="964" t="s">
        <v>41</v>
      </c>
      <c r="AZ53" s="969" t="s">
        <v>904</v>
      </c>
      <c r="BA53" s="965"/>
      <c r="BB53" s="965"/>
      <c r="BC53" s="965"/>
      <c r="BD53" s="445"/>
      <c r="BE53" s="445"/>
      <c r="BF53" s="964"/>
      <c r="BG53" s="965">
        <v>4</v>
      </c>
      <c r="BH53" s="965"/>
      <c r="BI53" s="965"/>
      <c r="BJ53" s="965">
        <v>2</v>
      </c>
      <c r="BK53" s="965"/>
      <c r="BL53" s="965"/>
      <c r="BM53" s="965"/>
      <c r="BN53" s="965"/>
      <c r="BO53" s="965"/>
      <c r="BP53" s="964"/>
      <c r="BQ53" s="971"/>
      <c r="BR53" s="970"/>
      <c r="BS53" s="964"/>
      <c r="BT53" s="420"/>
      <c r="BU53" s="420"/>
      <c r="BV53" s="422"/>
      <c r="BW53" s="420"/>
      <c r="BX53" s="445"/>
      <c r="BY53" s="445"/>
      <c r="BZ53" s="445"/>
      <c r="CA53" s="445"/>
      <c r="CB53" s="445"/>
      <c r="CC53" s="702"/>
      <c r="CD53" s="445"/>
      <c r="CE53" s="972" t="str">
        <f>IFERROR(WWWW[[#This Row],['#_Water sources passed]]/WWWW[[#This Row],['#_Water sources tested for fecal coliform ]],"no test")</f>
        <v>no test</v>
      </c>
      <c r="CF53" s="970" t="str">
        <f>IFERROR(WWWW[[#This Row],['#_Household passed]]/WWWW[[#This Row],['#_Household water samples tested for fecal coliform]],"no test")</f>
        <v>no test</v>
      </c>
      <c r="CG53" s="971" t="str">
        <f>IF(AND(WWWW[[#This Row],[% of water sources passed]]="no test",WWWW[[#This Row],[% Household passed]]="no test"),"No Test","Tested")</f>
        <v>No Test</v>
      </c>
      <c r="CH53" s="971">
        <f>WWWW[[#This Row],['#_Constructed/existing protected hand dug well]]-WWWW[[#This Row],['#_Non-functional protected hand dug well]]</f>
        <v>2</v>
      </c>
      <c r="CI53" s="971">
        <f>(WWWW[[#This Row],['#_Constructed/Existing tube wells/boreholes/handpumps_WASH_agency]]+WWWW[[#This Row],['#_Non-Cluster partner water tube-wells/boreholes/handpumps]])-WWWW[[#This Row],['#_Non-functional tube wells/boreholes/handpumps]]</f>
        <v>1</v>
      </c>
      <c r="CJ53" s="971">
        <f>WWWW[[#This Row],['#_Constructed/Existingwater storage tank with gravity fed reticulation system]]-WWWW[[#This Row],['#_Non-functional storage tank gravity fed reticulation system]]</f>
        <v>0</v>
      </c>
      <c r="CK53" s="971">
        <f>(WWWW[[#This Row],['#_Water_Liters_supplied_by_Water boating or water trucking]]/90)/15</f>
        <v>0</v>
      </c>
      <c r="CL53" s="971">
        <f>WWWW[[#This Row],['#_Water_Liters_from_Constructed/Existing water distribution system from river or natural spring]]/90/15</f>
        <v>0</v>
      </c>
      <c r="CM53" s="421">
        <f>IF(WWWW[[#This Row],['#_of water points in TLS/CFS]]*500&gt;WWWW[[#This Row],[Total PoP ]],WWWW[[#This Row],[Total PoP ]],WWWW[[#This Row],['#_of water points in TLS/CFS]]*500)</f>
        <v>0</v>
      </c>
      <c r="CN53" s="421">
        <f>IF(WWWW[[#This Row],['#_of water points in THF]]*500&gt;WWWW[[#This Row],[Total PoP ]],WWWW[[#This Row],[Total PoP ]],WWWW[[#This Row],['#_of water points in THF]]*500)</f>
        <v>0</v>
      </c>
      <c r="CO53" s="421"/>
      <c r="CP5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3" s="970">
        <f>IF(WWWW[[#This Row],[Location Type 1]]="Village",WWWW[[#This Row],[Access to safe drinking water for Village]],WWWW[[#This Row],[Access to safe drinking water for Camp]])</f>
        <v>1</v>
      </c>
      <c r="CS53" s="968">
        <f>WWWW[[#This Row],[%Equitable and continuous access to sufficient quantity of safe drinking water]]*WWWW[[#This Row],[Total PoP ]]</f>
        <v>127</v>
      </c>
      <c r="CT53" s="970">
        <f>IF((WWWW[[#This Row],['#_Constructed/Existing protected/fenced ponds]]*250)/WWWW[[#This Row],[Total PoP ]]&gt;1,1,(WWWW[[#This Row],['#_Constructed/Existing protected/fenced ponds]]*250)/WWWW[[#This Row],[Total PoP ]])</f>
        <v>0</v>
      </c>
      <c r="CU53" s="968">
        <f>WWWW[[#This Row],[% Access to unimproved water points]]*WWWW[[#This Row],[Total PoP ]]</f>
        <v>0</v>
      </c>
      <c r="CV5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53" s="968">
        <f>WWWW[[#This Row],[HRP1]]/500</f>
        <v>0.254</v>
      </c>
      <c r="CY53" s="973">
        <f>1-WWWW[[#This Row],[% Equitable and continuous access to sufficient quantity of domestic water]]</f>
        <v>0</v>
      </c>
      <c r="CZ53" s="968">
        <f>WWWW[[#This Row],[%equitable and continuous access to sufficient quantity of safe drinking and domestic water''s GAP]]*WWWW[[#This Row],[Total PoP ]]</f>
        <v>0</v>
      </c>
      <c r="DA53" s="971">
        <f>IF(WWWW[[#This Row],[Total required water points]]-WWWW[[#This Row],['#Water points coverage]]&lt;0,0,WWWW[[#This Row],[Total required water points]]-WWWW[[#This Row],['#Water points coverage]])</f>
        <v>0.746</v>
      </c>
      <c r="DB53" s="971">
        <f>ROUND(IF(WWWW[[#This Row],[Total PoP ]]&lt;500,1,WWWW[[#This Row],[Total PoP ]]/500),0)</f>
        <v>1</v>
      </c>
      <c r="DC53" s="971">
        <f>(WWWW[[#This Row],['#_Constructed latrines_by_WASHAgencies]]+WWWW[[#This Row],['#_Non Cluster partner latrines]])-WWWW[[#This Row],['#_Non-functional latrines]]</f>
        <v>5</v>
      </c>
      <c r="DD53" s="619">
        <f>WWWW[[#This Row],[HRP2]]/WWWW[[#This Row],[Total PoP ]]</f>
        <v>0.78740157480314965</v>
      </c>
      <c r="DE5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5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 s="421">
        <f>IF(WWWW[[#This Row],['# of functional latrines in THF supported by WASH partners during the reporting period2]]="",0,WWWW[[#This Row],['# of functional latrines in THF supported by WASH partners during the reporting period2]]*50)</f>
        <v>0</v>
      </c>
      <c r="DI53" s="971">
        <f>ROUND(IF(WWWW[[#This Row],[Location Type 1]]="camp",WWWW[[#This Row],[Total PoP ]]/20,IF(WWWW[[#This Row],[Location Type 1]]="Temporary Location",WWWW[[#This Row],[Total PoP ]]/50,(WWWW[[#This Row],[Total PoP ]]/6))),0)</f>
        <v>6</v>
      </c>
      <c r="DJ53" s="971">
        <f>IF(WWWW[[#This Row],[Total required Latrines]]-(WWWW[[#This Row],['#_Constructed latrines_by_WASHAgencies]]+WWWW[[#This Row],['#_Non Cluster partner latrines]])&lt;0,0,WWWW[[#This Row],[Total required Latrines]]-(WWWW[[#This Row],['#_Constructed latrines_by_WASHAgencies]]+WWWW[[#This Row],['#_Non Cluster partner latrines]]))</f>
        <v>1</v>
      </c>
      <c r="DK53" s="973">
        <f>1-WWWW[[#This Row],[% people access to functioning Latrine]]</f>
        <v>0.21259842519685035</v>
      </c>
      <c r="DL53" s="972">
        <f>IF(OR(WWWW[[#This Row],['#_Non-functional latrines]]="",WWWW[[#This Row],['#_Non-functional latrines]]=0),0,WWWW[[#This Row],['#_Non-functional latrines]]/(WWWW[[#This Row],['#_Constructed latrines_by_WASHAgencies]]+WWWW[[#This Row],['#_Non Cluster partner latrines]]))</f>
        <v>0</v>
      </c>
      <c r="DM53" s="968">
        <f>IF(500*(WWWW[[#This Row],['#_male hygiene promoters]]+WWWW[[#This Row],['#_female hygiene promoters]])&gt;WWWW[[#This Row],[Total PoP ]],WWWW[[#This Row],[Total PoP ]],500*(WWWW[[#This Row],['#_male hygiene promoters]]+WWWW[[#This Row],['#_female hygiene promoters]]))</f>
        <v>0</v>
      </c>
      <c r="DN5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 s="971">
        <f>IF(WWWW[[#This Row],['# People with access to soap]]&gt;WWWW[[#This Row],['# People with access to Sanity Pads]],WWWW[[#This Row],['# People with access to soap]],WWWW[[#This Row],['# People with access to Sanity Pads]])</f>
        <v>0</v>
      </c>
      <c r="DQ5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 s="973">
        <f>IF(WWWW[[#This Row],[HRP3]]/WWWW[[#This Row],[Total PoP ]]&gt;1,1,WWWW[[#This Row],[HRP3]]/WWWW[[#This Row],[Total PoP ]])</f>
        <v>0</v>
      </c>
      <c r="DS53" s="972">
        <f>1-WWWW[[#This Row],[Hygiene Coverage%]]</f>
        <v>1</v>
      </c>
      <c r="DT53" s="970">
        <f>WWWW[[#This Row],['# people reached by regular dedicated hygiene promotion_5]]/WWWW[[#This Row],[Total PoP ]]</f>
        <v>0</v>
      </c>
      <c r="DU5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 s="971">
        <f>WWWW[[#This Row],['#_Constructed/Existing hand washing stations]]-WWWW[[#This Row],['#_Non-Functional_hand_washing_stations]]</f>
        <v>4</v>
      </c>
      <c r="DX53" s="968">
        <f>IF(WWWW[[#This Row],['# Functional hand washing stations during reporting period]]*20&gt;WWWW[[#This Row],[Total HH]],WWWW[[#This Row],[Total HH]],WWWW[[#This Row],['# Functional hand washing stations during reporting period]]*20)</f>
        <v>27</v>
      </c>
      <c r="DY53" s="968">
        <f>IF(WWWW[[#This Row],[Is sufficient soap available for TLS? (Yes/No)]]="yes",WWWW[[#This Row],['#_Constructed/Existing hand washing stations at TLS/CFS/THF]],0)</f>
        <v>0</v>
      </c>
      <c r="DZ53" s="425">
        <f>IF(WWWW[[#This Row],['# Functional hand washing stations during reporting period]]*100&gt;WWWW[[#This Row],[Total PoP ]],WWWW[[#This Row],[Total PoP ]],WWWW[[#This Row],['# Functional hand washing stations during reporting period]]*100)</f>
        <v>127</v>
      </c>
      <c r="EA53" s="425" t="str">
        <f>IF(OR(WWWW[[#This Row],['#_students at TLS_CFS]]="",WWWW[[#This Row],['#_students at TLS_CFS]]=0),"No","Yes")</f>
        <v>No</v>
      </c>
      <c r="EB5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 s="570">
        <f>WWWW[[#This Row],[%_of_affected_people_surveyed_who_report_feeling_satistfied_with_the_latrine_design_and_sanitation_service]]*WWWW[[#This Row],[Total PoP ]]</f>
        <v>0</v>
      </c>
      <c r="ED53" s="570">
        <f>WWWW[[#This Row],[%_of_affected_people_surveyed_who_report_feeling_satistfied_with_the_water_point_design_and_water_service]]*WWWW[[#This Row],[Total PoP ]]</f>
        <v>0</v>
      </c>
      <c r="EE53" s="570">
        <f>WWWW[[#This Row],[%_of_complaints_received_that_result_in_timely_corrective_action_and_feedback_to_the_community]]*WWWW[[#This Row],[Total PoP ]]</f>
        <v>0</v>
      </c>
      <c r="EF5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 s="964" t="str">
        <f>VLOOKUP(WWWW[[#This Row],[Site Name]],SiteDB6[[Site Name]:[CCCM Management]],6,FALSE)</f>
        <v>Yes</v>
      </c>
      <c r="EJ53" s="964" t="str">
        <f>VLOOKUP(WWWW[[#This Row],[Site Name]],SiteDB6[[Site Name]:[CCCM Focal Agency]],7,FALSE)</f>
        <v>KBC-MYT</v>
      </c>
      <c r="EK53" s="964" t="str">
        <f>VLOOKUP(WWWW[[#This Row],[Site Name]],SiteDB6[[Site Name]:[Location Type 1]],9,FALSE)</f>
        <v>Camp</v>
      </c>
      <c r="EL53" s="964" t="str">
        <f>VLOOKUP(WWWW[[#This Row],[Site Name]],SiteDB6[[Site Name]:[Type of Accommodation]],10,FALSE)</f>
        <v>Camp</v>
      </c>
      <c r="EM53" s="964" t="str">
        <f>VLOOKUP(WWWW[[#This Row],[Site Name]],SiteDB6[[Site Name]:[Ethnic or GCA/NGCA]],11,FALSE)</f>
        <v>GCA</v>
      </c>
      <c r="EN53" s="964">
        <f>VLOOKUP(WWWW[[#This Row],[Site Name]],SiteDB6[[Site Name]:[Lat]],12,FALSE)</f>
        <v>24.998349999999999</v>
      </c>
      <c r="EO53" s="964">
        <f>VLOOKUP(WWWW[[#This Row],[Site Name]],SiteDB6[[Site Name]:[Long]],13,FALSE)</f>
        <v>96.364949999999993</v>
      </c>
      <c r="EP53" s="964" t="str">
        <f>VLOOKUP(WWWW[[#This Row],[Site Name]],SiteDB6[[Site Name]:[Pcode]],3,FALSE)</f>
        <v>MMR001CMP152</v>
      </c>
      <c r="EQ53" s="969" t="str">
        <f t="shared" si="1"/>
        <v>Covered</v>
      </c>
      <c r="ER53" s="969" t="s">
        <v>3147</v>
      </c>
      <c r="ES53" s="964">
        <f>VLOOKUP(WWWW[[#This Row],[Site Name]],SiteDB6[[Site Name]:[Pop
(Kachin/Shan-CCCM as of March 2023)]],16,FALSE)</f>
        <v>28</v>
      </c>
      <c r="ET53" s="964">
        <f>VLOOKUP(WWWW[[#This Row],[Site Name]],SiteDB6[[Site Name]:[Pop
(Kachin/Shan-CCCM as of March 2023)]],17,FALSE)</f>
        <v>131</v>
      </c>
    </row>
    <row r="54" spans="1:150">
      <c r="A54" s="962" t="s">
        <v>2977</v>
      </c>
      <c r="B54" s="962" t="s">
        <v>309</v>
      </c>
      <c r="C54" s="963" t="s">
        <v>309</v>
      </c>
      <c r="D54" s="963"/>
      <c r="E54" s="963" t="s">
        <v>37</v>
      </c>
      <c r="F54" s="963" t="s">
        <v>195</v>
      </c>
      <c r="G54" s="964" t="str">
        <f>VLOOKUP(WWWW[[#This Row],[Site Name]],SiteDB6[[Site Name]:[Location Type]],8,FALSE)</f>
        <v>Camp</v>
      </c>
      <c r="H54" s="963" t="s">
        <v>2885</v>
      </c>
      <c r="I54" s="965">
        <v>181</v>
      </c>
      <c r="J54" s="965">
        <v>906</v>
      </c>
      <c r="K54" s="966"/>
      <c r="L54" s="967"/>
      <c r="M54" s="965"/>
      <c r="N54" s="965"/>
      <c r="O54" s="965"/>
      <c r="P54" s="965"/>
      <c r="Q54" s="968"/>
      <c r="R54" s="965"/>
      <c r="S54" s="965">
        <v>4</v>
      </c>
      <c r="T54" s="445"/>
      <c r="U54" s="965"/>
      <c r="V54" s="965"/>
      <c r="W54" s="965"/>
      <c r="X54" s="965"/>
      <c r="Y54" s="965"/>
      <c r="Z54" s="965"/>
      <c r="AA54" s="965"/>
      <c r="AB54" s="965"/>
      <c r="AC54" s="965"/>
      <c r="AD54" s="965"/>
      <c r="AE54" s="965"/>
      <c r="AF54" s="965"/>
      <c r="AG54" s="965"/>
      <c r="AH54" s="965"/>
      <c r="AI54" s="965"/>
      <c r="AJ54" s="965"/>
      <c r="AK54" s="965"/>
      <c r="AL54" s="965"/>
      <c r="AM54" s="965"/>
      <c r="AN54" s="965"/>
      <c r="AO54" s="445"/>
      <c r="AP54" s="969"/>
      <c r="AQ54" s="965"/>
      <c r="AR54" s="965"/>
      <c r="AS54" s="970"/>
      <c r="AT54" s="965"/>
      <c r="AU54" s="965"/>
      <c r="AV54" s="965"/>
      <c r="AW54" s="965"/>
      <c r="AX54" s="965"/>
      <c r="AY54" s="964" t="s">
        <v>140</v>
      </c>
      <c r="AZ54" s="969" t="s">
        <v>140</v>
      </c>
      <c r="BA54" s="965"/>
      <c r="BB54" s="965"/>
      <c r="BC54" s="965"/>
      <c r="BD54" s="445"/>
      <c r="BE54" s="445"/>
      <c r="BF54" s="964"/>
      <c r="BG54" s="965">
        <v>7</v>
      </c>
      <c r="BH54" s="965"/>
      <c r="BI54" s="965"/>
      <c r="BJ54" s="965">
        <v>7</v>
      </c>
      <c r="BK54" s="965"/>
      <c r="BL54" s="965"/>
      <c r="BM54" s="965"/>
      <c r="BN54" s="965"/>
      <c r="BO54" s="965"/>
      <c r="BP54" s="964"/>
      <c r="BQ54" s="971"/>
      <c r="BR54" s="970"/>
      <c r="BS54" s="964"/>
      <c r="BT54" s="420"/>
      <c r="BU54" s="420"/>
      <c r="BV54" s="422"/>
      <c r="BW54" s="420"/>
      <c r="BX54" s="445"/>
      <c r="BY54" s="445"/>
      <c r="BZ54" s="445"/>
      <c r="CA54" s="445"/>
      <c r="CB54" s="445"/>
      <c r="CC54" s="702"/>
      <c r="CD54" s="445"/>
      <c r="CE54" s="972" t="str">
        <f>IFERROR(WWWW[[#This Row],['#_Water sources passed]]/WWWW[[#This Row],['#_Water sources tested for fecal coliform ]],"no test")</f>
        <v>no test</v>
      </c>
      <c r="CF54" s="970" t="str">
        <f>IFERROR(WWWW[[#This Row],['#_Household passed]]/WWWW[[#This Row],['#_Household water samples tested for fecal coliform]],"no test")</f>
        <v>no test</v>
      </c>
      <c r="CG54" s="971" t="str">
        <f>IF(AND(WWWW[[#This Row],[% of water sources passed]]="no test",WWWW[[#This Row],[% Household passed]]="no test"),"No Test","Tested")</f>
        <v>No Test</v>
      </c>
      <c r="CH54" s="971">
        <f>WWWW[[#This Row],['#_Constructed/existing protected hand dug well]]-WWWW[[#This Row],['#_Non-functional protected hand dug well]]</f>
        <v>0</v>
      </c>
      <c r="CI54" s="971">
        <f>(WWWW[[#This Row],['#_Constructed/Existing tube wells/boreholes/handpumps_WASH_agency]]+WWWW[[#This Row],['#_Non-Cluster partner water tube-wells/boreholes/handpumps]])-WWWW[[#This Row],['#_Non-functional tube wells/boreholes/handpumps]]</f>
        <v>0</v>
      </c>
      <c r="CJ54" s="971">
        <f>WWWW[[#This Row],['#_Constructed/Existingwater storage tank with gravity fed reticulation system]]-WWWW[[#This Row],['#_Non-functional storage tank gravity fed reticulation system]]</f>
        <v>0</v>
      </c>
      <c r="CK54" s="971">
        <f>(WWWW[[#This Row],['#_Water_Liters_supplied_by_Water boating or water trucking]]/90)/15</f>
        <v>0</v>
      </c>
      <c r="CL54" s="971">
        <f>WWWW[[#This Row],['#_Water_Liters_from_Constructed/Existing water distribution system from river or natural spring]]/90/15</f>
        <v>0</v>
      </c>
      <c r="CM54" s="421">
        <f>IF(WWWW[[#This Row],['#_of water points in TLS/CFS]]*500&gt;WWWW[[#This Row],[Total PoP ]],WWWW[[#This Row],[Total PoP ]],WWWW[[#This Row],['#_of water points in TLS/CFS]]*500)</f>
        <v>0</v>
      </c>
      <c r="CN54" s="421">
        <f>IF(WWWW[[#This Row],['#_of water points in THF]]*500&gt;WWWW[[#This Row],[Total PoP ]],WWWW[[#This Row],[Total PoP ]],WWWW[[#This Row],['#_of water points in THF]]*500)</f>
        <v>0</v>
      </c>
      <c r="CO54" s="421"/>
      <c r="CP5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4" s="970">
        <f>IF(WWWW[[#This Row],[Location Type 1]]="Village",WWWW[[#This Row],[Access to safe drinking water for Village]],WWWW[[#This Row],[Access to safe drinking water for Camp]])</f>
        <v>0</v>
      </c>
      <c r="CS54" s="968">
        <f>WWWW[[#This Row],[%Equitable and continuous access to sufficient quantity of safe drinking water]]*WWWW[[#This Row],[Total PoP ]]</f>
        <v>0</v>
      </c>
      <c r="CT54" s="970">
        <f>IF((WWWW[[#This Row],['#_Constructed/Existing protected/fenced ponds]]*250)/WWWW[[#This Row],[Total PoP ]]&gt;1,1,(WWWW[[#This Row],['#_Constructed/Existing protected/fenced ponds]]*250)/WWWW[[#This Row],[Total PoP ]])</f>
        <v>0</v>
      </c>
      <c r="CU54" s="968">
        <f>WWWW[[#This Row],[% Access to unimproved water points]]*WWWW[[#This Row],[Total PoP ]]</f>
        <v>0</v>
      </c>
      <c r="CV5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4" s="968">
        <f>WWWW[[#This Row],[HRP1]]/500</f>
        <v>0</v>
      </c>
      <c r="CY54" s="973">
        <f>1-WWWW[[#This Row],[% Equitable and continuous access to sufficient quantity of domestic water]]</f>
        <v>1</v>
      </c>
      <c r="CZ54" s="968">
        <f>WWWW[[#This Row],[%equitable and continuous access to sufficient quantity of safe drinking and domestic water''s GAP]]*WWWW[[#This Row],[Total PoP ]]</f>
        <v>906</v>
      </c>
      <c r="DA54" s="971">
        <f>IF(WWWW[[#This Row],[Total required water points]]-WWWW[[#This Row],['#Water points coverage]]&lt;0,0,WWWW[[#This Row],[Total required water points]]-WWWW[[#This Row],['#Water points coverage]])</f>
        <v>2</v>
      </c>
      <c r="DB54" s="971">
        <f>ROUND(IF(WWWW[[#This Row],[Total PoP ]]&lt;500,1,WWWW[[#This Row],[Total PoP ]]/500),0)</f>
        <v>2</v>
      </c>
      <c r="DC54" s="971">
        <f>(WWWW[[#This Row],['#_Constructed latrines_by_WASHAgencies]]+WWWW[[#This Row],['#_Non Cluster partner latrines]])-WWWW[[#This Row],['#_Non-functional latrines]]</f>
        <v>0</v>
      </c>
      <c r="DD54" s="619">
        <f>WWWW[[#This Row],[HRP2]]/WWWW[[#This Row],[Total PoP ]]</f>
        <v>0</v>
      </c>
      <c r="DE5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 s="421">
        <f>IF(WWWW[[#This Row],['# of functional latrines in THF supported by WASH partners during the reporting period2]]="",0,WWWW[[#This Row],['# of functional latrines in THF supported by WASH partners during the reporting period2]]*50)</f>
        <v>0</v>
      </c>
      <c r="DI54" s="971">
        <f>ROUND(IF(WWWW[[#This Row],[Location Type 1]]="camp",WWWW[[#This Row],[Total PoP ]]/20,IF(WWWW[[#This Row],[Location Type 1]]="Temporary Location",WWWW[[#This Row],[Total PoP ]]/50,(WWWW[[#This Row],[Total PoP ]]/6))),0)</f>
        <v>45</v>
      </c>
      <c r="DJ54" s="971">
        <f>IF(WWWW[[#This Row],[Total required Latrines]]-(WWWW[[#This Row],['#_Constructed latrines_by_WASHAgencies]]+WWWW[[#This Row],['#_Non Cluster partner latrines]])&lt;0,0,WWWW[[#This Row],[Total required Latrines]]-(WWWW[[#This Row],['#_Constructed latrines_by_WASHAgencies]]+WWWW[[#This Row],['#_Non Cluster partner latrines]]))</f>
        <v>45</v>
      </c>
      <c r="DK54" s="973">
        <f>1-WWWW[[#This Row],[% people access to functioning Latrine]]</f>
        <v>1</v>
      </c>
      <c r="DL54" s="972">
        <f>IF(OR(WWWW[[#This Row],['#_Non-functional latrines]]="",WWWW[[#This Row],['#_Non-functional latrines]]=0),0,WWWW[[#This Row],['#_Non-functional latrines]]/(WWWW[[#This Row],['#_Constructed latrines_by_WASHAgencies]]+WWWW[[#This Row],['#_Non Cluster partner latrines]]))</f>
        <v>0</v>
      </c>
      <c r="DM54" s="968">
        <f>IF(500*(WWWW[[#This Row],['#_male hygiene promoters]]+WWWW[[#This Row],['#_female hygiene promoters]])&gt;WWWW[[#This Row],[Total PoP ]],WWWW[[#This Row],[Total PoP ]],500*(WWWW[[#This Row],['#_male hygiene promoters]]+WWWW[[#This Row],['#_female hygiene promoters]]))</f>
        <v>0</v>
      </c>
      <c r="DN5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 s="971">
        <f>IF(WWWW[[#This Row],['# People with access to soap]]&gt;WWWW[[#This Row],['# People with access to Sanity Pads]],WWWW[[#This Row],['# People with access to soap]],WWWW[[#This Row],['# People with access to Sanity Pads]])</f>
        <v>0</v>
      </c>
      <c r="DQ5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4" s="973">
        <f>IF(WWWW[[#This Row],[HRP3]]/WWWW[[#This Row],[Total PoP ]]&gt;1,1,WWWW[[#This Row],[HRP3]]/WWWW[[#This Row],[Total PoP ]])</f>
        <v>0</v>
      </c>
      <c r="DS54" s="972">
        <f>1-WWWW[[#This Row],[Hygiene Coverage%]]</f>
        <v>1</v>
      </c>
      <c r="DT54" s="970">
        <f>WWWW[[#This Row],['# people reached by regular dedicated hygiene promotion_5]]/WWWW[[#This Row],[Total PoP ]]</f>
        <v>0</v>
      </c>
      <c r="DU5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 s="971">
        <f>WWWW[[#This Row],['#_Constructed/Existing hand washing stations]]-WWWW[[#This Row],['#_Non-Functional_hand_washing_stations]]</f>
        <v>7</v>
      </c>
      <c r="DX54" s="968">
        <f>IF(WWWW[[#This Row],['# Functional hand washing stations during reporting period]]*20&gt;WWWW[[#This Row],[Total HH]],WWWW[[#This Row],[Total HH]],WWWW[[#This Row],['# Functional hand washing stations during reporting period]]*20)</f>
        <v>140</v>
      </c>
      <c r="DY54" s="968">
        <f>IF(WWWW[[#This Row],[Is sufficient soap available for TLS? (Yes/No)]]="yes",WWWW[[#This Row],['#_Constructed/Existing hand washing stations at TLS/CFS/THF]],0)</f>
        <v>0</v>
      </c>
      <c r="DZ54" s="425">
        <f>IF(WWWW[[#This Row],['# Functional hand washing stations during reporting period]]*100&gt;WWWW[[#This Row],[Total PoP ]],WWWW[[#This Row],[Total PoP ]],WWWW[[#This Row],['# Functional hand washing stations during reporting period]]*100)</f>
        <v>700</v>
      </c>
      <c r="EA54" s="425" t="str">
        <f>IF(OR(WWWW[[#This Row],['#_students at TLS_CFS]]="",WWWW[[#This Row],['#_students at TLS_CFS]]=0),"No","Yes")</f>
        <v>No</v>
      </c>
      <c r="EB5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 s="570">
        <f>WWWW[[#This Row],[%_of_affected_people_surveyed_who_report_feeling_satistfied_with_the_latrine_design_and_sanitation_service]]*WWWW[[#This Row],[Total PoP ]]</f>
        <v>0</v>
      </c>
      <c r="ED54" s="570">
        <f>WWWW[[#This Row],[%_of_affected_people_surveyed_who_report_feeling_satistfied_with_the_water_point_design_and_water_service]]*WWWW[[#This Row],[Total PoP ]]</f>
        <v>0</v>
      </c>
      <c r="EE54" s="570">
        <f>WWWW[[#This Row],[%_of_complaints_received_that_result_in_timely_corrective_action_and_feedback_to_the_community]]*WWWW[[#This Row],[Total PoP ]]</f>
        <v>0</v>
      </c>
      <c r="EF5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 s="964">
        <f>VLOOKUP(WWWW[[#This Row],[Site Name]],SiteDB6[[Site Name]:[CCCM Management]],6,FALSE)</f>
        <v>0</v>
      </c>
      <c r="EJ54" s="964" t="str">
        <f>VLOOKUP(WWWW[[#This Row],[Site Name]],SiteDB6[[Site Name]:[CCCM Focal Agency]],7,FALSE)</f>
        <v>uncovered</v>
      </c>
      <c r="EK54" s="964" t="str">
        <f>VLOOKUP(WWWW[[#This Row],[Site Name]],SiteDB6[[Site Name]:[Location Type 1]],9,FALSE)</f>
        <v>Camp</v>
      </c>
      <c r="EL54" s="964" t="str">
        <f>VLOOKUP(WWWW[[#This Row],[Site Name]],SiteDB6[[Site Name]:[Type of Accommodation]],10,FALSE)</f>
        <v>IDPs in host</v>
      </c>
      <c r="EM54" s="964" t="str">
        <f>VLOOKUP(WWWW[[#This Row],[Site Name]],SiteDB6[[Site Name]:[Ethnic or GCA/NGCA]],11,FALSE)</f>
        <v>GCA</v>
      </c>
      <c r="EN54" s="964">
        <f>VLOOKUP(WWWW[[#This Row],[Site Name]],SiteDB6[[Site Name]:[Lat]],12,FALSE)</f>
        <v>24.263786</v>
      </c>
      <c r="EO54" s="964">
        <f>VLOOKUP(WWWW[[#This Row],[Site Name]],SiteDB6[[Site Name]:[Long]],13,FALSE)</f>
        <v>97.228835000000004</v>
      </c>
      <c r="EP54" s="964" t="str">
        <f>VLOOKUP(WWWW[[#This Row],[Site Name]],SiteDB6[[Site Name]:[Pcode]],3,FALSE)</f>
        <v>MMR001CMP163</v>
      </c>
      <c r="EQ54" s="969" t="str">
        <f t="shared" si="1"/>
        <v>Notcovered</v>
      </c>
      <c r="ER54" s="969"/>
      <c r="ES54" s="964">
        <f>VLOOKUP(WWWW[[#This Row],[Site Name]],SiteDB6[[Site Name]:[Pop
(Kachin/Shan-CCCM as of March 2023)]],16,FALSE)</f>
        <v>17</v>
      </c>
      <c r="ET54" s="964">
        <f>VLOOKUP(WWWW[[#This Row],[Site Name]],SiteDB6[[Site Name]:[Pop
(Kachin/Shan-CCCM as of March 2023)]],17,FALSE)</f>
        <v>87</v>
      </c>
    </row>
    <row r="55" spans="1:150" hidden="1">
      <c r="A55" s="962" t="s">
        <v>2977</v>
      </c>
      <c r="B55" s="962" t="s">
        <v>309</v>
      </c>
      <c r="C55" s="963" t="s">
        <v>309</v>
      </c>
      <c r="D55" s="963"/>
      <c r="E55" s="963" t="s">
        <v>37</v>
      </c>
      <c r="F55" s="963" t="s">
        <v>148</v>
      </c>
      <c r="G55" s="964" t="str">
        <f>VLOOKUP(WWWW[[#This Row],[Site Name]],SiteDB6[[Site Name]:[Location Type]],8,FALSE)</f>
        <v>Camp</v>
      </c>
      <c r="H55" s="963" t="s">
        <v>2886</v>
      </c>
      <c r="I55" s="965">
        <v>95</v>
      </c>
      <c r="J55" s="965">
        <v>472</v>
      </c>
      <c r="K55" s="966"/>
      <c r="L55" s="967"/>
      <c r="M55" s="965"/>
      <c r="N55" s="965"/>
      <c r="O55" s="965"/>
      <c r="P55" s="965"/>
      <c r="Q55" s="968"/>
      <c r="R55" s="965"/>
      <c r="S55" s="965"/>
      <c r="T55" s="445"/>
      <c r="U55" s="965"/>
      <c r="V55" s="965"/>
      <c r="W55" s="965"/>
      <c r="X55" s="965"/>
      <c r="Y55" s="965"/>
      <c r="Z55" s="965"/>
      <c r="AA55" s="965"/>
      <c r="AB55" s="965"/>
      <c r="AC55" s="965"/>
      <c r="AD55" s="965"/>
      <c r="AE55" s="965"/>
      <c r="AF55" s="965"/>
      <c r="AG55" s="965"/>
      <c r="AH55" s="965"/>
      <c r="AI55" s="965"/>
      <c r="AJ55" s="965"/>
      <c r="AK55" s="965"/>
      <c r="AL55" s="965"/>
      <c r="AM55" s="965"/>
      <c r="AN55" s="965"/>
      <c r="AO55" s="445"/>
      <c r="AP55" s="969"/>
      <c r="AQ55" s="965"/>
      <c r="AR55" s="965"/>
      <c r="AS55" s="970"/>
      <c r="AT55" s="965"/>
      <c r="AU55" s="965"/>
      <c r="AV55" s="965"/>
      <c r="AW55" s="965"/>
      <c r="AX55" s="965"/>
      <c r="AY55" s="964" t="s">
        <v>140</v>
      </c>
      <c r="AZ55" s="969" t="s">
        <v>140</v>
      </c>
      <c r="BA55" s="965"/>
      <c r="BB55" s="965"/>
      <c r="BC55" s="965"/>
      <c r="BD55" s="445"/>
      <c r="BE55" s="445"/>
      <c r="BF55" s="964"/>
      <c r="BG55" s="965">
        <v>8</v>
      </c>
      <c r="BH55" s="965"/>
      <c r="BI55" s="965"/>
      <c r="BJ55" s="965">
        <v>3</v>
      </c>
      <c r="BK55" s="965"/>
      <c r="BL55" s="965"/>
      <c r="BM55" s="965"/>
      <c r="BN55" s="965"/>
      <c r="BO55" s="965"/>
      <c r="BP55" s="964"/>
      <c r="BQ55" s="971"/>
      <c r="BR55" s="970"/>
      <c r="BS55" s="964"/>
      <c r="BT55" s="420"/>
      <c r="BU55" s="420"/>
      <c r="BV55" s="422"/>
      <c r="BW55" s="420"/>
      <c r="BX55" s="445"/>
      <c r="BY55" s="445"/>
      <c r="BZ55" s="445"/>
      <c r="CA55" s="445"/>
      <c r="CB55" s="445"/>
      <c r="CC55" s="702"/>
      <c r="CD55" s="445"/>
      <c r="CE55" s="972" t="str">
        <f>IFERROR(WWWW[[#This Row],['#_Water sources passed]]/WWWW[[#This Row],['#_Water sources tested for fecal coliform ]],"no test")</f>
        <v>no test</v>
      </c>
      <c r="CF55" s="970" t="str">
        <f>IFERROR(WWWW[[#This Row],['#_Household passed]]/WWWW[[#This Row],['#_Household water samples tested for fecal coliform]],"no test")</f>
        <v>no test</v>
      </c>
      <c r="CG55" s="971" t="str">
        <f>IF(AND(WWWW[[#This Row],[% of water sources passed]]="no test",WWWW[[#This Row],[% Household passed]]="no test"),"No Test","Tested")</f>
        <v>No Test</v>
      </c>
      <c r="CH55" s="971">
        <f>WWWW[[#This Row],['#_Constructed/existing protected hand dug well]]-WWWW[[#This Row],['#_Non-functional protected hand dug well]]</f>
        <v>0</v>
      </c>
      <c r="CI55" s="971">
        <f>(WWWW[[#This Row],['#_Constructed/Existing tube wells/boreholes/handpumps_WASH_agency]]+WWWW[[#This Row],['#_Non-Cluster partner water tube-wells/boreholes/handpumps]])-WWWW[[#This Row],['#_Non-functional tube wells/boreholes/handpumps]]</f>
        <v>0</v>
      </c>
      <c r="CJ55" s="971">
        <f>WWWW[[#This Row],['#_Constructed/Existingwater storage tank with gravity fed reticulation system]]-WWWW[[#This Row],['#_Non-functional storage tank gravity fed reticulation system]]</f>
        <v>0</v>
      </c>
      <c r="CK55" s="971">
        <f>(WWWW[[#This Row],['#_Water_Liters_supplied_by_Water boating or water trucking]]/90)/15</f>
        <v>0</v>
      </c>
      <c r="CL55" s="971">
        <f>WWWW[[#This Row],['#_Water_Liters_from_Constructed/Existing water distribution system from river or natural spring]]/90/15</f>
        <v>0</v>
      </c>
      <c r="CM55" s="421">
        <f>IF(WWWW[[#This Row],['#_of water points in TLS/CFS]]*500&gt;WWWW[[#This Row],[Total PoP ]],WWWW[[#This Row],[Total PoP ]],WWWW[[#This Row],['#_of water points in TLS/CFS]]*500)</f>
        <v>0</v>
      </c>
      <c r="CN55" s="421">
        <f>IF(WWWW[[#This Row],['#_of water points in THF]]*500&gt;WWWW[[#This Row],[Total PoP ]],WWWW[[#This Row],[Total PoP ]],WWWW[[#This Row],['#_of water points in THF]]*500)</f>
        <v>0</v>
      </c>
      <c r="CO55" s="421"/>
      <c r="CP5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5" s="970">
        <f>IF(WWWW[[#This Row],[Location Type 1]]="Village",WWWW[[#This Row],[Access to safe drinking water for Village]],WWWW[[#This Row],[Access to safe drinking water for Camp]])</f>
        <v>0</v>
      </c>
      <c r="CS55" s="968">
        <f>WWWW[[#This Row],[%Equitable and continuous access to sufficient quantity of safe drinking water]]*WWWW[[#This Row],[Total PoP ]]</f>
        <v>0</v>
      </c>
      <c r="CT55" s="970">
        <f>IF((WWWW[[#This Row],['#_Constructed/Existing protected/fenced ponds]]*250)/WWWW[[#This Row],[Total PoP ]]&gt;1,1,(WWWW[[#This Row],['#_Constructed/Existing protected/fenced ponds]]*250)/WWWW[[#This Row],[Total PoP ]])</f>
        <v>0</v>
      </c>
      <c r="CU55" s="968">
        <f>WWWW[[#This Row],[% Access to unimproved water points]]*WWWW[[#This Row],[Total PoP ]]</f>
        <v>0</v>
      </c>
      <c r="CV5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5" s="968">
        <f>WWWW[[#This Row],[HRP1]]/500</f>
        <v>0</v>
      </c>
      <c r="CY55" s="973">
        <f>1-WWWW[[#This Row],[% Equitable and continuous access to sufficient quantity of domestic water]]</f>
        <v>1</v>
      </c>
      <c r="CZ55" s="968">
        <f>WWWW[[#This Row],[%equitable and continuous access to sufficient quantity of safe drinking and domestic water''s GAP]]*WWWW[[#This Row],[Total PoP ]]</f>
        <v>472</v>
      </c>
      <c r="DA55" s="971">
        <f>IF(WWWW[[#This Row],[Total required water points]]-WWWW[[#This Row],['#Water points coverage]]&lt;0,0,WWWW[[#This Row],[Total required water points]]-WWWW[[#This Row],['#Water points coverage]])</f>
        <v>1</v>
      </c>
      <c r="DB55" s="971">
        <f>ROUND(IF(WWWW[[#This Row],[Total PoP ]]&lt;500,1,WWWW[[#This Row],[Total PoP ]]/500),0)</f>
        <v>1</v>
      </c>
      <c r="DC55" s="971">
        <f>(WWWW[[#This Row],['#_Constructed latrines_by_WASHAgencies]]+WWWW[[#This Row],['#_Non Cluster partner latrines]])-WWWW[[#This Row],['#_Non-functional latrines]]</f>
        <v>0</v>
      </c>
      <c r="DD55" s="619">
        <f>WWWW[[#This Row],[HRP2]]/WWWW[[#This Row],[Total PoP ]]</f>
        <v>0</v>
      </c>
      <c r="DE5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 s="421">
        <f>IF(WWWW[[#This Row],['# of functional latrines in THF supported by WASH partners during the reporting period2]]="",0,WWWW[[#This Row],['# of functional latrines in THF supported by WASH partners during the reporting period2]]*50)</f>
        <v>0</v>
      </c>
      <c r="DI55" s="971">
        <f>ROUND(IF(WWWW[[#This Row],[Location Type 1]]="camp",WWWW[[#This Row],[Total PoP ]]/20,IF(WWWW[[#This Row],[Location Type 1]]="Temporary Location",WWWW[[#This Row],[Total PoP ]]/50,(WWWW[[#This Row],[Total PoP ]]/6))),0)</f>
        <v>24</v>
      </c>
      <c r="DJ55" s="971">
        <f>IF(WWWW[[#This Row],[Total required Latrines]]-(WWWW[[#This Row],['#_Constructed latrines_by_WASHAgencies]]+WWWW[[#This Row],['#_Non Cluster partner latrines]])&lt;0,0,WWWW[[#This Row],[Total required Latrines]]-(WWWW[[#This Row],['#_Constructed latrines_by_WASHAgencies]]+WWWW[[#This Row],['#_Non Cluster partner latrines]]))</f>
        <v>24</v>
      </c>
      <c r="DK55" s="973">
        <f>1-WWWW[[#This Row],[% people access to functioning Latrine]]</f>
        <v>1</v>
      </c>
      <c r="DL55" s="972">
        <f>IF(OR(WWWW[[#This Row],['#_Non-functional latrines]]="",WWWW[[#This Row],['#_Non-functional latrines]]=0),0,WWWW[[#This Row],['#_Non-functional latrines]]/(WWWW[[#This Row],['#_Constructed latrines_by_WASHAgencies]]+WWWW[[#This Row],['#_Non Cluster partner latrines]]))</f>
        <v>0</v>
      </c>
      <c r="DM55" s="968">
        <f>IF(500*(WWWW[[#This Row],['#_male hygiene promoters]]+WWWW[[#This Row],['#_female hygiene promoters]])&gt;WWWW[[#This Row],[Total PoP ]],WWWW[[#This Row],[Total PoP ]],500*(WWWW[[#This Row],['#_male hygiene promoters]]+WWWW[[#This Row],['#_female hygiene promoters]]))</f>
        <v>0</v>
      </c>
      <c r="DN5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 s="971">
        <f>IF(WWWW[[#This Row],['# People with access to soap]]&gt;WWWW[[#This Row],['# People with access to Sanity Pads]],WWWW[[#This Row],['# People with access to soap]],WWWW[[#This Row],['# People with access to Sanity Pads]])</f>
        <v>0</v>
      </c>
      <c r="DQ5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 s="973">
        <f>IF(WWWW[[#This Row],[HRP3]]/WWWW[[#This Row],[Total PoP ]]&gt;1,1,WWWW[[#This Row],[HRP3]]/WWWW[[#This Row],[Total PoP ]])</f>
        <v>0</v>
      </c>
      <c r="DS55" s="972">
        <f>1-WWWW[[#This Row],[Hygiene Coverage%]]</f>
        <v>1</v>
      </c>
      <c r="DT55" s="970">
        <f>WWWW[[#This Row],['# people reached by regular dedicated hygiene promotion_5]]/WWWW[[#This Row],[Total PoP ]]</f>
        <v>0</v>
      </c>
      <c r="DU5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 s="971">
        <f>WWWW[[#This Row],['#_Constructed/Existing hand washing stations]]-WWWW[[#This Row],['#_Non-Functional_hand_washing_stations]]</f>
        <v>8</v>
      </c>
      <c r="DX55" s="968">
        <f>IF(WWWW[[#This Row],['# Functional hand washing stations during reporting period]]*20&gt;WWWW[[#This Row],[Total HH]],WWWW[[#This Row],[Total HH]],WWWW[[#This Row],['# Functional hand washing stations during reporting period]]*20)</f>
        <v>95</v>
      </c>
      <c r="DY55" s="968">
        <f>IF(WWWW[[#This Row],[Is sufficient soap available for TLS? (Yes/No)]]="yes",WWWW[[#This Row],['#_Constructed/Existing hand washing stations at TLS/CFS/THF]],0)</f>
        <v>0</v>
      </c>
      <c r="DZ55" s="425">
        <f>IF(WWWW[[#This Row],['# Functional hand washing stations during reporting period]]*100&gt;WWWW[[#This Row],[Total PoP ]],WWWW[[#This Row],[Total PoP ]],WWWW[[#This Row],['# Functional hand washing stations during reporting period]]*100)</f>
        <v>472</v>
      </c>
      <c r="EA55" s="425" t="str">
        <f>IF(OR(WWWW[[#This Row],['#_students at TLS_CFS]]="",WWWW[[#This Row],['#_students at TLS_CFS]]=0),"No","Yes")</f>
        <v>No</v>
      </c>
      <c r="EB5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 s="570">
        <f>WWWW[[#This Row],[%_of_affected_people_surveyed_who_report_feeling_satistfied_with_the_latrine_design_and_sanitation_service]]*WWWW[[#This Row],[Total PoP ]]</f>
        <v>0</v>
      </c>
      <c r="ED55" s="570">
        <f>WWWW[[#This Row],[%_of_affected_people_surveyed_who_report_feeling_satistfied_with_the_water_point_design_and_water_service]]*WWWW[[#This Row],[Total PoP ]]</f>
        <v>0</v>
      </c>
      <c r="EE55" s="570">
        <f>WWWW[[#This Row],[%_of_complaints_received_that_result_in_timely_corrective_action_and_feedback_to_the_community]]*WWWW[[#This Row],[Total PoP ]]</f>
        <v>0</v>
      </c>
      <c r="EF5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 s="964" t="str">
        <f>VLOOKUP(WWWW[[#This Row],[Site Name]],SiteDB6[[Site Name]:[CCCM Management]],6,FALSE)</f>
        <v>Yes</v>
      </c>
      <c r="EJ55" s="964" t="str">
        <f>VLOOKUP(WWWW[[#This Row],[Site Name]],SiteDB6[[Site Name]:[CCCM Focal Agency]],7,FALSE)</f>
        <v>KMSS-MYT</v>
      </c>
      <c r="EK55" s="964" t="str">
        <f>VLOOKUP(WWWW[[#This Row],[Site Name]],SiteDB6[[Site Name]:[Location Type 1]],9,FALSE)</f>
        <v>Camp</v>
      </c>
      <c r="EL55" s="964" t="str">
        <f>VLOOKUP(WWWW[[#This Row],[Site Name]],SiteDB6[[Site Name]:[Type of Accommodation]],10,FALSE)</f>
        <v>Camp</v>
      </c>
      <c r="EM55" s="964" t="str">
        <f>VLOOKUP(WWWW[[#This Row],[Site Name]],SiteDB6[[Site Name]:[Ethnic or GCA/NGCA]],11,FALSE)</f>
        <v>GCA</v>
      </c>
      <c r="EN55" s="964">
        <f>VLOOKUP(WWWW[[#This Row],[Site Name]],SiteDB6[[Site Name]:[Lat]],12,FALSE)</f>
        <v>25.656009999999998</v>
      </c>
      <c r="EO55" s="964">
        <f>VLOOKUP(WWWW[[#This Row],[Site Name]],SiteDB6[[Site Name]:[Long]],13,FALSE)</f>
        <v>96.361609999999999</v>
      </c>
      <c r="EP55" s="964" t="str">
        <f>VLOOKUP(WWWW[[#This Row],[Site Name]],SiteDB6[[Site Name]:[Pcode]],3,FALSE)</f>
        <v>MMR001CMP168</v>
      </c>
      <c r="EQ55" s="969" t="str">
        <f t="shared" si="1"/>
        <v>Notcovered</v>
      </c>
      <c r="ER55" s="969"/>
      <c r="ES55" s="964">
        <f>VLOOKUP(WWWW[[#This Row],[Site Name]],SiteDB6[[Site Name]:[Pop
(Kachin/Shan-CCCM as of March 2023)]],16,FALSE)</f>
        <v>91</v>
      </c>
      <c r="ET55" s="964">
        <f>VLOOKUP(WWWW[[#This Row],[Site Name]],SiteDB6[[Site Name]:[Pop
(Kachin/Shan-CCCM as of March 2023)]],17,FALSE)</f>
        <v>456</v>
      </c>
    </row>
    <row r="56" spans="1:150" hidden="1">
      <c r="A56" s="962" t="s">
        <v>2977</v>
      </c>
      <c r="B56" s="962" t="s">
        <v>3156</v>
      </c>
      <c r="C56" s="962" t="s">
        <v>3156</v>
      </c>
      <c r="D56" s="963" t="s">
        <v>3159</v>
      </c>
      <c r="E56" s="963" t="s">
        <v>37</v>
      </c>
      <c r="F56" s="963" t="s">
        <v>205</v>
      </c>
      <c r="G56" s="964" t="s">
        <v>3081</v>
      </c>
      <c r="H56" s="963" t="s">
        <v>206</v>
      </c>
      <c r="I56" s="965">
        <v>110</v>
      </c>
      <c r="J56" s="965">
        <v>502</v>
      </c>
      <c r="K56" s="966" t="s">
        <v>3157</v>
      </c>
      <c r="L56" s="967" t="s">
        <v>3158</v>
      </c>
      <c r="M56" s="965"/>
      <c r="N56" s="965"/>
      <c r="O56" s="965"/>
      <c r="P56" s="965"/>
      <c r="Q56" s="968" t="s">
        <v>41</v>
      </c>
      <c r="R56" s="965">
        <v>2</v>
      </c>
      <c r="S56" s="965">
        <v>3</v>
      </c>
      <c r="T56" s="445">
        <v>3</v>
      </c>
      <c r="U56" s="965"/>
      <c r="V56" s="965"/>
      <c r="W56" s="965">
        <v>2</v>
      </c>
      <c r="X56" s="965"/>
      <c r="Y56" s="965"/>
      <c r="Z56" s="965"/>
      <c r="AA56" s="965"/>
      <c r="AB56" s="965"/>
      <c r="AC56" s="965"/>
      <c r="AD56" s="965"/>
      <c r="AE56" s="965"/>
      <c r="AF56" s="965"/>
      <c r="AG56" s="965">
        <v>1</v>
      </c>
      <c r="AH56" s="965"/>
      <c r="AI56" s="965"/>
      <c r="AJ56" s="965"/>
      <c r="AK56" s="965"/>
      <c r="AL56" s="965"/>
      <c r="AM56" s="965"/>
      <c r="AN56" s="965"/>
      <c r="AO56" s="445"/>
      <c r="AP56" s="969"/>
      <c r="AQ56" s="965">
        <v>31</v>
      </c>
      <c r="AR56" s="965"/>
      <c r="AS56" s="970"/>
      <c r="AT56" s="965"/>
      <c r="AU56" s="965"/>
      <c r="AV56" s="965"/>
      <c r="AW56" s="965"/>
      <c r="AX56" s="965"/>
      <c r="AY56" s="964" t="s">
        <v>41</v>
      </c>
      <c r="AZ56" s="969" t="s">
        <v>137</v>
      </c>
      <c r="BA56" s="965"/>
      <c r="BB56" s="965"/>
      <c r="BC56" s="965"/>
      <c r="BD56" s="445"/>
      <c r="BE56" s="445"/>
      <c r="BF56" s="964"/>
      <c r="BG56" s="965">
        <v>11</v>
      </c>
      <c r="BH56" s="965"/>
      <c r="BI56" s="965"/>
      <c r="BJ56" s="965">
        <v>3</v>
      </c>
      <c r="BK56" s="965"/>
      <c r="BL56" s="965"/>
      <c r="BM56" s="965"/>
      <c r="BN56" s="965"/>
      <c r="BO56" s="965"/>
      <c r="BP56" s="964"/>
      <c r="BQ56" s="971"/>
      <c r="BR56" s="970"/>
      <c r="BS56" s="964"/>
      <c r="BT56" s="420"/>
      <c r="BU56" s="420"/>
      <c r="BV56" s="422"/>
      <c r="BW56" s="420"/>
      <c r="BX56" s="445"/>
      <c r="BY56" s="445"/>
      <c r="BZ56" s="445"/>
      <c r="CA56" s="445"/>
      <c r="CB56" s="445"/>
      <c r="CC56" s="702"/>
      <c r="CD56" s="445"/>
      <c r="CE56" s="972" t="str">
        <f>IFERROR(WWWW[[#This Row],['#_Water sources passed]]/WWWW[[#This Row],['#_Water sources tested for fecal coliform ]],"no test")</f>
        <v>no test</v>
      </c>
      <c r="CF56" s="970" t="str">
        <f>IFERROR(WWWW[[#This Row],['#_Household passed]]/WWWW[[#This Row],['#_Household water samples tested for fecal coliform]],"no test")</f>
        <v>no test</v>
      </c>
      <c r="CG56" s="971" t="str">
        <f>IF(AND(WWWW[[#This Row],[% of water sources passed]]="no test",WWWW[[#This Row],[% Household passed]]="no test"),"No Test","Tested")</f>
        <v>No Test</v>
      </c>
      <c r="CH56" s="971">
        <f>WWWW[[#This Row],['#_Constructed/existing protected hand dug well]]-WWWW[[#This Row],['#_Non-functional protected hand dug well]]</f>
        <v>3</v>
      </c>
      <c r="CI56" s="971">
        <f>(WWWW[[#This Row],['#_Constructed/Existing tube wells/boreholes/handpumps_WASH_agency]]+WWWW[[#This Row],['#_Non-Cluster partner water tube-wells/boreholes/handpumps]])-WWWW[[#This Row],['#_Non-functional tube wells/boreholes/handpumps]]</f>
        <v>2</v>
      </c>
      <c r="CJ56" s="971">
        <f>WWWW[[#This Row],['#_Constructed/Existingwater storage tank with gravity fed reticulation system]]-WWWW[[#This Row],['#_Non-functional storage tank gravity fed reticulation system]]</f>
        <v>0</v>
      </c>
      <c r="CK56" s="971">
        <f>(WWWW[[#This Row],['#_Water_Liters_supplied_by_Water boating or water trucking]]/90)/15</f>
        <v>0</v>
      </c>
      <c r="CL56" s="971">
        <f>WWWW[[#This Row],['#_Water_Liters_from_Constructed/Existing water distribution system from river or natural spring]]/90/15</f>
        <v>0</v>
      </c>
      <c r="CM56" s="421">
        <f>IF(WWWW[[#This Row],['#_of water points in TLS/CFS]]*500&gt;WWWW[[#This Row],[Total PoP ]],WWWW[[#This Row],[Total PoP ]],WWWW[[#This Row],['#_of water points in TLS/CFS]]*500)</f>
        <v>0</v>
      </c>
      <c r="CN56" s="421">
        <f>IF(WWWW[[#This Row],['#_of water points in THF]]*500&gt;WWWW[[#This Row],[Total PoP ]],WWWW[[#This Row],[Total PoP ]],WWWW[[#This Row],['#_of water points in THF]]*500)</f>
        <v>0</v>
      </c>
      <c r="CO56" s="421"/>
      <c r="CP5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6" s="970">
        <f>IF(WWWW[[#This Row],[Location Type 1]]="Village",WWWW[[#This Row],[Access to safe drinking water for Village]],WWWW[[#This Row],[Access to safe drinking water for Camp]])</f>
        <v>1</v>
      </c>
      <c r="CS56" s="968">
        <f>WWWW[[#This Row],[%Equitable and continuous access to sufficient quantity of safe drinking water]]*WWWW[[#This Row],[Total PoP ]]</f>
        <v>502</v>
      </c>
      <c r="CT56" s="970">
        <f>IF((WWWW[[#This Row],['#_Constructed/Existing protected/fenced ponds]]*250)/WWWW[[#This Row],[Total PoP ]]&gt;1,1,(WWWW[[#This Row],['#_Constructed/Existing protected/fenced ponds]]*250)/WWWW[[#This Row],[Total PoP ]])</f>
        <v>0</v>
      </c>
      <c r="CU56" s="968">
        <f>WWWW[[#This Row],[% Access to unimproved water points]]*WWWW[[#This Row],[Total PoP ]]</f>
        <v>0</v>
      </c>
      <c r="CV5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56" s="968">
        <f>WWWW[[#This Row],[HRP1]]/500</f>
        <v>1.004</v>
      </c>
      <c r="CY56" s="973">
        <f>1-WWWW[[#This Row],[% Equitable and continuous access to sufficient quantity of domestic water]]</f>
        <v>0</v>
      </c>
      <c r="CZ56" s="968">
        <f>WWWW[[#This Row],[%equitable and continuous access to sufficient quantity of safe drinking and domestic water''s GAP]]*WWWW[[#This Row],[Total PoP ]]</f>
        <v>0</v>
      </c>
      <c r="DA56" s="971">
        <f>IF(WWWW[[#This Row],[Total required water points]]-WWWW[[#This Row],['#Water points coverage]]&lt;0,0,WWWW[[#This Row],[Total required water points]]-WWWW[[#This Row],['#Water points coverage]])</f>
        <v>0</v>
      </c>
      <c r="DB56" s="971">
        <f>ROUND(IF(WWWW[[#This Row],[Total PoP ]]&lt;500,1,WWWW[[#This Row],[Total PoP ]]/500),0)</f>
        <v>1</v>
      </c>
      <c r="DC56" s="971">
        <f>(WWWW[[#This Row],['#_Constructed latrines_by_WASHAgencies]]+WWWW[[#This Row],['#_Non Cluster partner latrines]])-WWWW[[#This Row],['#_Non-functional latrines]]</f>
        <v>31</v>
      </c>
      <c r="DD56" s="619">
        <f>WWWW[[#This Row],[HRP2]]/WWWW[[#This Row],[Total PoP ]]</f>
        <v>1</v>
      </c>
      <c r="DE5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5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 s="421">
        <f>IF(WWWW[[#This Row],['# of functional latrines in THF supported by WASH partners during the reporting period2]]="",0,WWWW[[#This Row],['# of functional latrines in THF supported by WASH partners during the reporting period2]]*50)</f>
        <v>0</v>
      </c>
      <c r="DI56" s="971">
        <f>ROUND(IF(WWWW[[#This Row],[Location Type 1]]="camp",WWWW[[#This Row],[Total PoP ]]/20,IF(WWWW[[#This Row],[Location Type 1]]="Temporary Location",WWWW[[#This Row],[Total PoP ]]/50,(WWWW[[#This Row],[Total PoP ]]/6))),0)</f>
        <v>25</v>
      </c>
      <c r="DJ56" s="971">
        <f>IF(WWWW[[#This Row],[Total required Latrines]]-(WWWW[[#This Row],['#_Constructed latrines_by_WASHAgencies]]+WWWW[[#This Row],['#_Non Cluster partner latrines]])&lt;0,0,WWWW[[#This Row],[Total required Latrines]]-(WWWW[[#This Row],['#_Constructed latrines_by_WASHAgencies]]+WWWW[[#This Row],['#_Non Cluster partner latrines]]))</f>
        <v>0</v>
      </c>
      <c r="DK56" s="973">
        <f>1-WWWW[[#This Row],[% people access to functioning Latrine]]</f>
        <v>0</v>
      </c>
      <c r="DL56" s="972">
        <f>IF(OR(WWWW[[#This Row],['#_Non-functional latrines]]="",WWWW[[#This Row],['#_Non-functional latrines]]=0),0,WWWW[[#This Row],['#_Non-functional latrines]]/(WWWW[[#This Row],['#_Constructed latrines_by_WASHAgencies]]+WWWW[[#This Row],['#_Non Cluster partner latrines]]))</f>
        <v>0</v>
      </c>
      <c r="DM56" s="968">
        <f>IF(500*(WWWW[[#This Row],['#_male hygiene promoters]]+WWWW[[#This Row],['#_female hygiene promoters]])&gt;WWWW[[#This Row],[Total PoP ]],WWWW[[#This Row],[Total PoP ]],500*(WWWW[[#This Row],['#_male hygiene promoters]]+WWWW[[#This Row],['#_female hygiene promoters]]))</f>
        <v>0</v>
      </c>
      <c r="DN5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 s="971">
        <f>IF(WWWW[[#This Row],['# People with access to soap]]&gt;WWWW[[#This Row],['# People with access to Sanity Pads]],WWWW[[#This Row],['# People with access to soap]],WWWW[[#This Row],['# People with access to Sanity Pads]])</f>
        <v>0</v>
      </c>
      <c r="DQ5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6" s="973">
        <f>IF(WWWW[[#This Row],[HRP3]]/WWWW[[#This Row],[Total PoP ]]&gt;1,1,WWWW[[#This Row],[HRP3]]/WWWW[[#This Row],[Total PoP ]])</f>
        <v>0</v>
      </c>
      <c r="DS56" s="972">
        <f>1-WWWW[[#This Row],[Hygiene Coverage%]]</f>
        <v>1</v>
      </c>
      <c r="DT56" s="970">
        <f>WWWW[[#This Row],['# people reached by regular dedicated hygiene promotion_5]]/WWWW[[#This Row],[Total PoP ]]</f>
        <v>0</v>
      </c>
      <c r="DU5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 s="971">
        <f>WWWW[[#This Row],['#_Constructed/Existing hand washing stations]]-WWWW[[#This Row],['#_Non-Functional_hand_washing_stations]]</f>
        <v>11</v>
      </c>
      <c r="DX56" s="968">
        <f>IF(WWWW[[#This Row],['# Functional hand washing stations during reporting period]]*20&gt;WWWW[[#This Row],[Total HH]],WWWW[[#This Row],[Total HH]],WWWW[[#This Row],['# Functional hand washing stations during reporting period]]*20)</f>
        <v>110</v>
      </c>
      <c r="DY56" s="968">
        <f>IF(WWWW[[#This Row],[Is sufficient soap available for TLS? (Yes/No)]]="yes",WWWW[[#This Row],['#_Constructed/Existing hand washing stations at TLS/CFS/THF]],0)</f>
        <v>0</v>
      </c>
      <c r="DZ56" s="425">
        <f>IF(WWWW[[#This Row],['# Functional hand washing stations during reporting period]]*100&gt;WWWW[[#This Row],[Total PoP ]],WWWW[[#This Row],[Total PoP ]],WWWW[[#This Row],['# Functional hand washing stations during reporting period]]*100)</f>
        <v>502</v>
      </c>
      <c r="EA56" s="425" t="str">
        <f>IF(OR(WWWW[[#This Row],['#_students at TLS_CFS]]="",WWWW[[#This Row],['#_students at TLS_CFS]]=0),"No","Yes")</f>
        <v>No</v>
      </c>
      <c r="EB5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6" s="570">
        <f>WWWW[[#This Row],[%_of_affected_people_surveyed_who_report_feeling_satistfied_with_the_latrine_design_and_sanitation_service]]*WWWW[[#This Row],[Total PoP ]]</f>
        <v>0</v>
      </c>
      <c r="ED56" s="570">
        <f>WWWW[[#This Row],[%_of_affected_people_surveyed_who_report_feeling_satistfied_with_the_water_point_design_and_water_service]]*WWWW[[#This Row],[Total PoP ]]</f>
        <v>0</v>
      </c>
      <c r="EE56" s="570">
        <f>WWWW[[#This Row],[%_of_complaints_received_that_result_in_timely_corrective_action_and_feedback_to_the_community]]*WWWW[[#This Row],[Total PoP ]]</f>
        <v>0</v>
      </c>
      <c r="EF5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 s="964">
        <f>VLOOKUP(WWWW[[#This Row],[Site Name]],SiteDB6[[Site Name]:[CCCM Management]],6,FALSE)</f>
        <v>0</v>
      </c>
      <c r="EJ56" s="964">
        <f>VLOOKUP(WWWW[[#This Row],[Site Name]],SiteDB6[[Site Name]:[CCCM Focal Agency]],7,FALSE)</f>
        <v>0</v>
      </c>
      <c r="EK56" s="964" t="str">
        <f>VLOOKUP(WWWW[[#This Row],[Site Name]],SiteDB6[[Site Name]:[Location Type 1]],9,FALSE)</f>
        <v>Camp</v>
      </c>
      <c r="EL56" s="964" t="str">
        <f>VLOOKUP(WWWW[[#This Row],[Site Name]],SiteDB6[[Site Name]:[Type of Accommodation]],10,FALSE)</f>
        <v>Camp</v>
      </c>
      <c r="EM56" s="964" t="str">
        <f>VLOOKUP(WWWW[[#This Row],[Site Name]],SiteDB6[[Site Name]:[Ethnic or GCA/NGCA]],11,FALSE)</f>
        <v>GCA</v>
      </c>
      <c r="EN56" s="964">
        <f>VLOOKUP(WWWW[[#This Row],[Site Name]],SiteDB6[[Site Name]:[Lat]],12,FALSE)</f>
        <v>0</v>
      </c>
      <c r="EO56" s="964">
        <f>VLOOKUP(WWWW[[#This Row],[Site Name]],SiteDB6[[Site Name]:[Long]],13,FALSE)</f>
        <v>0</v>
      </c>
      <c r="EP56" s="964">
        <f>VLOOKUP(WWWW[[#This Row],[Site Name]],SiteDB6[[Site Name]:[Pcode]],3,FALSE)</f>
        <v>0</v>
      </c>
      <c r="EQ56" s="969" t="str">
        <f t="shared" si="1"/>
        <v>Covered</v>
      </c>
      <c r="ER56" s="969" t="s">
        <v>3147</v>
      </c>
      <c r="ES56" s="964">
        <f>VLOOKUP(WWWW[[#This Row],[Site Name]],SiteDB6[[Site Name]:[Pop
(Kachin/Shan-CCCM as of March 2023)]],16,FALSE)</f>
        <v>0</v>
      </c>
      <c r="ET56" s="964">
        <f>VLOOKUP(WWWW[[#This Row],[Site Name]],SiteDB6[[Site Name]:[Pop
(Kachin/Shan-CCCM as of March 2023)]],17,FALSE)</f>
        <v>0</v>
      </c>
    </row>
    <row r="57" spans="1:150" hidden="1">
      <c r="A57" s="962" t="s">
        <v>2977</v>
      </c>
      <c r="B57" s="962" t="s">
        <v>242</v>
      </c>
      <c r="C57" s="963" t="s">
        <v>242</v>
      </c>
      <c r="D57" s="963" t="s">
        <v>3207</v>
      </c>
      <c r="E57" s="963" t="s">
        <v>37</v>
      </c>
      <c r="F57" s="963" t="s">
        <v>148</v>
      </c>
      <c r="G57" s="964" t="str">
        <f>VLOOKUP(WWWW[[#This Row],[Site Name]],SiteDB6[[Site Name]:[Location Type]],8,FALSE)</f>
        <v>Camp</v>
      </c>
      <c r="H57" s="963" t="s">
        <v>254</v>
      </c>
      <c r="I57" s="965">
        <v>95</v>
      </c>
      <c r="J57" s="965">
        <v>471</v>
      </c>
      <c r="K57" s="966">
        <v>44927</v>
      </c>
      <c r="L57" s="967">
        <v>45291</v>
      </c>
      <c r="M57" s="965">
        <v>90</v>
      </c>
      <c r="N57" s="965"/>
      <c r="O57" s="965">
        <v>1</v>
      </c>
      <c r="P57" s="965"/>
      <c r="Q57" s="968" t="s">
        <v>136</v>
      </c>
      <c r="R57" s="965">
        <v>7</v>
      </c>
      <c r="S57" s="965">
        <v>3</v>
      </c>
      <c r="T57" s="445"/>
      <c r="U57" s="965"/>
      <c r="V57" s="965"/>
      <c r="W57" s="965"/>
      <c r="X57" s="965"/>
      <c r="Y57" s="965"/>
      <c r="Z57" s="965"/>
      <c r="AA57" s="965">
        <v>2</v>
      </c>
      <c r="AB57" s="965"/>
      <c r="AC57" s="965">
        <v>1</v>
      </c>
      <c r="AD57" s="965"/>
      <c r="AE57" s="965">
        <v>2</v>
      </c>
      <c r="AF57" s="965"/>
      <c r="AG57" s="965">
        <v>7</v>
      </c>
      <c r="AH57" s="965">
        <v>1</v>
      </c>
      <c r="AI57" s="965"/>
      <c r="AJ57" s="965"/>
      <c r="AK57" s="965"/>
      <c r="AL57" s="965"/>
      <c r="AM57" s="965">
        <v>1</v>
      </c>
      <c r="AN57" s="965"/>
      <c r="AO57" s="445"/>
      <c r="AP57" s="969" t="s">
        <v>3231</v>
      </c>
      <c r="AQ57" s="965">
        <v>14</v>
      </c>
      <c r="AR57" s="965"/>
      <c r="AS57" s="970" t="s">
        <v>242</v>
      </c>
      <c r="AT57" s="965"/>
      <c r="AU57" s="965"/>
      <c r="AV57" s="965">
        <v>3</v>
      </c>
      <c r="AW57" s="965"/>
      <c r="AX57" s="965"/>
      <c r="AY57" s="964" t="s">
        <v>41</v>
      </c>
      <c r="AZ57" s="969" t="s">
        <v>137</v>
      </c>
      <c r="BA57" s="965"/>
      <c r="BB57" s="965"/>
      <c r="BC57" s="965">
        <v>2</v>
      </c>
      <c r="BD57" s="445"/>
      <c r="BE57" s="445"/>
      <c r="BF57" s="964"/>
      <c r="BG57" s="965">
        <v>3</v>
      </c>
      <c r="BH57" s="965"/>
      <c r="BI57" s="965"/>
      <c r="BJ57" s="965">
        <v>2</v>
      </c>
      <c r="BK57" s="965"/>
      <c r="BL57" s="965">
        <v>1</v>
      </c>
      <c r="BM57" s="965"/>
      <c r="BN57" s="965">
        <v>100</v>
      </c>
      <c r="BO57" s="965">
        <v>138</v>
      </c>
      <c r="BP57" s="964" t="s">
        <v>136</v>
      </c>
      <c r="BQ57" s="971">
        <v>1</v>
      </c>
      <c r="BR57" s="970">
        <v>0.5</v>
      </c>
      <c r="BS57" s="964" t="s">
        <v>3232</v>
      </c>
      <c r="BT57" s="420">
        <v>1</v>
      </c>
      <c r="BU57" s="420">
        <v>1</v>
      </c>
      <c r="BV57" s="422">
        <v>10</v>
      </c>
      <c r="BW57" s="420">
        <v>1</v>
      </c>
      <c r="BX57" s="445"/>
      <c r="BY57" s="445"/>
      <c r="BZ57" s="445"/>
      <c r="CA57" s="445"/>
      <c r="CB57" s="445"/>
      <c r="CC57" s="702"/>
      <c r="CD57" s="445"/>
      <c r="CE57" s="972" t="str">
        <f>IFERROR(WWWW[[#This Row],['#_Water sources passed]]/WWWW[[#This Row],['#_Water sources tested for fecal coliform ]],"no test")</f>
        <v>no test</v>
      </c>
      <c r="CF57" s="970" t="str">
        <f>IFERROR(WWWW[[#This Row],['#_Household passed]]/WWWW[[#This Row],['#_Household water samples tested for fecal coliform]],"no test")</f>
        <v>no test</v>
      </c>
      <c r="CG57" s="971" t="str">
        <f>IF(AND(WWWW[[#This Row],[% of water sources passed]]="no test",WWWW[[#This Row],[% Household passed]]="no test"),"No Test","Tested")</f>
        <v>No Test</v>
      </c>
      <c r="CH57" s="971">
        <f>WWWW[[#This Row],['#_Constructed/existing protected hand dug well]]-WWWW[[#This Row],['#_Non-functional protected hand dug well]]</f>
        <v>0</v>
      </c>
      <c r="CI57" s="971">
        <f>(WWWW[[#This Row],['#_Constructed/Existing tube wells/boreholes/handpumps_WASH_agency]]+WWWW[[#This Row],['#_Non-Cluster partner water tube-wells/boreholes/handpumps]])-WWWW[[#This Row],['#_Non-functional tube wells/boreholes/handpumps]]</f>
        <v>0</v>
      </c>
      <c r="CJ57" s="971">
        <f>WWWW[[#This Row],['#_Constructed/Existingwater storage tank with gravity fed reticulation system]]-WWWW[[#This Row],['#_Non-functional storage tank gravity fed reticulation system]]</f>
        <v>2</v>
      </c>
      <c r="CK57" s="971">
        <f>(WWWW[[#This Row],['#_Water_Liters_supplied_by_Water boating or water trucking]]/90)/15</f>
        <v>0</v>
      </c>
      <c r="CL57" s="971">
        <f>WWWW[[#This Row],['#_Water_Liters_from_Constructed/Existing water distribution system from river or natural spring]]/90/15</f>
        <v>0</v>
      </c>
      <c r="CM57" s="421">
        <f>IF(WWWW[[#This Row],['#_of water points in TLS/CFS]]*500&gt;WWWW[[#This Row],[Total PoP ]],WWWW[[#This Row],[Total PoP ]],WWWW[[#This Row],['#_of water points in TLS/CFS]]*500)</f>
        <v>0</v>
      </c>
      <c r="CN57" s="421">
        <f>IF(WWWW[[#This Row],['#_of water points in THF]]*500&gt;WWWW[[#This Row],[Total PoP ]],WWWW[[#This Row],[Total PoP ]],WWWW[[#This Row],['#_of water points in THF]]*500)</f>
        <v>0</v>
      </c>
      <c r="CO57" s="421"/>
      <c r="CP5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0.28308563340410475</v>
      </c>
      <c r="CQ5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0.28308563340410475</v>
      </c>
      <c r="CR57" s="970">
        <f>IF(WWWW[[#This Row],[Location Type 1]]="Village",WWWW[[#This Row],[Access to safe drinking water for Village]],WWWW[[#This Row],[Access to safe drinking water for Camp]])</f>
        <v>0.28308563340410475</v>
      </c>
      <c r="CS57" s="968">
        <f>WWWW[[#This Row],[%Equitable and continuous access to sufficient quantity of safe drinking water]]*WWWW[[#This Row],[Total PoP ]]</f>
        <v>133.33333333333334</v>
      </c>
      <c r="CT57" s="970">
        <f>IF((WWWW[[#This Row],['#_Constructed/Existing protected/fenced ponds]]*250)/WWWW[[#This Row],[Total PoP ]]&gt;1,1,(WWWW[[#This Row],['#_Constructed/Existing protected/fenced ponds]]*250)/WWWW[[#This Row],[Total PoP ]])</f>
        <v>1</v>
      </c>
      <c r="CU57" s="968">
        <f>WWWW[[#This Row],[% Access to unimproved water points]]*WWWW[[#This Row],[Total PoP ]]</f>
        <v>471</v>
      </c>
      <c r="CV5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v>
      </c>
      <c r="CX57" s="968">
        <f>WWWW[[#This Row],[HRP1]]/500</f>
        <v>0.94199999999999995</v>
      </c>
      <c r="CY57" s="973">
        <f>1-WWWW[[#This Row],[% Equitable and continuous access to sufficient quantity of domestic water]]</f>
        <v>0</v>
      </c>
      <c r="CZ57" s="968">
        <f>WWWW[[#This Row],[%equitable and continuous access to sufficient quantity of safe drinking and domestic water''s GAP]]*WWWW[[#This Row],[Total PoP ]]</f>
        <v>0</v>
      </c>
      <c r="DA57" s="971">
        <f>IF(WWWW[[#This Row],[Total required water points]]-WWWW[[#This Row],['#Water points coverage]]&lt;0,0,WWWW[[#This Row],[Total required water points]]-WWWW[[#This Row],['#Water points coverage]])</f>
        <v>5.8000000000000052E-2</v>
      </c>
      <c r="DB57" s="971">
        <f>ROUND(IF(WWWW[[#This Row],[Total PoP ]]&lt;500,1,WWWW[[#This Row],[Total PoP ]]/500),0)</f>
        <v>1</v>
      </c>
      <c r="DC57" s="971">
        <f>(WWWW[[#This Row],['#_Constructed latrines_by_WASHAgencies]]+WWWW[[#This Row],['#_Non Cluster partner latrines]])-WWWW[[#This Row],['#_Non-functional latrines]]</f>
        <v>14</v>
      </c>
      <c r="DD57" s="619">
        <f>WWWW[[#This Row],[HRP2]]/WWWW[[#This Row],[Total PoP ]]</f>
        <v>0.59447983014861994</v>
      </c>
      <c r="DE5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5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5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90</v>
      </c>
      <c r="DH57" s="421">
        <f>IF(WWWW[[#This Row],['# of functional latrines in THF supported by WASH partners during the reporting period2]]="",0,WWWW[[#This Row],['# of functional latrines in THF supported by WASH partners during the reporting period2]]*50)</f>
        <v>0</v>
      </c>
      <c r="DI57" s="971">
        <f>ROUND(IF(WWWW[[#This Row],[Location Type 1]]="camp",WWWW[[#This Row],[Total PoP ]]/20,IF(WWWW[[#This Row],[Location Type 1]]="Temporary Location",WWWW[[#This Row],[Total PoP ]]/50,(WWWW[[#This Row],[Total PoP ]]/6))),0)</f>
        <v>24</v>
      </c>
      <c r="DJ57" s="971">
        <f>IF(WWWW[[#This Row],[Total required Latrines]]-(WWWW[[#This Row],['#_Constructed latrines_by_WASHAgencies]]+WWWW[[#This Row],['#_Non Cluster partner latrines]])&lt;0,0,WWWW[[#This Row],[Total required Latrines]]-(WWWW[[#This Row],['#_Constructed latrines_by_WASHAgencies]]+WWWW[[#This Row],['#_Non Cluster partner latrines]]))</f>
        <v>10</v>
      </c>
      <c r="DK57" s="973">
        <f>1-WWWW[[#This Row],[% people access to functioning Latrine]]</f>
        <v>0.40552016985138006</v>
      </c>
      <c r="DL57" s="972">
        <f>IF(OR(WWWW[[#This Row],['#_Non-functional latrines]]="",WWWW[[#This Row],['#_Non-functional latrines]]=0),0,WWWW[[#This Row],['#_Non-functional latrines]]/(WWWW[[#This Row],['#_Constructed latrines_by_WASHAgencies]]+WWWW[[#This Row],['#_Non Cluster partner latrines]]))</f>
        <v>0</v>
      </c>
      <c r="DM57" s="968">
        <f>IF(500*(WWWW[[#This Row],['#_male hygiene promoters]]+WWWW[[#This Row],['#_female hygiene promoters]])&gt;WWWW[[#This Row],[Total PoP ]],WWWW[[#This Row],[Total PoP ]],500*(WWWW[[#This Row],['#_male hygiene promoters]]+WWWW[[#This Row],['#_female hygiene promoters]]))</f>
        <v>471</v>
      </c>
      <c r="DN5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v>
      </c>
      <c r="DO5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138</v>
      </c>
      <c r="DP57" s="971">
        <f>IF(WWWW[[#This Row],['# People with access to soap]]&gt;WWWW[[#This Row],['# People with access to Sanity Pads]],WWWW[[#This Row],['# People with access to soap]],WWWW[[#This Row],['# People with access to Sanity Pads]])</f>
        <v>471</v>
      </c>
      <c r="DQ57" s="971">
        <f>IF(WWWW[[#This Row],['# people reached by regular dedicated hygiene promotion_5]]&gt;WWWW[[#This Row],['# People received regular supply of hygiene items_6]],WWWW[[#This Row],['# people reached by regular dedicated hygiene promotion_5]],WWWW[[#This Row],['# People received regular supply of hygiene items_6]])</f>
        <v>471</v>
      </c>
      <c r="DR57" s="973">
        <f>IF(WWWW[[#This Row],[HRP3]]/WWWW[[#This Row],[Total PoP ]]&gt;1,1,WWWW[[#This Row],[HRP3]]/WWWW[[#This Row],[Total PoP ]])</f>
        <v>1</v>
      </c>
      <c r="DS57" s="972">
        <f>1-WWWW[[#This Row],[Hygiene Coverage%]]</f>
        <v>0</v>
      </c>
      <c r="DT57" s="970">
        <f>WWWW[[#This Row],['# people reached by regular dedicated hygiene promotion_5]]/WWWW[[#This Row],[Total PoP ]]</f>
        <v>1</v>
      </c>
      <c r="DU5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7" s="971">
        <f>WWWW[[#This Row],['#_Constructed/Existing hand washing stations]]-WWWW[[#This Row],['#_Non-Functional_hand_washing_stations]]</f>
        <v>3</v>
      </c>
      <c r="DX57" s="968">
        <f>IF(WWWW[[#This Row],['# Functional hand washing stations during reporting period]]*20&gt;WWWW[[#This Row],[Total HH]],WWWW[[#This Row],[Total HH]],WWWW[[#This Row],['# Functional hand washing stations during reporting period]]*20)</f>
        <v>60</v>
      </c>
      <c r="DY57" s="968">
        <f>IF(WWWW[[#This Row],[Is sufficient soap available for TLS? (Yes/No)]]="yes",WWWW[[#This Row],['#_Constructed/Existing hand washing stations at TLS/CFS/THF]],0)</f>
        <v>0</v>
      </c>
      <c r="DZ57" s="425">
        <f>IF(WWWW[[#This Row],['# Functional hand washing stations during reporting period]]*100&gt;WWWW[[#This Row],[Total PoP ]],WWWW[[#This Row],[Total PoP ]],WWWW[[#This Row],['# Functional hand washing stations during reporting period]]*100)</f>
        <v>300</v>
      </c>
      <c r="EA57" s="425" t="str">
        <f>IF(OR(WWWW[[#This Row],['#_students at TLS_CFS]]="",WWWW[[#This Row],['#_students at TLS_CFS]]=0),"No","Yes")</f>
        <v>Yes</v>
      </c>
      <c r="EB57" s="619">
        <f>IF(WWWW[[#This Row],['#_of_affected_people_surveyed_who_report_feeling_informed_about_the_different_WASH_services_available_to_them]]="","",WWWW[[#This Row],['#_of_affected_people_surveyed_who_report_feeling_informed_about_the_different_WASH_services_available_to_them]]/WWWW[[#This Row],[Total PoP ]])</f>
        <v>2.1231422505307854E-2</v>
      </c>
      <c r="EC57" s="570">
        <f>WWWW[[#This Row],[%_of_affected_people_surveyed_who_report_feeling_satistfied_with_the_latrine_design_and_sanitation_service]]*WWWW[[#This Row],[Total PoP ]]</f>
        <v>471</v>
      </c>
      <c r="ED57" s="570">
        <f>WWWW[[#This Row],[%_of_affected_people_surveyed_who_report_feeling_satistfied_with_the_water_point_design_and_water_service]]*WWWW[[#This Row],[Total PoP ]]</f>
        <v>471</v>
      </c>
      <c r="EE57" s="570">
        <f>WWWW[[#This Row],[%_of_complaints_received_that_result_in_timely_corrective_action_and_feedback_to_the_community]]*WWWW[[#This Row],[Total PoP ]]</f>
        <v>471</v>
      </c>
      <c r="EF5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471</v>
      </c>
      <c r="EG5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90</v>
      </c>
      <c r="EH5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 s="964" t="str">
        <f>VLOOKUP(WWWW[[#This Row],[Site Name]],SiteDB6[[Site Name]:[CCCM Management]],6,FALSE)</f>
        <v>Yes</v>
      </c>
      <c r="EJ57" s="964" t="str">
        <f>VLOOKUP(WWWW[[#This Row],[Site Name]],SiteDB6[[Site Name]:[CCCM Focal Agency]],7,FALSE)</f>
        <v>KBC-MYT</v>
      </c>
      <c r="EK57" s="964" t="str">
        <f>VLOOKUP(WWWW[[#This Row],[Site Name]],SiteDB6[[Site Name]:[Location Type 1]],9,FALSE)</f>
        <v>Camp</v>
      </c>
      <c r="EL57" s="964" t="str">
        <f>VLOOKUP(WWWW[[#This Row],[Site Name]],SiteDB6[[Site Name]:[Type of Accommodation]],10,FALSE)</f>
        <v>Camp</v>
      </c>
      <c r="EM57" s="964" t="str">
        <f>VLOOKUP(WWWW[[#This Row],[Site Name]],SiteDB6[[Site Name]:[Ethnic or GCA/NGCA]],11,FALSE)</f>
        <v>GCA</v>
      </c>
      <c r="EN57" s="964">
        <f>VLOOKUP(WWWW[[#This Row],[Site Name]],SiteDB6[[Site Name]:[Lat]],12,FALSE)</f>
        <v>25.611160000000002</v>
      </c>
      <c r="EO57" s="964">
        <f>VLOOKUP(WWWW[[#This Row],[Site Name]],SiteDB6[[Site Name]:[Long]],13,FALSE)</f>
        <v>96.312790000000007</v>
      </c>
      <c r="EP57" s="964" t="str">
        <f>VLOOKUP(WWWW[[#This Row],[Site Name]],SiteDB6[[Site Name]:[Pcode]],3,FALSE)</f>
        <v>MMR001CMP229</v>
      </c>
      <c r="EQ57" s="969" t="str">
        <f t="shared" si="1"/>
        <v>Covered</v>
      </c>
      <c r="ER57" s="969" t="s">
        <v>3147</v>
      </c>
      <c r="ES57" s="964">
        <f>VLOOKUP(WWWW[[#This Row],[Site Name]],SiteDB6[[Site Name]:[Pop
(Kachin/Shan-CCCM as of March 2023)]],16,FALSE)</f>
        <v>95</v>
      </c>
      <c r="ET57" s="964">
        <f>VLOOKUP(WWWW[[#This Row],[Site Name]],SiteDB6[[Site Name]:[Pop
(Kachin/Shan-CCCM as of March 2023)]],17,FALSE)</f>
        <v>470</v>
      </c>
    </row>
    <row r="58" spans="1:150" hidden="1">
      <c r="A58" s="962" t="s">
        <v>2977</v>
      </c>
      <c r="B58" s="962" t="s">
        <v>242</v>
      </c>
      <c r="C58" s="963" t="s">
        <v>242</v>
      </c>
      <c r="D58" s="963" t="s">
        <v>3207</v>
      </c>
      <c r="E58" s="963" t="s">
        <v>37</v>
      </c>
      <c r="F58" s="963" t="s">
        <v>142</v>
      </c>
      <c r="G58" s="964" t="str">
        <f>VLOOKUP(WWWW[[#This Row],[Site Name]],SiteDB6[[Site Name]:[Location Type]],8,FALSE)</f>
        <v>Camp</v>
      </c>
      <c r="H58" s="963" t="s">
        <v>268</v>
      </c>
      <c r="I58" s="965">
        <v>59</v>
      </c>
      <c r="J58" s="965">
        <v>298</v>
      </c>
      <c r="K58" s="966">
        <v>44927</v>
      </c>
      <c r="L58" s="967">
        <v>45291</v>
      </c>
      <c r="M58" s="965"/>
      <c r="N58" s="965"/>
      <c r="O58" s="965">
        <v>1</v>
      </c>
      <c r="P58" s="965"/>
      <c r="Q58" s="968" t="s">
        <v>41</v>
      </c>
      <c r="R58" s="965">
        <v>3</v>
      </c>
      <c r="S58" s="965">
        <v>6</v>
      </c>
      <c r="T58" s="445">
        <v>1</v>
      </c>
      <c r="U58" s="965">
        <v>1</v>
      </c>
      <c r="V58" s="965"/>
      <c r="W58" s="965">
        <v>1</v>
      </c>
      <c r="X58" s="965"/>
      <c r="Y58" s="965">
        <v>1</v>
      </c>
      <c r="Z58" s="965">
        <v>1</v>
      </c>
      <c r="AA58" s="965"/>
      <c r="AB58" s="965"/>
      <c r="AC58" s="965"/>
      <c r="AD58" s="965"/>
      <c r="AE58" s="965"/>
      <c r="AF58" s="965"/>
      <c r="AG58" s="965">
        <v>2</v>
      </c>
      <c r="AH58" s="965"/>
      <c r="AI58" s="965"/>
      <c r="AJ58" s="965"/>
      <c r="AK58" s="965"/>
      <c r="AL58" s="965"/>
      <c r="AM58" s="965">
        <v>2</v>
      </c>
      <c r="AN58" s="965"/>
      <c r="AO58" s="445"/>
      <c r="AP58" s="969"/>
      <c r="AQ58" s="965">
        <v>26</v>
      </c>
      <c r="AR58" s="965">
        <v>2</v>
      </c>
      <c r="AS58" s="970" t="s">
        <v>2901</v>
      </c>
      <c r="AT58" s="965">
        <v>26</v>
      </c>
      <c r="AU58" s="965"/>
      <c r="AV58" s="965"/>
      <c r="AW58" s="965"/>
      <c r="AX58" s="965"/>
      <c r="AY58" s="964" t="s">
        <v>41</v>
      </c>
      <c r="AZ58" s="969" t="s">
        <v>137</v>
      </c>
      <c r="BA58" s="965"/>
      <c r="BB58" s="965"/>
      <c r="BC58" s="965"/>
      <c r="BD58" s="445"/>
      <c r="BE58" s="445"/>
      <c r="BF58" s="964"/>
      <c r="BG58" s="965">
        <v>2</v>
      </c>
      <c r="BH58" s="965"/>
      <c r="BI58" s="965"/>
      <c r="BJ58" s="965"/>
      <c r="BK58" s="965"/>
      <c r="BL58" s="965"/>
      <c r="BM58" s="965">
        <v>1</v>
      </c>
      <c r="BN58" s="965"/>
      <c r="BO58" s="965"/>
      <c r="BP58" s="964"/>
      <c r="BQ58" s="971">
        <v>1</v>
      </c>
      <c r="BR58" s="970">
        <v>0.5</v>
      </c>
      <c r="BS58" s="964"/>
      <c r="BT58" s="420">
        <v>1</v>
      </c>
      <c r="BU58" s="420">
        <v>0.9</v>
      </c>
      <c r="BV58" s="422"/>
      <c r="BW58" s="420">
        <v>1</v>
      </c>
      <c r="BX58" s="445"/>
      <c r="BY58" s="445"/>
      <c r="BZ58" s="445"/>
      <c r="CA58" s="445"/>
      <c r="CB58" s="445"/>
      <c r="CC58" s="702"/>
      <c r="CD58" s="445"/>
      <c r="CE58" s="972" t="str">
        <f>IFERROR(WWWW[[#This Row],['#_Water sources passed]]/WWWW[[#This Row],['#_Water sources tested for fecal coliform ]],"no test")</f>
        <v>no test</v>
      </c>
      <c r="CF58" s="970" t="str">
        <f>IFERROR(WWWW[[#This Row],['#_Household passed]]/WWWW[[#This Row],['#_Household water samples tested for fecal coliform]],"no test")</f>
        <v>no test</v>
      </c>
      <c r="CG58" s="971" t="str">
        <f>IF(AND(WWWW[[#This Row],[% of water sources passed]]="no test",WWWW[[#This Row],[% Household passed]]="no test"),"No Test","Tested")</f>
        <v>No Test</v>
      </c>
      <c r="CH58" s="971">
        <f>WWWW[[#This Row],['#_Constructed/existing protected hand dug well]]-WWWW[[#This Row],['#_Non-functional protected hand dug well]]</f>
        <v>0</v>
      </c>
      <c r="CI58" s="971">
        <f>(WWWW[[#This Row],['#_Constructed/Existing tube wells/boreholes/handpumps_WASH_agency]]+WWWW[[#This Row],['#_Non-Cluster partner water tube-wells/boreholes/handpumps]])-WWWW[[#This Row],['#_Non-functional tube wells/boreholes/handpumps]]</f>
        <v>0</v>
      </c>
      <c r="CJ58" s="971">
        <f>WWWW[[#This Row],['#_Constructed/Existingwater storage tank with gravity fed reticulation system]]-WWWW[[#This Row],['#_Non-functional storage tank gravity fed reticulation system]]</f>
        <v>0</v>
      </c>
      <c r="CK58" s="971">
        <f>(WWWW[[#This Row],['#_Water_Liters_supplied_by_Water boating or water trucking]]/90)/15</f>
        <v>0</v>
      </c>
      <c r="CL58" s="971">
        <f>WWWW[[#This Row],['#_Water_Liters_from_Constructed/Existing water distribution system from river or natural spring]]/90/15</f>
        <v>0</v>
      </c>
      <c r="CM58" s="421">
        <f>IF(WWWW[[#This Row],['#_of water points in TLS/CFS]]*500&gt;WWWW[[#This Row],[Total PoP ]],WWWW[[#This Row],[Total PoP ]],WWWW[[#This Row],['#_of water points in TLS/CFS]]*500)</f>
        <v>0</v>
      </c>
      <c r="CN58" s="421">
        <f>IF(WWWW[[#This Row],['#_of water points in THF]]*500&gt;WWWW[[#This Row],[Total PoP ]],WWWW[[#This Row],[Total PoP ]],WWWW[[#This Row],['#_of water points in THF]]*500)</f>
        <v>0</v>
      </c>
      <c r="CO58" s="421"/>
      <c r="CP5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8" s="970">
        <f>IF(WWWW[[#This Row],[Location Type 1]]="Village",WWWW[[#This Row],[Access to safe drinking water for Village]],WWWW[[#This Row],[Access to safe drinking water for Camp]])</f>
        <v>0</v>
      </c>
      <c r="CS58" s="968">
        <f>WWWW[[#This Row],[%Equitable and continuous access to sufficient quantity of safe drinking water]]*WWWW[[#This Row],[Total PoP ]]</f>
        <v>0</v>
      </c>
      <c r="CT58" s="970">
        <f>IF((WWWW[[#This Row],['#_Constructed/Existing protected/fenced ponds]]*250)/WWWW[[#This Row],[Total PoP ]]&gt;1,1,(WWWW[[#This Row],['#_Constructed/Existing protected/fenced ponds]]*250)/WWWW[[#This Row],[Total PoP ]])</f>
        <v>0</v>
      </c>
      <c r="CU58" s="968">
        <f>WWWW[[#This Row],[% Access to unimproved water points]]*WWWW[[#This Row],[Total PoP ]]</f>
        <v>0</v>
      </c>
      <c r="CV5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8" s="968">
        <f>WWWW[[#This Row],[HRP1]]/500</f>
        <v>0</v>
      </c>
      <c r="CY58" s="973">
        <f>1-WWWW[[#This Row],[% Equitable and continuous access to sufficient quantity of domestic water]]</f>
        <v>1</v>
      </c>
      <c r="CZ58" s="968">
        <f>WWWW[[#This Row],[%equitable and continuous access to sufficient quantity of safe drinking and domestic water''s GAP]]*WWWW[[#This Row],[Total PoP ]]</f>
        <v>298</v>
      </c>
      <c r="DA58" s="971">
        <f>IF(WWWW[[#This Row],[Total required water points]]-WWWW[[#This Row],['#Water points coverage]]&lt;0,0,WWWW[[#This Row],[Total required water points]]-WWWW[[#This Row],['#Water points coverage]])</f>
        <v>1</v>
      </c>
      <c r="DB58" s="971">
        <f>ROUND(IF(WWWW[[#This Row],[Total PoP ]]&lt;500,1,WWWW[[#This Row],[Total PoP ]]/500),0)</f>
        <v>1</v>
      </c>
      <c r="DC58" s="971">
        <f>(WWWW[[#This Row],['#_Constructed latrines_by_WASHAgencies]]+WWWW[[#This Row],['#_Non Cluster partner latrines]])-WWWW[[#This Row],['#_Non-functional latrines]]</f>
        <v>2</v>
      </c>
      <c r="DD58" s="619">
        <f>WWWW[[#This Row],[HRP2]]/WWWW[[#This Row],[Total PoP ]]</f>
        <v>0.13422818791946309</v>
      </c>
      <c r="DE5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5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 s="421">
        <f>IF(WWWW[[#This Row],['# of functional latrines in THF supported by WASH partners during the reporting period2]]="",0,WWWW[[#This Row],['# of functional latrines in THF supported by WASH partners during the reporting period2]]*50)</f>
        <v>0</v>
      </c>
      <c r="DI58" s="971">
        <f>ROUND(IF(WWWW[[#This Row],[Location Type 1]]="camp",WWWW[[#This Row],[Total PoP ]]/20,IF(WWWW[[#This Row],[Location Type 1]]="Temporary Location",WWWW[[#This Row],[Total PoP ]]/50,(WWWW[[#This Row],[Total PoP ]]/6))),0)</f>
        <v>15</v>
      </c>
      <c r="DJ58" s="971">
        <f>IF(WWWW[[#This Row],[Total required Latrines]]-(WWWW[[#This Row],['#_Constructed latrines_by_WASHAgencies]]+WWWW[[#This Row],['#_Non Cluster partner latrines]])&lt;0,0,WWWW[[#This Row],[Total required Latrines]]-(WWWW[[#This Row],['#_Constructed latrines_by_WASHAgencies]]+WWWW[[#This Row],['#_Non Cluster partner latrines]]))</f>
        <v>0</v>
      </c>
      <c r="DK58" s="973">
        <f>1-WWWW[[#This Row],[% people access to functioning Latrine]]</f>
        <v>0.86577181208053688</v>
      </c>
      <c r="DL58" s="972">
        <f>IF(OR(WWWW[[#This Row],['#_Non-functional latrines]]="",WWWW[[#This Row],['#_Non-functional latrines]]=0),0,WWWW[[#This Row],['#_Non-functional latrines]]/(WWWW[[#This Row],['#_Constructed latrines_by_WASHAgencies]]+WWWW[[#This Row],['#_Non Cluster partner latrines]]))</f>
        <v>0.9285714285714286</v>
      </c>
      <c r="DM58" s="968">
        <f>IF(500*(WWWW[[#This Row],['#_male hygiene promoters]]+WWWW[[#This Row],['#_female hygiene promoters]])&gt;WWWW[[#This Row],[Total PoP ]],WWWW[[#This Row],[Total PoP ]],500*(WWWW[[#This Row],['#_male hygiene promoters]]+WWWW[[#This Row],['#_female hygiene promoters]]))</f>
        <v>298</v>
      </c>
      <c r="DN5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 s="971">
        <f>IF(WWWW[[#This Row],['# People with access to soap]]&gt;WWWW[[#This Row],['# People with access to Sanity Pads]],WWWW[[#This Row],['# People with access to soap]],WWWW[[#This Row],['# People with access to Sanity Pads]])</f>
        <v>0</v>
      </c>
      <c r="DQ58" s="971">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58" s="973">
        <f>IF(WWWW[[#This Row],[HRP3]]/WWWW[[#This Row],[Total PoP ]]&gt;1,1,WWWW[[#This Row],[HRP3]]/WWWW[[#This Row],[Total PoP ]])</f>
        <v>1</v>
      </c>
      <c r="DS58" s="972">
        <f>1-WWWW[[#This Row],[Hygiene Coverage%]]</f>
        <v>0</v>
      </c>
      <c r="DT58" s="970">
        <f>WWWW[[#This Row],['# people reached by regular dedicated hygiene promotion_5]]/WWWW[[#This Row],[Total PoP ]]</f>
        <v>1</v>
      </c>
      <c r="DU5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 s="971">
        <f>WWWW[[#This Row],['#_Constructed/Existing hand washing stations]]-WWWW[[#This Row],['#_Non-Functional_hand_washing_stations]]</f>
        <v>2</v>
      </c>
      <c r="DX58" s="968">
        <f>IF(WWWW[[#This Row],['# Functional hand washing stations during reporting period]]*20&gt;WWWW[[#This Row],[Total HH]],WWWW[[#This Row],[Total HH]],WWWW[[#This Row],['# Functional hand washing stations during reporting period]]*20)</f>
        <v>40</v>
      </c>
      <c r="DY58" s="968">
        <f>IF(WWWW[[#This Row],[Is sufficient soap available for TLS? (Yes/No)]]="yes",WWWW[[#This Row],['#_Constructed/Existing hand washing stations at TLS/CFS/THF]],0)</f>
        <v>0</v>
      </c>
      <c r="DZ58" s="425">
        <f>IF(WWWW[[#This Row],['# Functional hand washing stations during reporting period]]*100&gt;WWWW[[#This Row],[Total PoP ]],WWWW[[#This Row],[Total PoP ]],WWWW[[#This Row],['# Functional hand washing stations during reporting period]]*100)</f>
        <v>200</v>
      </c>
      <c r="EA58" s="425" t="str">
        <f>IF(OR(WWWW[[#This Row],['#_students at TLS_CFS]]="",WWWW[[#This Row],['#_students at TLS_CFS]]=0),"No","Yes")</f>
        <v>No</v>
      </c>
      <c r="EB5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 s="570">
        <f>WWWW[[#This Row],[%_of_affected_people_surveyed_who_report_feeling_satistfied_with_the_latrine_design_and_sanitation_service]]*WWWW[[#This Row],[Total PoP ]]</f>
        <v>298</v>
      </c>
      <c r="ED58" s="570">
        <f>WWWW[[#This Row],[%_of_affected_people_surveyed_who_report_feeling_satistfied_with_the_water_point_design_and_water_service]]*WWWW[[#This Row],[Total PoP ]]</f>
        <v>268.2</v>
      </c>
      <c r="EE58" s="570">
        <f>WWWW[[#This Row],[%_of_complaints_received_that_result_in_timely_corrective_action_and_feedback_to_the_community]]*WWWW[[#This Row],[Total PoP ]]</f>
        <v>298</v>
      </c>
      <c r="EF5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298</v>
      </c>
      <c r="EG5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 s="964" t="str">
        <f>VLOOKUP(WWWW[[#This Row],[Site Name]],SiteDB6[[Site Name]:[CCCM Management]],6,FALSE)</f>
        <v>Yes</v>
      </c>
      <c r="EJ58" s="964" t="str">
        <f>VLOOKUP(WWWW[[#This Row],[Site Name]],SiteDB6[[Site Name]:[CCCM Focal Agency]],7,FALSE)</f>
        <v>Shalom</v>
      </c>
      <c r="EK58" s="964" t="str">
        <f>VLOOKUP(WWWW[[#This Row],[Site Name]],SiteDB6[[Site Name]:[Location Type 1]],9,FALSE)</f>
        <v>Camp</v>
      </c>
      <c r="EL58" s="964" t="str">
        <f>VLOOKUP(WWWW[[#This Row],[Site Name]],SiteDB6[[Site Name]:[Type of Accommodation]],10,FALSE)</f>
        <v>Camp</v>
      </c>
      <c r="EM58" s="964" t="str">
        <f>VLOOKUP(WWWW[[#This Row],[Site Name]],SiteDB6[[Site Name]:[Ethnic or GCA/NGCA]],11,FALSE)</f>
        <v>GCA</v>
      </c>
      <c r="EN58" s="964">
        <f>VLOOKUP(WWWW[[#This Row],[Site Name]],SiteDB6[[Site Name]:[Lat]],12,FALSE)</f>
        <v>25.321710740740698</v>
      </c>
      <c r="EO58" s="964">
        <f>VLOOKUP(WWWW[[#This Row],[Site Name]],SiteDB6[[Site Name]:[Long]],13,FALSE)</f>
        <v>97.404195925926004</v>
      </c>
      <c r="EP58" s="964" t="str">
        <f>VLOOKUP(WWWW[[#This Row],[Site Name]],SiteDB6[[Site Name]:[Pcode]],3,FALSE)</f>
        <v>MMR001CMP028</v>
      </c>
      <c r="EQ58" s="969" t="str">
        <f t="shared" si="1"/>
        <v>Covered</v>
      </c>
      <c r="ER58" s="969" t="s">
        <v>3147</v>
      </c>
      <c r="ES58" s="964">
        <f>VLOOKUP(WWWW[[#This Row],[Site Name]],SiteDB6[[Site Name]:[Pop
(Kachin/Shan-CCCM as of March 2023)]],16,FALSE)</f>
        <v>59</v>
      </c>
      <c r="ET58" s="964">
        <f>VLOOKUP(WWWW[[#This Row],[Site Name]],SiteDB6[[Site Name]:[Pop
(Kachin/Shan-CCCM as of March 2023)]],17,FALSE)</f>
        <v>298</v>
      </c>
    </row>
    <row r="59" spans="1:150" hidden="1">
      <c r="A59" s="962" t="s">
        <v>2977</v>
      </c>
      <c r="B59" s="962" t="s">
        <v>242</v>
      </c>
      <c r="C59" s="963" t="s">
        <v>242</v>
      </c>
      <c r="D59" s="963" t="s">
        <v>3207</v>
      </c>
      <c r="E59" s="963" t="s">
        <v>37</v>
      </c>
      <c r="F59" s="963" t="s">
        <v>148</v>
      </c>
      <c r="G59" s="964" t="str">
        <f>VLOOKUP(WWWW[[#This Row],[Site Name]],SiteDB6[[Site Name]:[Location Type]],8,FALSE)</f>
        <v>Camp</v>
      </c>
      <c r="H59" s="963" t="s">
        <v>243</v>
      </c>
      <c r="I59" s="965">
        <v>124</v>
      </c>
      <c r="J59" s="965">
        <v>634</v>
      </c>
      <c r="K59" s="966">
        <v>44927</v>
      </c>
      <c r="L59" s="967">
        <v>45291</v>
      </c>
      <c r="M59" s="965"/>
      <c r="N59" s="965"/>
      <c r="O59" s="965">
        <v>1</v>
      </c>
      <c r="P59" s="965"/>
      <c r="Q59" s="968" t="s">
        <v>41</v>
      </c>
      <c r="R59" s="965">
        <v>4</v>
      </c>
      <c r="S59" s="965">
        <v>6</v>
      </c>
      <c r="T59" s="445">
        <v>1</v>
      </c>
      <c r="U59" s="965"/>
      <c r="V59" s="965"/>
      <c r="W59" s="965">
        <v>1</v>
      </c>
      <c r="X59" s="965">
        <v>1</v>
      </c>
      <c r="Y59" s="965">
        <v>1</v>
      </c>
      <c r="Z59" s="965"/>
      <c r="AA59" s="965">
        <v>1</v>
      </c>
      <c r="AB59" s="965"/>
      <c r="AC59" s="965">
        <v>1</v>
      </c>
      <c r="AD59" s="965"/>
      <c r="AE59" s="965">
        <v>1</v>
      </c>
      <c r="AF59" s="965"/>
      <c r="AG59" s="965">
        <v>5</v>
      </c>
      <c r="AH59" s="965">
        <v>5</v>
      </c>
      <c r="AI59" s="965"/>
      <c r="AJ59" s="965"/>
      <c r="AK59" s="965"/>
      <c r="AL59" s="965"/>
      <c r="AM59" s="965">
        <v>2</v>
      </c>
      <c r="AN59" s="965"/>
      <c r="AO59" s="445"/>
      <c r="AP59" s="969"/>
      <c r="AQ59" s="965">
        <v>29</v>
      </c>
      <c r="AR59" s="965"/>
      <c r="AS59" s="970" t="s">
        <v>242</v>
      </c>
      <c r="AT59" s="965"/>
      <c r="AU59" s="965"/>
      <c r="AV59" s="965">
        <v>13</v>
      </c>
      <c r="AW59" s="965"/>
      <c r="AX59" s="965"/>
      <c r="AY59" s="964" t="s">
        <v>41</v>
      </c>
      <c r="AZ59" s="969" t="s">
        <v>137</v>
      </c>
      <c r="BA59" s="965">
        <v>1</v>
      </c>
      <c r="BB59" s="965"/>
      <c r="BC59" s="965"/>
      <c r="BD59" s="445"/>
      <c r="BE59" s="445">
        <v>6</v>
      </c>
      <c r="BF59" s="964"/>
      <c r="BG59" s="965">
        <v>7</v>
      </c>
      <c r="BH59" s="965">
        <v>4</v>
      </c>
      <c r="BI59" s="965"/>
      <c r="BJ59" s="965">
        <v>4</v>
      </c>
      <c r="BK59" s="965"/>
      <c r="BL59" s="965"/>
      <c r="BM59" s="965">
        <v>1</v>
      </c>
      <c r="BN59" s="965">
        <v>124</v>
      </c>
      <c r="BO59" s="965">
        <v>118</v>
      </c>
      <c r="BP59" s="964" t="s">
        <v>136</v>
      </c>
      <c r="BQ59" s="971">
        <v>1</v>
      </c>
      <c r="BR59" s="970">
        <v>0.8</v>
      </c>
      <c r="BS59" s="964" t="s">
        <v>3233</v>
      </c>
      <c r="BT59" s="420">
        <v>1</v>
      </c>
      <c r="BU59" s="420">
        <v>1</v>
      </c>
      <c r="BV59" s="422">
        <v>80</v>
      </c>
      <c r="BW59" s="420">
        <v>1</v>
      </c>
      <c r="BX59" s="445"/>
      <c r="BY59" s="445"/>
      <c r="BZ59" s="445"/>
      <c r="CA59" s="445"/>
      <c r="CB59" s="445"/>
      <c r="CC59" s="702"/>
      <c r="CD59" s="445"/>
      <c r="CE59" s="972" t="str">
        <f>IFERROR(WWWW[[#This Row],['#_Water sources passed]]/WWWW[[#This Row],['#_Water sources tested for fecal coliform ]],"no test")</f>
        <v>no test</v>
      </c>
      <c r="CF59" s="970" t="str">
        <f>IFERROR(WWWW[[#This Row],['#_Household passed]]/WWWW[[#This Row],['#_Household water samples tested for fecal coliform]],"no test")</f>
        <v>no test</v>
      </c>
      <c r="CG59" s="971" t="str">
        <f>IF(AND(WWWW[[#This Row],[% of water sources passed]]="no test",WWWW[[#This Row],[% Household passed]]="no test"),"No Test","Tested")</f>
        <v>No Test</v>
      </c>
      <c r="CH59" s="971">
        <f>WWWW[[#This Row],['#_Constructed/existing protected hand dug well]]-WWWW[[#This Row],['#_Non-functional protected hand dug well]]</f>
        <v>1</v>
      </c>
      <c r="CI59" s="971">
        <f>(WWWW[[#This Row],['#_Constructed/Existing tube wells/boreholes/handpumps_WASH_agency]]+WWWW[[#This Row],['#_Non-Cluster partner water tube-wells/boreholes/handpumps]])-WWWW[[#This Row],['#_Non-functional tube wells/boreholes/handpumps]]</f>
        <v>1</v>
      </c>
      <c r="CJ59" s="971">
        <f>WWWW[[#This Row],['#_Constructed/Existingwater storage tank with gravity fed reticulation system]]-WWWW[[#This Row],['#_Non-functional storage tank gravity fed reticulation system]]</f>
        <v>1</v>
      </c>
      <c r="CK59" s="971">
        <f>(WWWW[[#This Row],['#_Water_Liters_supplied_by_Water boating or water trucking]]/90)/15</f>
        <v>0</v>
      </c>
      <c r="CL59" s="971">
        <f>WWWW[[#This Row],['#_Water_Liters_from_Constructed/Existing water distribution system from river or natural spring]]/90/15</f>
        <v>0</v>
      </c>
      <c r="CM59" s="421">
        <f>IF(WWWW[[#This Row],['#_of water points in TLS/CFS]]*500&gt;WWWW[[#This Row],[Total PoP ]],WWWW[[#This Row],[Total PoP ]],WWWW[[#This Row],['#_of water points in TLS/CFS]]*500)</f>
        <v>0</v>
      </c>
      <c r="CN59" s="421">
        <f>IF(WWWW[[#This Row],['#_of water points in THF]]*500&gt;WWWW[[#This Row],[Total PoP ]],WWWW[[#This Row],[Total PoP ]],WWWW[[#This Row],['#_of water points in THF]]*500)</f>
        <v>0</v>
      </c>
      <c r="CO59" s="421"/>
      <c r="CP5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0.89379600420609884</v>
      </c>
      <c r="CR59" s="970">
        <f>IF(WWWW[[#This Row],[Location Type 1]]="Village",WWWW[[#This Row],[Access to safe drinking water for Village]],WWWW[[#This Row],[Access to safe drinking water for Camp]])</f>
        <v>1</v>
      </c>
      <c r="CS59" s="968">
        <f>WWWW[[#This Row],[%Equitable and continuous access to sufficient quantity of safe drinking water]]*WWWW[[#This Row],[Total PoP ]]</f>
        <v>634</v>
      </c>
      <c r="CT59" s="970">
        <f>IF((WWWW[[#This Row],['#_Constructed/Existing protected/fenced ponds]]*250)/WWWW[[#This Row],[Total PoP ]]&gt;1,1,(WWWW[[#This Row],['#_Constructed/Existing protected/fenced ponds]]*250)/WWWW[[#This Row],[Total PoP ]])</f>
        <v>0.39432176656151419</v>
      </c>
      <c r="CU59" s="968">
        <f>WWWW[[#This Row],[% Access to unimproved water points]]*WWWW[[#This Row],[Total PoP ]]</f>
        <v>250</v>
      </c>
      <c r="CV5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634</v>
      </c>
      <c r="CX59" s="968">
        <f>WWWW[[#This Row],[HRP1]]/500</f>
        <v>1.268</v>
      </c>
      <c r="CY59" s="973">
        <f>1-WWWW[[#This Row],[% Equitable and continuous access to sufficient quantity of domestic water]]</f>
        <v>0</v>
      </c>
      <c r="CZ59" s="968">
        <f>WWWW[[#This Row],[%equitable and continuous access to sufficient quantity of safe drinking and domestic water''s GAP]]*WWWW[[#This Row],[Total PoP ]]</f>
        <v>0</v>
      </c>
      <c r="DA59" s="971">
        <f>IF(WWWW[[#This Row],[Total required water points]]-WWWW[[#This Row],['#Water points coverage]]&lt;0,0,WWWW[[#This Row],[Total required water points]]-WWWW[[#This Row],['#Water points coverage]])</f>
        <v>0</v>
      </c>
      <c r="DB59" s="971">
        <f>ROUND(IF(WWWW[[#This Row],[Total PoP ]]&lt;500,1,WWWW[[#This Row],[Total PoP ]]/500),0)</f>
        <v>1</v>
      </c>
      <c r="DC59" s="971">
        <f>(WWWW[[#This Row],['#_Constructed latrines_by_WASHAgencies]]+WWWW[[#This Row],['#_Non Cluster partner latrines]])-WWWW[[#This Row],['#_Non-functional latrines]]</f>
        <v>29</v>
      </c>
      <c r="DD59" s="619">
        <f>WWWW[[#This Row],[HRP2]]/WWWW[[#This Row],[Total PoP ]]</f>
        <v>0.95583596214511046</v>
      </c>
      <c r="DE5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606</v>
      </c>
      <c r="DF5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260</v>
      </c>
      <c r="DG5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 s="421">
        <f>IF(WWWW[[#This Row],['# of functional latrines in THF supported by WASH partners during the reporting period2]]="",0,WWWW[[#This Row],['# of functional latrines in THF supported by WASH partners during the reporting period2]]*50)</f>
        <v>0</v>
      </c>
      <c r="DI59" s="971">
        <f>ROUND(IF(WWWW[[#This Row],[Location Type 1]]="camp",WWWW[[#This Row],[Total PoP ]]/20,IF(WWWW[[#This Row],[Location Type 1]]="Temporary Location",WWWW[[#This Row],[Total PoP ]]/50,(WWWW[[#This Row],[Total PoP ]]/6))),0)</f>
        <v>32</v>
      </c>
      <c r="DJ59" s="971">
        <f>IF(WWWW[[#This Row],[Total required Latrines]]-(WWWW[[#This Row],['#_Constructed latrines_by_WASHAgencies]]+WWWW[[#This Row],['#_Non Cluster partner latrines]])&lt;0,0,WWWW[[#This Row],[Total required Latrines]]-(WWWW[[#This Row],['#_Constructed latrines_by_WASHAgencies]]+WWWW[[#This Row],['#_Non Cluster partner latrines]]))</f>
        <v>3</v>
      </c>
      <c r="DK59" s="973">
        <f>1-WWWW[[#This Row],[% people access to functioning Latrine]]</f>
        <v>4.4164037854889537E-2</v>
      </c>
      <c r="DL59" s="972">
        <f>IF(OR(WWWW[[#This Row],['#_Non-functional latrines]]="",WWWW[[#This Row],['#_Non-functional latrines]]=0),0,WWWW[[#This Row],['#_Non-functional latrines]]/(WWWW[[#This Row],['#_Constructed latrines_by_WASHAgencies]]+WWWW[[#This Row],['#_Non Cluster partner latrines]]))</f>
        <v>0</v>
      </c>
      <c r="DM59" s="968">
        <f>IF(500*(WWWW[[#This Row],['#_male hygiene promoters]]+WWWW[[#This Row],['#_female hygiene promoters]])&gt;WWWW[[#This Row],[Total PoP ]],WWWW[[#This Row],[Total PoP ]],500*(WWWW[[#This Row],['#_male hygiene promoters]]+WWWW[[#This Row],['#_female hygiene promoters]]))</f>
        <v>500</v>
      </c>
      <c r="DN5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634</v>
      </c>
      <c r="DO5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v>
      </c>
      <c r="DP59" s="971">
        <f>IF(WWWW[[#This Row],['# People with access to soap]]&gt;WWWW[[#This Row],['# People with access to Sanity Pads]],WWWW[[#This Row],['# People with access to soap]],WWWW[[#This Row],['# People with access to Sanity Pads]])</f>
        <v>634</v>
      </c>
      <c r="DQ59" s="971">
        <f>IF(WWWW[[#This Row],['# people reached by regular dedicated hygiene promotion_5]]&gt;WWWW[[#This Row],['# People received regular supply of hygiene items_6]],WWWW[[#This Row],['# people reached by regular dedicated hygiene promotion_5]],WWWW[[#This Row],['# People received regular supply of hygiene items_6]])</f>
        <v>634</v>
      </c>
      <c r="DR59" s="973">
        <f>IF(WWWW[[#This Row],[HRP3]]/WWWW[[#This Row],[Total PoP ]]&gt;1,1,WWWW[[#This Row],[HRP3]]/WWWW[[#This Row],[Total PoP ]])</f>
        <v>1</v>
      </c>
      <c r="DS59" s="972">
        <f>1-WWWW[[#This Row],[Hygiene Coverage%]]</f>
        <v>0</v>
      </c>
      <c r="DT59" s="970">
        <f>WWWW[[#This Row],['# people reached by regular dedicated hygiene promotion_5]]/WWWW[[#This Row],[Total PoP ]]</f>
        <v>0.78864353312302837</v>
      </c>
      <c r="DU5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0.95161290322580649</v>
      </c>
      <c r="DW59" s="971">
        <f>WWWW[[#This Row],['#_Constructed/Existing hand washing stations]]-WWWW[[#This Row],['#_Non-Functional_hand_washing_stations]]</f>
        <v>3</v>
      </c>
      <c r="DX59" s="968">
        <f>IF(WWWW[[#This Row],['# Functional hand washing stations during reporting period]]*20&gt;WWWW[[#This Row],[Total HH]],WWWW[[#This Row],[Total HH]],WWWW[[#This Row],['# Functional hand washing stations during reporting period]]*20)</f>
        <v>60</v>
      </c>
      <c r="DY59" s="968">
        <f>IF(WWWW[[#This Row],[Is sufficient soap available for TLS? (Yes/No)]]="yes",WWWW[[#This Row],['#_Constructed/Existing hand washing stations at TLS/CFS/THF]],0)</f>
        <v>0</v>
      </c>
      <c r="DZ59" s="425">
        <f>IF(WWWW[[#This Row],['# Functional hand washing stations during reporting period]]*100&gt;WWWW[[#This Row],[Total PoP ]],WWWW[[#This Row],[Total PoP ]],WWWW[[#This Row],['# Functional hand washing stations during reporting period]]*100)</f>
        <v>300</v>
      </c>
      <c r="EA59" s="425" t="str">
        <f>IF(OR(WWWW[[#This Row],['#_students at TLS_CFS]]="",WWWW[[#This Row],['#_students at TLS_CFS]]=0),"No","Yes")</f>
        <v>No</v>
      </c>
      <c r="EB59" s="619">
        <f>IF(WWWW[[#This Row],['#_of_affected_people_surveyed_who_report_feeling_informed_about_the_different_WASH_services_available_to_them]]="","",WWWW[[#This Row],['#_of_affected_people_surveyed_who_report_feeling_informed_about_the_different_WASH_services_available_to_them]]/WWWW[[#This Row],[Total PoP ]])</f>
        <v>0.12618296529968454</v>
      </c>
      <c r="EC59" s="570">
        <f>WWWW[[#This Row],[%_of_affected_people_surveyed_who_report_feeling_satistfied_with_the_latrine_design_and_sanitation_service]]*WWWW[[#This Row],[Total PoP ]]</f>
        <v>634</v>
      </c>
      <c r="ED59" s="570">
        <f>WWWW[[#This Row],[%_of_affected_people_surveyed_who_report_feeling_satistfied_with_the_water_point_design_and_water_service]]*WWWW[[#This Row],[Total PoP ]]</f>
        <v>634</v>
      </c>
      <c r="EE59" s="570">
        <f>WWWW[[#This Row],[%_of_complaints_received_that_result_in_timely_corrective_action_and_feedback_to_the_community]]*WWWW[[#This Row],[Total PoP ]]</f>
        <v>634</v>
      </c>
      <c r="EF5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634</v>
      </c>
      <c r="EG5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 s="964" t="str">
        <f>VLOOKUP(WWWW[[#This Row],[Site Name]],SiteDB6[[Site Name]:[CCCM Management]],6,FALSE)</f>
        <v>Yes</v>
      </c>
      <c r="EJ59" s="964" t="str">
        <f>VLOOKUP(WWWW[[#This Row],[Site Name]],SiteDB6[[Site Name]:[CCCM Focal Agency]],7,FALSE)</f>
        <v>KBC-MYT</v>
      </c>
      <c r="EK59" s="964" t="str">
        <f>VLOOKUP(WWWW[[#This Row],[Site Name]],SiteDB6[[Site Name]:[Location Type 1]],9,FALSE)</f>
        <v>Camp</v>
      </c>
      <c r="EL59" s="964" t="str">
        <f>VLOOKUP(WWWW[[#This Row],[Site Name]],SiteDB6[[Site Name]:[Type of Accommodation]],10,FALSE)</f>
        <v>camp</v>
      </c>
      <c r="EM59" s="964" t="str">
        <f>VLOOKUP(WWWW[[#This Row],[Site Name]],SiteDB6[[Site Name]:[Ethnic or GCA/NGCA]],11,FALSE)</f>
        <v>GCA</v>
      </c>
      <c r="EN59" s="964">
        <f>VLOOKUP(WWWW[[#This Row],[Site Name]],SiteDB6[[Site Name]:[Lat]],12,FALSE)</f>
        <v>25.664000000000001</v>
      </c>
      <c r="EO59" s="964">
        <f>VLOOKUP(WWWW[[#This Row],[Site Name]],SiteDB6[[Site Name]:[Long]],13,FALSE)</f>
        <v>96.34</v>
      </c>
      <c r="EP59" s="964" t="str">
        <f>VLOOKUP(WWWW[[#This Row],[Site Name]],SiteDB6[[Site Name]:[Pcode]],3,FALSE)</f>
        <v>MMR001CMP250</v>
      </c>
      <c r="EQ59" s="969" t="str">
        <f t="shared" si="1"/>
        <v>Covered</v>
      </c>
      <c r="ER59" s="969" t="s">
        <v>3147</v>
      </c>
      <c r="ES59" s="964">
        <f>VLOOKUP(WWWW[[#This Row],[Site Name]],SiteDB6[[Site Name]:[Pop
(Kachin/Shan-CCCM as of March 2023)]],16,FALSE)</f>
        <v>122</v>
      </c>
      <c r="ET59" s="964">
        <f>VLOOKUP(WWWW[[#This Row],[Site Name]],SiteDB6[[Site Name]:[Pop
(Kachin/Shan-CCCM as of March 2023)]],17,FALSE)</f>
        <v>630</v>
      </c>
    </row>
    <row r="60" spans="1:150" hidden="1">
      <c r="A60" s="962" t="s">
        <v>2977</v>
      </c>
      <c r="B60" s="962" t="s">
        <v>242</v>
      </c>
      <c r="C60" s="963" t="s">
        <v>242</v>
      </c>
      <c r="D60" s="963" t="s">
        <v>3207</v>
      </c>
      <c r="E60" s="963" t="s">
        <v>37</v>
      </c>
      <c r="F60" s="963" t="s">
        <v>146</v>
      </c>
      <c r="G60" s="964" t="str">
        <f>VLOOKUP(WWWW[[#This Row],[Site Name]],SiteDB6[[Site Name]:[Location Type]],8,FALSE)</f>
        <v>Camp</v>
      </c>
      <c r="H60" s="963" t="s">
        <v>247</v>
      </c>
      <c r="I60" s="965">
        <v>201</v>
      </c>
      <c r="J60" s="965">
        <v>885</v>
      </c>
      <c r="K60" s="966">
        <v>44927</v>
      </c>
      <c r="L60" s="967">
        <v>45291</v>
      </c>
      <c r="M60" s="965">
        <v>400</v>
      </c>
      <c r="N60" s="965"/>
      <c r="O60" s="965">
        <v>1</v>
      </c>
      <c r="P60" s="965"/>
      <c r="Q60" s="968" t="s">
        <v>41</v>
      </c>
      <c r="R60" s="965">
        <v>4</v>
      </c>
      <c r="S60" s="965">
        <v>2</v>
      </c>
      <c r="T60" s="445">
        <v>1</v>
      </c>
      <c r="U60" s="965"/>
      <c r="V60" s="965"/>
      <c r="W60" s="965"/>
      <c r="X60" s="965"/>
      <c r="Y60" s="965"/>
      <c r="Z60" s="965"/>
      <c r="AA60" s="965">
        <v>3</v>
      </c>
      <c r="AB60" s="965"/>
      <c r="AC60" s="965">
        <v>3</v>
      </c>
      <c r="AD60" s="965"/>
      <c r="AE60" s="965">
        <v>14</v>
      </c>
      <c r="AF60" s="965"/>
      <c r="AG60" s="965">
        <v>10</v>
      </c>
      <c r="AH60" s="965"/>
      <c r="AI60" s="965"/>
      <c r="AJ60" s="965"/>
      <c r="AK60" s="965"/>
      <c r="AL60" s="965"/>
      <c r="AM60" s="965">
        <v>2</v>
      </c>
      <c r="AN60" s="965">
        <v>2</v>
      </c>
      <c r="AO60" s="445"/>
      <c r="AP60" s="969"/>
      <c r="AQ60" s="965">
        <v>32</v>
      </c>
      <c r="AR60" s="965">
        <v>8</v>
      </c>
      <c r="AS60" s="970" t="s">
        <v>2900</v>
      </c>
      <c r="AT60" s="965">
        <v>10</v>
      </c>
      <c r="AU60" s="965">
        <v>3</v>
      </c>
      <c r="AV60" s="965">
        <v>2</v>
      </c>
      <c r="AW60" s="965">
        <v>11.35624</v>
      </c>
      <c r="AX60" s="965">
        <v>50</v>
      </c>
      <c r="AY60" s="964" t="s">
        <v>3147</v>
      </c>
      <c r="AZ60" s="969" t="s">
        <v>137</v>
      </c>
      <c r="BA60" s="965"/>
      <c r="BB60" s="965"/>
      <c r="BC60" s="965"/>
      <c r="BD60" s="445"/>
      <c r="BE60" s="445"/>
      <c r="BF60" s="964"/>
      <c r="BG60" s="965">
        <v>1</v>
      </c>
      <c r="BH60" s="965"/>
      <c r="BI60" s="965"/>
      <c r="BJ60" s="965">
        <v>1</v>
      </c>
      <c r="BK60" s="965"/>
      <c r="BL60" s="965">
        <v>1</v>
      </c>
      <c r="BM60" s="965">
        <v>1</v>
      </c>
      <c r="BN60" s="965">
        <v>50</v>
      </c>
      <c r="BO60" s="965">
        <v>295</v>
      </c>
      <c r="BP60" s="964" t="s">
        <v>41</v>
      </c>
      <c r="BQ60" s="971">
        <v>1</v>
      </c>
      <c r="BR60" s="970">
        <v>0.5</v>
      </c>
      <c r="BS60" s="964"/>
      <c r="BT60" s="420">
        <v>0.8</v>
      </c>
      <c r="BU60" s="420">
        <v>0.8</v>
      </c>
      <c r="BV60" s="422"/>
      <c r="BW60" s="420">
        <v>1</v>
      </c>
      <c r="BX60" s="445"/>
      <c r="BY60" s="445"/>
      <c r="BZ60" s="445"/>
      <c r="CA60" s="445"/>
      <c r="CB60" s="445"/>
      <c r="CC60" s="702"/>
      <c r="CD60" s="445"/>
      <c r="CE60" s="972" t="str">
        <f>IFERROR(WWWW[[#This Row],['#_Water sources passed]]/WWWW[[#This Row],['#_Water sources tested for fecal coliform ]],"no test")</f>
        <v>no test</v>
      </c>
      <c r="CF60" s="970" t="str">
        <f>IFERROR(WWWW[[#This Row],['#_Household passed]]/WWWW[[#This Row],['#_Household water samples tested for fecal coliform]],"no test")</f>
        <v>no test</v>
      </c>
      <c r="CG60" s="971" t="str">
        <f>IF(AND(WWWW[[#This Row],[% of water sources passed]]="no test",WWWW[[#This Row],[% Household passed]]="no test"),"No Test","Tested")</f>
        <v>No Test</v>
      </c>
      <c r="CH60" s="971">
        <f>WWWW[[#This Row],['#_Constructed/existing protected hand dug well]]-WWWW[[#This Row],['#_Non-functional protected hand dug well]]</f>
        <v>1</v>
      </c>
      <c r="CI60" s="971">
        <f>(WWWW[[#This Row],['#_Constructed/Existing tube wells/boreholes/handpumps_WASH_agency]]+WWWW[[#This Row],['#_Non-Cluster partner water tube-wells/boreholes/handpumps]])-WWWW[[#This Row],['#_Non-functional tube wells/boreholes/handpumps]]</f>
        <v>0</v>
      </c>
      <c r="CJ60" s="971">
        <f>WWWW[[#This Row],['#_Constructed/Existingwater storage tank with gravity fed reticulation system]]-WWWW[[#This Row],['#_Non-functional storage tank gravity fed reticulation system]]</f>
        <v>3</v>
      </c>
      <c r="CK60" s="971">
        <f>(WWWW[[#This Row],['#_Water_Liters_supplied_by_Water boating or water trucking]]/90)/15</f>
        <v>0</v>
      </c>
      <c r="CL60" s="971">
        <f>WWWW[[#This Row],['#_Water_Liters_from_Constructed/Existing water distribution system from river or natural spring]]/90/15</f>
        <v>0</v>
      </c>
      <c r="CM60" s="421">
        <f>IF(WWWW[[#This Row],['#_of water points in TLS/CFS]]*500&gt;WWWW[[#This Row],[Total PoP ]],WWWW[[#This Row],[Total PoP ]],WWWW[[#This Row],['#_of water points in TLS/CFS]]*500)</f>
        <v>885</v>
      </c>
      <c r="CN60" s="421">
        <f>IF(WWWW[[#This Row],['#_of water points in THF]]*500&gt;WWWW[[#This Row],[Total PoP ]],WWWW[[#This Row],[Total PoP ]],WWWW[[#This Row],['#_of water points in THF]]*500)</f>
        <v>0</v>
      </c>
      <c r="CO60" s="421"/>
      <c r="CP6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0.67796610169491522</v>
      </c>
      <c r="CQ6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0.50847457627118642</v>
      </c>
      <c r="CR60" s="970">
        <f>IF(WWWW[[#This Row],[Location Type 1]]="Village",WWWW[[#This Row],[Access to safe drinking water for Village]],WWWW[[#This Row],[Access to safe drinking water for Camp]])</f>
        <v>0.67796610169491522</v>
      </c>
      <c r="CS60" s="968">
        <f>WWWW[[#This Row],[%Equitable and continuous access to sufficient quantity of safe drinking water]]*WWWW[[#This Row],[Total PoP ]]</f>
        <v>600</v>
      </c>
      <c r="CT60" s="970">
        <f>IF((WWWW[[#This Row],['#_Constructed/Existing protected/fenced ponds]]*250)/WWWW[[#This Row],[Total PoP ]]&gt;1,1,(WWWW[[#This Row],['#_Constructed/Existing protected/fenced ponds]]*250)/WWWW[[#This Row],[Total PoP ]])</f>
        <v>1</v>
      </c>
      <c r="CU60" s="968">
        <f>WWWW[[#This Row],[% Access to unimproved water points]]*WWWW[[#This Row],[Total PoP ]]</f>
        <v>885</v>
      </c>
      <c r="CV6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885</v>
      </c>
      <c r="CX60" s="968">
        <f>WWWW[[#This Row],[HRP1]]/500</f>
        <v>1.77</v>
      </c>
      <c r="CY60" s="973">
        <f>1-WWWW[[#This Row],[% Equitable and continuous access to sufficient quantity of domestic water]]</f>
        <v>0</v>
      </c>
      <c r="CZ60" s="968">
        <f>WWWW[[#This Row],[%equitable and continuous access to sufficient quantity of safe drinking and domestic water''s GAP]]*WWWW[[#This Row],[Total PoP ]]</f>
        <v>0</v>
      </c>
      <c r="DA60" s="971">
        <f>IF(WWWW[[#This Row],[Total required water points]]-WWWW[[#This Row],['#Water points coverage]]&lt;0,0,WWWW[[#This Row],[Total required water points]]-WWWW[[#This Row],['#Water points coverage]])</f>
        <v>0.22999999999999998</v>
      </c>
      <c r="DB60" s="971">
        <f>ROUND(IF(WWWW[[#This Row],[Total PoP ]]&lt;500,1,WWWW[[#This Row],[Total PoP ]]/500),0)</f>
        <v>2</v>
      </c>
      <c r="DC60" s="971">
        <f>(WWWW[[#This Row],['#_Constructed latrines_by_WASHAgencies]]+WWWW[[#This Row],['#_Non Cluster partner latrines]])-WWWW[[#This Row],['#_Non-functional latrines]]</f>
        <v>30</v>
      </c>
      <c r="DD60" s="619">
        <f>WWWW[[#This Row],[HRP2]]/WWWW[[#This Row],[Total PoP ]]</f>
        <v>0.67796610169491522</v>
      </c>
      <c r="DE6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6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6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 s="421">
        <f>IF(WWWW[[#This Row],['# of functional latrines in THF supported by WASH partners during the reporting period2]]="",0,WWWW[[#This Row],['# of functional latrines in THF supported by WASH partners during the reporting period2]]*50)</f>
        <v>0</v>
      </c>
      <c r="DI60" s="971">
        <f>ROUND(IF(WWWW[[#This Row],[Location Type 1]]="camp",WWWW[[#This Row],[Total PoP ]]/20,IF(WWWW[[#This Row],[Location Type 1]]="Temporary Location",WWWW[[#This Row],[Total PoP ]]/50,(WWWW[[#This Row],[Total PoP ]]/6))),0)</f>
        <v>44</v>
      </c>
      <c r="DJ60" s="971">
        <f>IF(WWWW[[#This Row],[Total required Latrines]]-(WWWW[[#This Row],['#_Constructed latrines_by_WASHAgencies]]+WWWW[[#This Row],['#_Non Cluster partner latrines]])&lt;0,0,WWWW[[#This Row],[Total required Latrines]]-(WWWW[[#This Row],['#_Constructed latrines_by_WASHAgencies]]+WWWW[[#This Row],['#_Non Cluster partner latrines]]))</f>
        <v>4</v>
      </c>
      <c r="DK60" s="973">
        <f>1-WWWW[[#This Row],[% people access to functioning Latrine]]</f>
        <v>0.32203389830508478</v>
      </c>
      <c r="DL60" s="972">
        <f>IF(OR(WWWW[[#This Row],['#_Non-functional latrines]]="",WWWW[[#This Row],['#_Non-functional latrines]]=0),0,WWWW[[#This Row],['#_Non-functional latrines]]/(WWWW[[#This Row],['#_Constructed latrines_by_WASHAgencies]]+WWWW[[#This Row],['#_Non Cluster partner latrines]]))</f>
        <v>0.25</v>
      </c>
      <c r="DM60" s="968">
        <f>IF(500*(WWWW[[#This Row],['#_male hygiene promoters]]+WWWW[[#This Row],['#_female hygiene promoters]])&gt;WWWW[[#This Row],[Total PoP ]],WWWW[[#This Row],[Total PoP ]],500*(WWWW[[#This Row],['#_male hygiene promoters]]+WWWW[[#This Row],['#_female hygiene promoters]]))</f>
        <v>885</v>
      </c>
      <c r="DN6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O6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P60" s="971">
        <f>IF(WWWW[[#This Row],['# People with access to soap]]&gt;WWWW[[#This Row],['# People with access to Sanity Pads]],WWWW[[#This Row],['# People with access to soap]],WWWW[[#This Row],['# People with access to Sanity Pads]])</f>
        <v>295</v>
      </c>
      <c r="DQ60" s="971">
        <f>IF(WWWW[[#This Row],['# people reached by regular dedicated hygiene promotion_5]]&gt;WWWW[[#This Row],['# People received regular supply of hygiene items_6]],WWWW[[#This Row],['# people reached by regular dedicated hygiene promotion_5]],WWWW[[#This Row],['# People received regular supply of hygiene items_6]])</f>
        <v>885</v>
      </c>
      <c r="DR60" s="973">
        <f>IF(WWWW[[#This Row],[HRP3]]/WWWW[[#This Row],[Total PoP ]]&gt;1,1,WWWW[[#This Row],[HRP3]]/WWWW[[#This Row],[Total PoP ]])</f>
        <v>1</v>
      </c>
      <c r="DS60" s="972">
        <f>1-WWWW[[#This Row],[Hygiene Coverage%]]</f>
        <v>0</v>
      </c>
      <c r="DT60" s="970">
        <f>WWWW[[#This Row],['# people reached by regular dedicated hygiene promotion_5]]/WWWW[[#This Row],[Total PoP ]]</f>
        <v>1</v>
      </c>
      <c r="DU6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V6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60" s="971">
        <f>WWWW[[#This Row],['#_Constructed/Existing hand washing stations]]-WWWW[[#This Row],['#_Non-Functional_hand_washing_stations]]</f>
        <v>1</v>
      </c>
      <c r="DX60" s="968">
        <f>IF(WWWW[[#This Row],['# Functional hand washing stations during reporting period]]*20&gt;WWWW[[#This Row],[Total HH]],WWWW[[#This Row],[Total HH]],WWWW[[#This Row],['# Functional hand washing stations during reporting period]]*20)</f>
        <v>20</v>
      </c>
      <c r="DY60" s="968">
        <f>IF(WWWW[[#This Row],[Is sufficient soap available for TLS? (Yes/No)]]="yes",WWWW[[#This Row],['#_Constructed/Existing hand washing stations at TLS/CFS/THF]],0)</f>
        <v>2</v>
      </c>
      <c r="DZ60" s="425">
        <f>IF(WWWW[[#This Row],['# Functional hand washing stations during reporting period]]*100&gt;WWWW[[#This Row],[Total PoP ]],WWWW[[#This Row],[Total PoP ]],WWWW[[#This Row],['# Functional hand washing stations during reporting period]]*100)</f>
        <v>100</v>
      </c>
      <c r="EA60" s="425" t="str">
        <f>IF(OR(WWWW[[#This Row],['#_students at TLS_CFS]]="",WWWW[[#This Row],['#_students at TLS_CFS]]=0),"No","Yes")</f>
        <v>Yes</v>
      </c>
      <c r="EB6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 s="570">
        <f>WWWW[[#This Row],[%_of_affected_people_surveyed_who_report_feeling_satistfied_with_the_latrine_design_and_sanitation_service]]*WWWW[[#This Row],[Total PoP ]]</f>
        <v>708</v>
      </c>
      <c r="ED60" s="570">
        <f>WWWW[[#This Row],[%_of_affected_people_surveyed_who_report_feeling_satistfied_with_the_water_point_design_and_water_service]]*WWWW[[#This Row],[Total PoP ]]</f>
        <v>708</v>
      </c>
      <c r="EE60" s="570">
        <f>WWWW[[#This Row],[%_of_complaints_received_that_result_in_timely_corrective_action_and_feedback_to_the_community]]*WWWW[[#This Row],[Total PoP ]]</f>
        <v>885</v>
      </c>
      <c r="EF6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885</v>
      </c>
      <c r="EG6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885</v>
      </c>
      <c r="EH6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 s="964" t="str">
        <f>VLOOKUP(WWWW[[#This Row],[Site Name]],SiteDB6[[Site Name]:[CCCM Management]],6,FALSE)</f>
        <v>Yes</v>
      </c>
      <c r="EJ60" s="964" t="str">
        <f>VLOOKUP(WWWW[[#This Row],[Site Name]],SiteDB6[[Site Name]:[CCCM Focal Agency]],7,FALSE)</f>
        <v>Shalom</v>
      </c>
      <c r="EK60" s="964" t="str">
        <f>VLOOKUP(WWWW[[#This Row],[Site Name]],SiteDB6[[Site Name]:[Location Type 1]],9,FALSE)</f>
        <v>Camp</v>
      </c>
      <c r="EL60" s="964" t="str">
        <f>VLOOKUP(WWWW[[#This Row],[Site Name]],SiteDB6[[Site Name]:[Type of Accommodation]],10,FALSE)</f>
        <v>Camp</v>
      </c>
      <c r="EM60" s="964" t="str">
        <f>VLOOKUP(WWWW[[#This Row],[Site Name]],SiteDB6[[Site Name]:[Ethnic or GCA/NGCA]],11,FALSE)</f>
        <v>GCA</v>
      </c>
      <c r="EN60" s="964">
        <f>VLOOKUP(WWWW[[#This Row],[Site Name]],SiteDB6[[Site Name]:[Lat]],12,FALSE)</f>
        <v>25.887339999999998</v>
      </c>
      <c r="EO60" s="964">
        <f>VLOOKUP(WWWW[[#This Row],[Site Name]],SiteDB6[[Site Name]:[Long]],13,FALSE)</f>
        <v>98.129990000000006</v>
      </c>
      <c r="EP60" s="964" t="str">
        <f>VLOOKUP(WWWW[[#This Row],[Site Name]],SiteDB6[[Site Name]:[Pcode]],3,FALSE)</f>
        <v>MMR001CMP195</v>
      </c>
      <c r="EQ60" s="969" t="str">
        <f t="shared" si="1"/>
        <v>Covered</v>
      </c>
      <c r="ER60" s="969" t="s">
        <v>3147</v>
      </c>
      <c r="ES60" s="964">
        <f>VLOOKUP(WWWW[[#This Row],[Site Name]],SiteDB6[[Site Name]:[Pop
(Kachin/Shan-CCCM as of March 2023)]],16,FALSE)</f>
        <v>179</v>
      </c>
      <c r="ET60" s="964">
        <f>VLOOKUP(WWWW[[#This Row],[Site Name]],SiteDB6[[Site Name]:[Pop
(Kachin/Shan-CCCM as of March 2023)]],17,FALSE)</f>
        <v>854</v>
      </c>
    </row>
    <row r="61" spans="1:150" hidden="1">
      <c r="A61" s="962" t="s">
        <v>2977</v>
      </c>
      <c r="B61" s="962" t="s">
        <v>242</v>
      </c>
      <c r="C61" s="963" t="s">
        <v>242</v>
      </c>
      <c r="D61" s="963" t="s">
        <v>3207</v>
      </c>
      <c r="E61" s="963" t="s">
        <v>37</v>
      </c>
      <c r="F61" s="963" t="s">
        <v>148</v>
      </c>
      <c r="G61" s="964" t="str">
        <f>VLOOKUP(WWWW[[#This Row],[Site Name]],SiteDB6[[Site Name]:[Location Type]],8,FALSE)</f>
        <v>Camp</v>
      </c>
      <c r="H61" s="963" t="s">
        <v>255</v>
      </c>
      <c r="I61" s="965">
        <v>19</v>
      </c>
      <c r="J61" s="965">
        <v>107</v>
      </c>
      <c r="K61" s="966">
        <v>44927</v>
      </c>
      <c r="L61" s="967">
        <v>45291</v>
      </c>
      <c r="M61" s="965"/>
      <c r="N61" s="965"/>
      <c r="O61" s="965">
        <v>1</v>
      </c>
      <c r="P61" s="965"/>
      <c r="Q61" s="968" t="s">
        <v>136</v>
      </c>
      <c r="R61" s="965">
        <v>3</v>
      </c>
      <c r="S61" s="965">
        <v>2</v>
      </c>
      <c r="T61" s="445">
        <v>1</v>
      </c>
      <c r="U61" s="965"/>
      <c r="V61" s="965"/>
      <c r="W61" s="965"/>
      <c r="X61" s="965"/>
      <c r="Y61" s="965"/>
      <c r="Z61" s="965"/>
      <c r="AA61" s="965"/>
      <c r="AB61" s="965"/>
      <c r="AC61" s="965"/>
      <c r="AD61" s="965"/>
      <c r="AE61" s="965"/>
      <c r="AF61" s="965"/>
      <c r="AG61" s="965"/>
      <c r="AH61" s="965">
        <v>1</v>
      </c>
      <c r="AI61" s="965">
        <v>1</v>
      </c>
      <c r="AJ61" s="965">
        <v>1</v>
      </c>
      <c r="AK61" s="965">
        <v>1</v>
      </c>
      <c r="AL61" s="965"/>
      <c r="AM61" s="965"/>
      <c r="AN61" s="965"/>
      <c r="AO61" s="445"/>
      <c r="AP61" s="969"/>
      <c r="AQ61" s="965">
        <v>8</v>
      </c>
      <c r="AR61" s="965"/>
      <c r="AS61" s="970" t="s">
        <v>242</v>
      </c>
      <c r="AT61" s="965"/>
      <c r="AU61" s="965"/>
      <c r="AV61" s="965"/>
      <c r="AW61" s="965"/>
      <c r="AX61" s="965"/>
      <c r="AY61" s="964" t="s">
        <v>41</v>
      </c>
      <c r="AZ61" s="969" t="s">
        <v>137</v>
      </c>
      <c r="BA61" s="965"/>
      <c r="BB61" s="965"/>
      <c r="BC61" s="965"/>
      <c r="BD61" s="445"/>
      <c r="BE61" s="445"/>
      <c r="BF61" s="964"/>
      <c r="BG61" s="965">
        <v>2</v>
      </c>
      <c r="BH61" s="965">
        <v>2</v>
      </c>
      <c r="BI61" s="965"/>
      <c r="BJ61" s="965">
        <v>2</v>
      </c>
      <c r="BK61" s="965"/>
      <c r="BL61" s="965">
        <v>1</v>
      </c>
      <c r="BM61" s="965"/>
      <c r="BN61" s="965">
        <v>19</v>
      </c>
      <c r="BO61" s="965">
        <v>29</v>
      </c>
      <c r="BP61" s="964" t="s">
        <v>136</v>
      </c>
      <c r="BQ61" s="971"/>
      <c r="BR61" s="970">
        <v>0.65</v>
      </c>
      <c r="BS61" s="964"/>
      <c r="BT61" s="420">
        <v>0.8</v>
      </c>
      <c r="BU61" s="420">
        <v>0.85</v>
      </c>
      <c r="BV61" s="422"/>
      <c r="BW61" s="420">
        <v>1</v>
      </c>
      <c r="BX61" s="445"/>
      <c r="BY61" s="445"/>
      <c r="BZ61" s="445"/>
      <c r="CA61" s="445"/>
      <c r="CB61" s="445"/>
      <c r="CC61" s="702"/>
      <c r="CD61" s="445"/>
      <c r="CE61" s="972">
        <f>IFERROR(WWWW[[#This Row],['#_Water sources passed]]/WWWW[[#This Row],['#_Water sources tested for fecal coliform ]],"no test")</f>
        <v>1</v>
      </c>
      <c r="CF61" s="970">
        <f>IFERROR(WWWW[[#This Row],['#_Household passed]]/WWWW[[#This Row],['#_Household water samples tested for fecal coliform]],"no test")</f>
        <v>0</v>
      </c>
      <c r="CG61" s="971" t="str">
        <f>IF(AND(WWWW[[#This Row],[% of water sources passed]]="no test",WWWW[[#This Row],[% Household passed]]="no test"),"No Test","Tested")</f>
        <v>Tested</v>
      </c>
      <c r="CH61" s="971">
        <f>WWWW[[#This Row],['#_Constructed/existing protected hand dug well]]-WWWW[[#This Row],['#_Non-functional protected hand dug well]]</f>
        <v>1</v>
      </c>
      <c r="CI61" s="971">
        <f>(WWWW[[#This Row],['#_Constructed/Existing tube wells/boreholes/handpumps_WASH_agency]]+WWWW[[#This Row],['#_Non-Cluster partner water tube-wells/boreholes/handpumps]])-WWWW[[#This Row],['#_Non-functional tube wells/boreholes/handpumps]]</f>
        <v>0</v>
      </c>
      <c r="CJ61" s="971">
        <f>WWWW[[#This Row],['#_Constructed/Existingwater storage tank with gravity fed reticulation system]]-WWWW[[#This Row],['#_Non-functional storage tank gravity fed reticulation system]]</f>
        <v>0</v>
      </c>
      <c r="CK61" s="971">
        <f>(WWWW[[#This Row],['#_Water_Liters_supplied_by_Water boating or water trucking]]/90)/15</f>
        <v>0</v>
      </c>
      <c r="CL61" s="971">
        <f>WWWW[[#This Row],['#_Water_Liters_from_Constructed/Existing water distribution system from river or natural spring]]/90/15</f>
        <v>0</v>
      </c>
      <c r="CM61" s="421">
        <f>IF(WWWW[[#This Row],['#_of water points in TLS/CFS]]*500&gt;WWWW[[#This Row],[Total PoP ]],WWWW[[#This Row],[Total PoP ]],WWWW[[#This Row],['#_of water points in TLS/CFS]]*500)</f>
        <v>0</v>
      </c>
      <c r="CN61" s="421">
        <f>IF(WWWW[[#This Row],['#_of water points in THF]]*500&gt;WWWW[[#This Row],[Total PoP ]],WWWW[[#This Row],[Total PoP ]],WWWW[[#This Row],['#_of water points in THF]]*500)</f>
        <v>0</v>
      </c>
      <c r="CO61" s="421"/>
      <c r="CP6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1" s="970">
        <f>IF(WWWW[[#This Row],[Location Type 1]]="Village",WWWW[[#This Row],[Access to safe drinking water for Village]],WWWW[[#This Row],[Access to safe drinking water for Camp]])</f>
        <v>1</v>
      </c>
      <c r="CS61" s="968">
        <f>WWWW[[#This Row],[%Equitable and continuous access to sufficient quantity of safe drinking water]]*WWWW[[#This Row],[Total PoP ]]</f>
        <v>107</v>
      </c>
      <c r="CT61" s="970">
        <f>IF((WWWW[[#This Row],['#_Constructed/Existing protected/fenced ponds]]*250)/WWWW[[#This Row],[Total PoP ]]&gt;1,1,(WWWW[[#This Row],['#_Constructed/Existing protected/fenced ponds]]*250)/WWWW[[#This Row],[Total PoP ]])</f>
        <v>0</v>
      </c>
      <c r="CU61" s="968">
        <f>WWWW[[#This Row],[% Access to unimproved water points]]*WWWW[[#This Row],[Total PoP ]]</f>
        <v>0</v>
      </c>
      <c r="CV6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v>
      </c>
      <c r="CX61" s="968">
        <f>WWWW[[#This Row],[HRP1]]/500</f>
        <v>0.214</v>
      </c>
      <c r="CY61" s="973">
        <f>1-WWWW[[#This Row],[% Equitable and continuous access to sufficient quantity of domestic water]]</f>
        <v>0</v>
      </c>
      <c r="CZ61" s="968">
        <f>WWWW[[#This Row],[%equitable and continuous access to sufficient quantity of safe drinking and domestic water''s GAP]]*WWWW[[#This Row],[Total PoP ]]</f>
        <v>0</v>
      </c>
      <c r="DA61" s="971">
        <f>IF(WWWW[[#This Row],[Total required water points]]-WWWW[[#This Row],['#Water points coverage]]&lt;0,0,WWWW[[#This Row],[Total required water points]]-WWWW[[#This Row],['#Water points coverage]])</f>
        <v>0.78600000000000003</v>
      </c>
      <c r="DB61" s="971">
        <f>ROUND(IF(WWWW[[#This Row],[Total PoP ]]&lt;500,1,WWWW[[#This Row],[Total PoP ]]/500),0)</f>
        <v>1</v>
      </c>
      <c r="DC61" s="971">
        <f>(WWWW[[#This Row],['#_Constructed latrines_by_WASHAgencies]]+WWWW[[#This Row],['#_Non Cluster partner latrines]])-WWWW[[#This Row],['#_Non-functional latrines]]</f>
        <v>8</v>
      </c>
      <c r="DD61" s="619">
        <f>WWWW[[#This Row],[HRP2]]/WWWW[[#This Row],[Total PoP ]]</f>
        <v>1</v>
      </c>
      <c r="DE6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107</v>
      </c>
      <c r="DF6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1" s="421">
        <f>IF(WWWW[[#This Row],['# of functional latrines in THF supported by WASH partners during the reporting period2]]="",0,WWWW[[#This Row],['# of functional latrines in THF supported by WASH partners during the reporting period2]]*50)</f>
        <v>0</v>
      </c>
      <c r="DI61" s="971">
        <f>ROUND(IF(WWWW[[#This Row],[Location Type 1]]="camp",WWWW[[#This Row],[Total PoP ]]/20,IF(WWWW[[#This Row],[Location Type 1]]="Temporary Location",WWWW[[#This Row],[Total PoP ]]/50,(WWWW[[#This Row],[Total PoP ]]/6))),0)</f>
        <v>5</v>
      </c>
      <c r="DJ61" s="971">
        <f>IF(WWWW[[#This Row],[Total required Latrines]]-(WWWW[[#This Row],['#_Constructed latrines_by_WASHAgencies]]+WWWW[[#This Row],['#_Non Cluster partner latrines]])&lt;0,0,WWWW[[#This Row],[Total required Latrines]]-(WWWW[[#This Row],['#_Constructed latrines_by_WASHAgencies]]+WWWW[[#This Row],['#_Non Cluster partner latrines]]))</f>
        <v>0</v>
      </c>
      <c r="DK61" s="973">
        <f>1-WWWW[[#This Row],[% people access to functioning Latrine]]</f>
        <v>0</v>
      </c>
      <c r="DL61" s="972">
        <f>IF(OR(WWWW[[#This Row],['#_Non-functional latrines]]="",WWWW[[#This Row],['#_Non-functional latrines]]=0),0,WWWW[[#This Row],['#_Non-functional latrines]]/(WWWW[[#This Row],['#_Constructed latrines_by_WASHAgencies]]+WWWW[[#This Row],['#_Non Cluster partner latrines]]))</f>
        <v>0</v>
      </c>
      <c r="DM61" s="968">
        <f>IF(500*(WWWW[[#This Row],['#_male hygiene promoters]]+WWWW[[#This Row],['#_female hygiene promoters]])&gt;WWWW[[#This Row],[Total PoP ]],WWWW[[#This Row],[Total PoP ]],500*(WWWW[[#This Row],['#_male hygiene promoters]]+WWWW[[#This Row],['#_female hygiene promoters]]))</f>
        <v>107</v>
      </c>
      <c r="DN6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v>
      </c>
      <c r="DO6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P61" s="971">
        <f>IF(WWWW[[#This Row],['# People with access to soap]]&gt;WWWW[[#This Row],['# People with access to Sanity Pads]],WWWW[[#This Row],['# People with access to soap]],WWWW[[#This Row],['# People with access to Sanity Pads]])</f>
        <v>107</v>
      </c>
      <c r="DQ61" s="971">
        <f>IF(WWWW[[#This Row],['# people reached by regular dedicated hygiene promotion_5]]&gt;WWWW[[#This Row],['# People received regular supply of hygiene items_6]],WWWW[[#This Row],['# people reached by regular dedicated hygiene promotion_5]],WWWW[[#This Row],['# People received regular supply of hygiene items_6]])</f>
        <v>107</v>
      </c>
      <c r="DR61" s="973">
        <f>IF(WWWW[[#This Row],[HRP3]]/WWWW[[#This Row],[Total PoP ]]&gt;1,1,WWWW[[#This Row],[HRP3]]/WWWW[[#This Row],[Total PoP ]])</f>
        <v>1</v>
      </c>
      <c r="DS61" s="972">
        <f>1-WWWW[[#This Row],[Hygiene Coverage%]]</f>
        <v>0</v>
      </c>
      <c r="DT61" s="970">
        <f>WWWW[[#This Row],['# people reached by regular dedicated hygiene promotion_5]]/WWWW[[#This Row],[Total PoP ]]</f>
        <v>1</v>
      </c>
      <c r="DU6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6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61" s="971">
        <f>WWWW[[#This Row],['#_Constructed/Existing hand washing stations]]-WWWW[[#This Row],['#_Non-Functional_hand_washing_stations]]</f>
        <v>0</v>
      </c>
      <c r="DX61" s="968">
        <f>IF(WWWW[[#This Row],['# Functional hand washing stations during reporting period]]*20&gt;WWWW[[#This Row],[Total HH]],WWWW[[#This Row],[Total HH]],WWWW[[#This Row],['# Functional hand washing stations during reporting period]]*20)</f>
        <v>0</v>
      </c>
      <c r="DY61" s="968">
        <f>IF(WWWW[[#This Row],[Is sufficient soap available for TLS? (Yes/No)]]="yes",WWWW[[#This Row],['#_Constructed/Existing hand washing stations at TLS/CFS/THF]],0)</f>
        <v>0</v>
      </c>
      <c r="DZ61" s="425">
        <f>IF(WWWW[[#This Row],['# Functional hand washing stations during reporting period]]*100&gt;WWWW[[#This Row],[Total PoP ]],WWWW[[#This Row],[Total PoP ]],WWWW[[#This Row],['# Functional hand washing stations during reporting period]]*100)</f>
        <v>0</v>
      </c>
      <c r="EA61" s="425" t="str">
        <f>IF(OR(WWWW[[#This Row],['#_students at TLS_CFS]]="",WWWW[[#This Row],['#_students at TLS_CFS]]=0),"No","Yes")</f>
        <v>No</v>
      </c>
      <c r="EB6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1" s="570">
        <f>WWWW[[#This Row],[%_of_affected_people_surveyed_who_report_feeling_satistfied_with_the_latrine_design_and_sanitation_service]]*WWWW[[#This Row],[Total PoP ]]</f>
        <v>85.600000000000009</v>
      </c>
      <c r="ED61" s="570">
        <f>WWWW[[#This Row],[%_of_affected_people_surveyed_who_report_feeling_satistfied_with_the_water_point_design_and_water_service]]*WWWW[[#This Row],[Total PoP ]]</f>
        <v>90.95</v>
      </c>
      <c r="EE61" s="570">
        <f>WWWW[[#This Row],[%_of_complaints_received_that_result_in_timely_corrective_action_and_feedback_to_the_community]]*WWWW[[#This Row],[Total PoP ]]</f>
        <v>107</v>
      </c>
      <c r="EF6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107</v>
      </c>
      <c r="EG6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1" s="964" t="str">
        <f>VLOOKUP(WWWW[[#This Row],[Site Name]],SiteDB6[[Site Name]:[CCCM Management]],6,FALSE)</f>
        <v>Yes</v>
      </c>
      <c r="EJ61" s="964" t="str">
        <f>VLOOKUP(WWWW[[#This Row],[Site Name]],SiteDB6[[Site Name]:[CCCM Focal Agency]],7,FALSE)</f>
        <v>Shalom</v>
      </c>
      <c r="EK61" s="964" t="str">
        <f>VLOOKUP(WWWW[[#This Row],[Site Name]],SiteDB6[[Site Name]:[Location Type 1]],9,FALSE)</f>
        <v>Camp</v>
      </c>
      <c r="EL61" s="964" t="str">
        <f>VLOOKUP(WWWW[[#This Row],[Site Name]],SiteDB6[[Site Name]:[Type of Accommodation]],10,FALSE)</f>
        <v>Camp</v>
      </c>
      <c r="EM61" s="964" t="str">
        <f>VLOOKUP(WWWW[[#This Row],[Site Name]],SiteDB6[[Site Name]:[Ethnic or GCA/NGCA]],11,FALSE)</f>
        <v>GCA</v>
      </c>
      <c r="EN61" s="964">
        <f>VLOOKUP(WWWW[[#This Row],[Site Name]],SiteDB6[[Site Name]:[Lat]],12,FALSE)</f>
        <v>25.566510000000001</v>
      </c>
      <c r="EO61" s="964">
        <f>VLOOKUP(WWWW[[#This Row],[Site Name]],SiteDB6[[Site Name]:[Long]],13,FALSE)</f>
        <v>96.269199999999998</v>
      </c>
      <c r="EP61" s="964" t="str">
        <f>VLOOKUP(WWWW[[#This Row],[Site Name]],SiteDB6[[Site Name]:[Pcode]],3,FALSE)</f>
        <v>MMR001CMP181</v>
      </c>
      <c r="EQ61" s="969" t="str">
        <f t="shared" si="1"/>
        <v>Covered</v>
      </c>
      <c r="ER61" s="969" t="s">
        <v>3147</v>
      </c>
      <c r="ES61" s="964">
        <f>VLOOKUP(WWWW[[#This Row],[Site Name]],SiteDB6[[Site Name]:[Pop
(Kachin/Shan-CCCM as of March 2023)]],16,FALSE)</f>
        <v>19</v>
      </c>
      <c r="ET61" s="964">
        <f>VLOOKUP(WWWW[[#This Row],[Site Name]],SiteDB6[[Site Name]:[Pop
(Kachin/Shan-CCCM as of March 2023)]],17,FALSE)</f>
        <v>106</v>
      </c>
    </row>
    <row r="62" spans="1:150">
      <c r="A62" s="962" t="s">
        <v>2977</v>
      </c>
      <c r="B62" s="962" t="s">
        <v>276</v>
      </c>
      <c r="C62" s="963" t="s">
        <v>276</v>
      </c>
      <c r="D62" s="963" t="s">
        <v>2898</v>
      </c>
      <c r="E62" s="963" t="s">
        <v>37</v>
      </c>
      <c r="F62" s="963" t="s">
        <v>195</v>
      </c>
      <c r="G62" s="964" t="str">
        <f>VLOOKUP(WWWW[[#This Row],[Site Name]],SiteDB6[[Site Name]:[Location Type]],8,FALSE)</f>
        <v>Camp</v>
      </c>
      <c r="H62" s="963" t="s">
        <v>2718</v>
      </c>
      <c r="I62" s="965">
        <v>32</v>
      </c>
      <c r="J62" s="965">
        <v>160</v>
      </c>
      <c r="K62" s="966">
        <v>44652</v>
      </c>
      <c r="L62" s="967">
        <v>45016</v>
      </c>
      <c r="M62" s="965"/>
      <c r="N62" s="965"/>
      <c r="O62" s="965"/>
      <c r="P62" s="965"/>
      <c r="Q62" s="968" t="s">
        <v>41</v>
      </c>
      <c r="R62" s="965">
        <v>3</v>
      </c>
      <c r="S62" s="965">
        <v>3</v>
      </c>
      <c r="T62" s="445">
        <v>1</v>
      </c>
      <c r="U62" s="965"/>
      <c r="V62" s="965"/>
      <c r="W62" s="965">
        <v>1</v>
      </c>
      <c r="X62" s="965"/>
      <c r="Y62" s="965"/>
      <c r="Z62" s="965"/>
      <c r="AA62" s="965"/>
      <c r="AB62" s="965"/>
      <c r="AC62" s="965"/>
      <c r="AD62" s="965"/>
      <c r="AE62" s="965"/>
      <c r="AF62" s="965"/>
      <c r="AG62" s="965">
        <v>1</v>
      </c>
      <c r="AH62" s="965"/>
      <c r="AI62" s="965">
        <v>2</v>
      </c>
      <c r="AJ62" s="965">
        <v>2</v>
      </c>
      <c r="AK62" s="965">
        <v>9</v>
      </c>
      <c r="AL62" s="965">
        <v>9</v>
      </c>
      <c r="AM62" s="965"/>
      <c r="AN62" s="965"/>
      <c r="AO62" s="445"/>
      <c r="AP62" s="969"/>
      <c r="AQ62" s="965">
        <v>9</v>
      </c>
      <c r="AR62" s="965"/>
      <c r="AS62" s="970"/>
      <c r="AT62" s="965"/>
      <c r="AU62" s="965"/>
      <c r="AV62" s="965"/>
      <c r="AW62" s="965"/>
      <c r="AX62" s="965"/>
      <c r="AY62" s="964" t="s">
        <v>41</v>
      </c>
      <c r="AZ62" s="969" t="s">
        <v>137</v>
      </c>
      <c r="BA62" s="965"/>
      <c r="BB62" s="965">
        <v>2</v>
      </c>
      <c r="BC62" s="965"/>
      <c r="BD62" s="445"/>
      <c r="BE62" s="445">
        <v>7</v>
      </c>
      <c r="BF62" s="964"/>
      <c r="BG62" s="965">
        <v>9</v>
      </c>
      <c r="BH62" s="965"/>
      <c r="BI62" s="965"/>
      <c r="BJ62" s="965">
        <v>2</v>
      </c>
      <c r="BK62" s="965"/>
      <c r="BL62" s="965"/>
      <c r="BM62" s="965"/>
      <c r="BN62" s="965">
        <v>37</v>
      </c>
      <c r="BO62" s="965"/>
      <c r="BP62" s="964" t="s">
        <v>136</v>
      </c>
      <c r="BQ62" s="971">
        <v>0</v>
      </c>
      <c r="BR62" s="970">
        <v>0.8</v>
      </c>
      <c r="BS62" s="964"/>
      <c r="BT62" s="420">
        <v>1</v>
      </c>
      <c r="BU62" s="420">
        <v>1</v>
      </c>
      <c r="BV62" s="422">
        <v>2</v>
      </c>
      <c r="BW62" s="420">
        <v>1</v>
      </c>
      <c r="BX62" s="445"/>
      <c r="BY62" s="445"/>
      <c r="BZ62" s="445"/>
      <c r="CA62" s="445"/>
      <c r="CB62" s="445"/>
      <c r="CC62" s="702"/>
      <c r="CD62" s="445"/>
      <c r="CE62" s="972">
        <f>IFERROR(WWWW[[#This Row],['#_Water sources passed]]/WWWW[[#This Row],['#_Water sources tested for fecal coliform ]],"no test")</f>
        <v>1</v>
      </c>
      <c r="CF62" s="970">
        <f>IFERROR(WWWW[[#This Row],['#_Household passed]]/WWWW[[#This Row],['#_Household water samples tested for fecal coliform]],"no test")</f>
        <v>1</v>
      </c>
      <c r="CG62" s="971" t="str">
        <f>IF(AND(WWWW[[#This Row],[% of water sources passed]]="no test",WWWW[[#This Row],[% Household passed]]="no test"),"No Test","Tested")</f>
        <v>Tested</v>
      </c>
      <c r="CH62" s="971">
        <f>WWWW[[#This Row],['#_Constructed/existing protected hand dug well]]-WWWW[[#This Row],['#_Non-functional protected hand dug well]]</f>
        <v>1</v>
      </c>
      <c r="CI62" s="971">
        <f>(WWWW[[#This Row],['#_Constructed/Existing tube wells/boreholes/handpumps_WASH_agency]]+WWWW[[#This Row],['#_Non-Cluster partner water tube-wells/boreholes/handpumps]])-WWWW[[#This Row],['#_Non-functional tube wells/boreholes/handpumps]]</f>
        <v>1</v>
      </c>
      <c r="CJ62" s="971">
        <f>WWWW[[#This Row],['#_Constructed/Existingwater storage tank with gravity fed reticulation system]]-WWWW[[#This Row],['#_Non-functional storage tank gravity fed reticulation system]]</f>
        <v>0</v>
      </c>
      <c r="CK62" s="971">
        <f>(WWWW[[#This Row],['#_Water_Liters_supplied_by_Water boating or water trucking]]/90)/15</f>
        <v>0</v>
      </c>
      <c r="CL62" s="971">
        <f>WWWW[[#This Row],['#_Water_Liters_from_Constructed/Existing water distribution system from river or natural spring]]/90/15</f>
        <v>0</v>
      </c>
      <c r="CM62" s="421">
        <f>IF(WWWW[[#This Row],['#_of water points in TLS/CFS]]*500&gt;WWWW[[#This Row],[Total PoP ]],WWWW[[#This Row],[Total PoP ]],WWWW[[#This Row],['#_of water points in TLS/CFS]]*500)</f>
        <v>0</v>
      </c>
      <c r="CN62" s="421">
        <f>IF(WWWW[[#This Row],['#_of water points in THF]]*500&gt;WWWW[[#This Row],[Total PoP ]],WWWW[[#This Row],[Total PoP ]],WWWW[[#This Row],['#_of water points in THF]]*500)</f>
        <v>0</v>
      </c>
      <c r="CO62" s="421"/>
      <c r="CP6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2" s="970">
        <f>IF(WWWW[[#This Row],[Location Type 1]]="Village",WWWW[[#This Row],[Access to safe drinking water for Village]],WWWW[[#This Row],[Access to safe drinking water for Camp]])</f>
        <v>1</v>
      </c>
      <c r="CS62" s="968">
        <f>WWWW[[#This Row],[%Equitable and continuous access to sufficient quantity of safe drinking water]]*WWWW[[#This Row],[Total PoP ]]</f>
        <v>160</v>
      </c>
      <c r="CT62" s="970">
        <f>IF((WWWW[[#This Row],['#_Constructed/Existing protected/fenced ponds]]*250)/WWWW[[#This Row],[Total PoP ]]&gt;1,1,(WWWW[[#This Row],['#_Constructed/Existing protected/fenced ponds]]*250)/WWWW[[#This Row],[Total PoP ]])</f>
        <v>0</v>
      </c>
      <c r="CU62" s="968">
        <f>WWWW[[#This Row],[% Access to unimproved water points]]*WWWW[[#This Row],[Total PoP ]]</f>
        <v>0</v>
      </c>
      <c r="CV6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v>
      </c>
      <c r="CX62" s="968">
        <f>WWWW[[#This Row],[HRP1]]/500</f>
        <v>0.32</v>
      </c>
      <c r="CY62" s="973">
        <f>1-WWWW[[#This Row],[% Equitable and continuous access to sufficient quantity of domestic water]]</f>
        <v>0</v>
      </c>
      <c r="CZ62" s="968">
        <f>WWWW[[#This Row],[%equitable and continuous access to sufficient quantity of safe drinking and domestic water''s GAP]]*WWWW[[#This Row],[Total PoP ]]</f>
        <v>0</v>
      </c>
      <c r="DA62" s="971">
        <f>IF(WWWW[[#This Row],[Total required water points]]-WWWW[[#This Row],['#Water points coverage]]&lt;0,0,WWWW[[#This Row],[Total required water points]]-WWWW[[#This Row],['#Water points coverage]])</f>
        <v>0.67999999999999994</v>
      </c>
      <c r="DB62" s="971">
        <f>ROUND(IF(WWWW[[#This Row],[Total PoP ]]&lt;500,1,WWWW[[#This Row],[Total PoP ]]/500),0)</f>
        <v>1</v>
      </c>
      <c r="DC62" s="971">
        <f>(WWWW[[#This Row],['#_Constructed latrines_by_WASHAgencies]]+WWWW[[#This Row],['#_Non Cluster partner latrines]])-WWWW[[#This Row],['#_Non-functional latrines]]</f>
        <v>9</v>
      </c>
      <c r="DD62" s="619">
        <f>WWWW[[#This Row],[HRP2]]/WWWW[[#This Row],[Total PoP ]]</f>
        <v>1</v>
      </c>
      <c r="DE6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6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2" s="421">
        <f>IF(WWWW[[#This Row],['# of functional latrines in THF supported by WASH partners during the reporting period2]]="",0,WWWW[[#This Row],['# of functional latrines in THF supported by WASH partners during the reporting period2]]*50)</f>
        <v>0</v>
      </c>
      <c r="DI62" s="971">
        <f>ROUND(IF(WWWW[[#This Row],[Location Type 1]]="camp",WWWW[[#This Row],[Total PoP ]]/20,IF(WWWW[[#This Row],[Location Type 1]]="Temporary Location",WWWW[[#This Row],[Total PoP ]]/50,(WWWW[[#This Row],[Total PoP ]]/6))),0)</f>
        <v>8</v>
      </c>
      <c r="DJ62" s="971">
        <f>IF(WWWW[[#This Row],[Total required Latrines]]-(WWWW[[#This Row],['#_Constructed latrines_by_WASHAgencies]]+WWWW[[#This Row],['#_Non Cluster partner latrines]])&lt;0,0,WWWW[[#This Row],[Total required Latrines]]-(WWWW[[#This Row],['#_Constructed latrines_by_WASHAgencies]]+WWWW[[#This Row],['#_Non Cluster partner latrines]]))</f>
        <v>0</v>
      </c>
      <c r="DK62" s="973">
        <f>1-WWWW[[#This Row],[% people access to functioning Latrine]]</f>
        <v>0</v>
      </c>
      <c r="DL62" s="972">
        <f>IF(OR(WWWW[[#This Row],['#_Non-functional latrines]]="",WWWW[[#This Row],['#_Non-functional latrines]]=0),0,WWWW[[#This Row],['#_Non-functional latrines]]/(WWWW[[#This Row],['#_Constructed latrines_by_WASHAgencies]]+WWWW[[#This Row],['#_Non Cluster partner latrines]]))</f>
        <v>0</v>
      </c>
      <c r="DM62" s="968">
        <f>IF(500*(WWWW[[#This Row],['#_male hygiene promoters]]+WWWW[[#This Row],['#_female hygiene promoters]])&gt;WWWW[[#This Row],[Total PoP ]],WWWW[[#This Row],[Total PoP ]],500*(WWWW[[#This Row],['#_male hygiene promoters]]+WWWW[[#This Row],['#_female hygiene promoters]]))</f>
        <v>0</v>
      </c>
      <c r="DN6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160</v>
      </c>
      <c r="DO6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2" s="971">
        <f>IF(WWWW[[#This Row],['# People with access to soap]]&gt;WWWW[[#This Row],['# People with access to Sanity Pads]],WWWW[[#This Row],['# People with access to soap]],WWWW[[#This Row],['# People with access to Sanity Pads]])</f>
        <v>160</v>
      </c>
      <c r="DQ62" s="971">
        <f>IF(WWWW[[#This Row],['# people reached by regular dedicated hygiene promotion_5]]&gt;WWWW[[#This Row],['# People received regular supply of hygiene items_6]],WWWW[[#This Row],['# people reached by regular dedicated hygiene promotion_5]],WWWW[[#This Row],['# People received regular supply of hygiene items_6]])</f>
        <v>160</v>
      </c>
      <c r="DR62" s="973">
        <f>IF(WWWW[[#This Row],[HRP3]]/WWWW[[#This Row],[Total PoP ]]&gt;1,1,WWWW[[#This Row],[HRP3]]/WWWW[[#This Row],[Total PoP ]])</f>
        <v>1</v>
      </c>
      <c r="DS62" s="972">
        <f>1-WWWW[[#This Row],[Hygiene Coverage%]]</f>
        <v>0</v>
      </c>
      <c r="DT62" s="970">
        <f>WWWW[[#This Row],['# people reached by regular dedicated hygiene promotion_5]]/WWWW[[#This Row],[Total PoP ]]</f>
        <v>0</v>
      </c>
      <c r="DU6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6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2" s="971">
        <f>WWWW[[#This Row],['#_Constructed/Existing hand washing stations]]-WWWW[[#This Row],['#_Non-Functional_hand_washing_stations]]</f>
        <v>9</v>
      </c>
      <c r="DX62" s="968">
        <f>IF(WWWW[[#This Row],['# Functional hand washing stations during reporting period]]*20&gt;WWWW[[#This Row],[Total HH]],WWWW[[#This Row],[Total HH]],WWWW[[#This Row],['# Functional hand washing stations during reporting period]]*20)</f>
        <v>32</v>
      </c>
      <c r="DY62" s="968">
        <f>IF(WWWW[[#This Row],[Is sufficient soap available for TLS? (Yes/No)]]="yes",WWWW[[#This Row],['#_Constructed/Existing hand washing stations at TLS/CFS/THF]],0)</f>
        <v>0</v>
      </c>
      <c r="DZ62" s="425">
        <f>IF(WWWW[[#This Row],['# Functional hand washing stations during reporting period]]*100&gt;WWWW[[#This Row],[Total PoP ]],WWWW[[#This Row],[Total PoP ]],WWWW[[#This Row],['# Functional hand washing stations during reporting period]]*100)</f>
        <v>160</v>
      </c>
      <c r="EA62" s="425" t="str">
        <f>IF(OR(WWWW[[#This Row],['#_students at TLS_CFS]]="",WWWW[[#This Row],['#_students at TLS_CFS]]=0),"No","Yes")</f>
        <v>No</v>
      </c>
      <c r="EB62" s="619">
        <f>IF(WWWW[[#This Row],['#_of_affected_people_surveyed_who_report_feeling_informed_about_the_different_WASH_services_available_to_them]]="","",WWWW[[#This Row],['#_of_affected_people_surveyed_who_report_feeling_informed_about_the_different_WASH_services_available_to_them]]/WWWW[[#This Row],[Total PoP ]])</f>
        <v>1.2500000000000001E-2</v>
      </c>
      <c r="EC62" s="570">
        <f>WWWW[[#This Row],[%_of_affected_people_surveyed_who_report_feeling_satistfied_with_the_latrine_design_and_sanitation_service]]*WWWW[[#This Row],[Total PoP ]]</f>
        <v>160</v>
      </c>
      <c r="ED62" s="570">
        <f>WWWW[[#This Row],[%_of_affected_people_surveyed_who_report_feeling_satistfied_with_the_water_point_design_and_water_service]]*WWWW[[#This Row],[Total PoP ]]</f>
        <v>160</v>
      </c>
      <c r="EE62" s="570">
        <f>WWWW[[#This Row],[%_of_complaints_received_that_result_in_timely_corrective_action_and_feedback_to_the_community]]*WWWW[[#This Row],[Total PoP ]]</f>
        <v>160</v>
      </c>
      <c r="EF6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160</v>
      </c>
      <c r="EG6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2" s="964">
        <f>VLOOKUP(WWWW[[#This Row],[Site Name]],SiteDB6[[Site Name]:[CCCM Management]],6,FALSE)</f>
        <v>0</v>
      </c>
      <c r="EJ62" s="964">
        <f>VLOOKUP(WWWW[[#This Row],[Site Name]],SiteDB6[[Site Name]:[CCCM Focal Agency]],7,FALSE)</f>
        <v>0</v>
      </c>
      <c r="EK62" s="964" t="str">
        <f>VLOOKUP(WWWW[[#This Row],[Site Name]],SiteDB6[[Site Name]:[Location Type 1]],9,FALSE)</f>
        <v>Camp</v>
      </c>
      <c r="EL62" s="964" t="str">
        <f>VLOOKUP(WWWW[[#This Row],[Site Name]],SiteDB6[[Site Name]:[Type of Accommodation]],10,FALSE)</f>
        <v>Camp</v>
      </c>
      <c r="EM62" s="964" t="str">
        <f>VLOOKUP(WWWW[[#This Row],[Site Name]],SiteDB6[[Site Name]:[Ethnic or GCA/NGCA]],11,FALSE)</f>
        <v>GCA</v>
      </c>
      <c r="EN62" s="964">
        <f>VLOOKUP(WWWW[[#This Row],[Site Name]],SiteDB6[[Site Name]:[Lat]],12,FALSE)</f>
        <v>24.314934000000001</v>
      </c>
      <c r="EO62" s="964">
        <f>VLOOKUP(WWWW[[#This Row],[Site Name]],SiteDB6[[Site Name]:[Long]],13,FALSE)</f>
        <v>97.305190999999994</v>
      </c>
      <c r="EP62" s="964" t="str">
        <f>VLOOKUP(WWWW[[#This Row],[Site Name]],SiteDB6[[Site Name]:[Pcode]],3,FALSE)</f>
        <v>MMR001CMP285</v>
      </c>
      <c r="EQ62" s="969" t="str">
        <f t="shared" si="1"/>
        <v>Covered</v>
      </c>
      <c r="ER62" s="969" t="s">
        <v>3147</v>
      </c>
      <c r="ES62" s="964">
        <f>VLOOKUP(WWWW[[#This Row],[Site Name]],SiteDB6[[Site Name]:[Pop
(Kachin/Shan-CCCM as of March 2023)]],16,FALSE)</f>
        <v>32</v>
      </c>
      <c r="ET62" s="964">
        <f>VLOOKUP(WWWW[[#This Row],[Site Name]],SiteDB6[[Site Name]:[Pop
(Kachin/Shan-CCCM as of March 2023)]],17,FALSE)</f>
        <v>152</v>
      </c>
    </row>
    <row r="63" spans="1:150" hidden="1">
      <c r="A63" s="962" t="s">
        <v>2977</v>
      </c>
      <c r="B63" s="962" t="s">
        <v>3164</v>
      </c>
      <c r="C63" s="962" t="s">
        <v>3164</v>
      </c>
      <c r="D63" s="1014" t="s">
        <v>2648</v>
      </c>
      <c r="E63" s="963" t="s">
        <v>37</v>
      </c>
      <c r="F63" s="963" t="s">
        <v>38</v>
      </c>
      <c r="G63" s="964" t="str">
        <f>VLOOKUP(WWWW[[#This Row],[Site Name]],SiteDB6[[Site Name]:[Location Type]],8,FALSE)</f>
        <v>Camp</v>
      </c>
      <c r="H63" s="963" t="s">
        <v>300</v>
      </c>
      <c r="I63" s="965">
        <v>119</v>
      </c>
      <c r="J63" s="965">
        <v>538</v>
      </c>
      <c r="K63" s="966" t="s">
        <v>2962</v>
      </c>
      <c r="L63" s="967" t="s">
        <v>2972</v>
      </c>
      <c r="M63" s="965"/>
      <c r="N63" s="965">
        <v>2</v>
      </c>
      <c r="O63" s="965"/>
      <c r="P63" s="965"/>
      <c r="Q63" s="968" t="s">
        <v>41</v>
      </c>
      <c r="R63" s="965">
        <v>3</v>
      </c>
      <c r="S63" s="965">
        <v>4</v>
      </c>
      <c r="T63" s="445">
        <v>3</v>
      </c>
      <c r="U63" s="965"/>
      <c r="V63" s="965"/>
      <c r="W63" s="965"/>
      <c r="X63" s="965">
        <v>2</v>
      </c>
      <c r="Y63" s="965"/>
      <c r="Z63" s="965"/>
      <c r="AA63" s="965">
        <v>1</v>
      </c>
      <c r="AB63" s="965"/>
      <c r="AC63" s="965"/>
      <c r="AD63" s="965"/>
      <c r="AE63" s="965"/>
      <c r="AF63" s="965"/>
      <c r="AG63" s="965"/>
      <c r="AH63" s="965"/>
      <c r="AI63" s="965"/>
      <c r="AJ63" s="965"/>
      <c r="AK63" s="965"/>
      <c r="AL63" s="965"/>
      <c r="AM63" s="965"/>
      <c r="AN63" s="965"/>
      <c r="AO63" s="445"/>
      <c r="AP63" s="969"/>
      <c r="AQ63" s="965">
        <v>29</v>
      </c>
      <c r="AR63" s="965"/>
      <c r="AS63" s="970"/>
      <c r="AT63" s="965"/>
      <c r="AU63" s="965"/>
      <c r="AV63" s="965"/>
      <c r="AW63" s="965"/>
      <c r="AX63" s="965"/>
      <c r="AY63" s="964" t="s">
        <v>140</v>
      </c>
      <c r="AZ63" s="969" t="s">
        <v>140</v>
      </c>
      <c r="BA63" s="965"/>
      <c r="BB63" s="965"/>
      <c r="BC63" s="965"/>
      <c r="BD63" s="445"/>
      <c r="BE63" s="445"/>
      <c r="BF63" s="964"/>
      <c r="BG63" s="965">
        <v>3</v>
      </c>
      <c r="BH63" s="965"/>
      <c r="BI63" s="965"/>
      <c r="BJ63" s="965">
        <v>2</v>
      </c>
      <c r="BK63" s="965"/>
      <c r="BL63" s="965"/>
      <c r="BM63" s="965">
        <v>2</v>
      </c>
      <c r="BN63" s="965"/>
      <c r="BO63" s="965"/>
      <c r="BP63" s="964" t="s">
        <v>41</v>
      </c>
      <c r="BQ63" s="971"/>
      <c r="BR63" s="970"/>
      <c r="BS63" s="964"/>
      <c r="BT63" s="420"/>
      <c r="BU63" s="420"/>
      <c r="BV63" s="422"/>
      <c r="BW63" s="420"/>
      <c r="BX63" s="445"/>
      <c r="BY63" s="445"/>
      <c r="BZ63" s="445"/>
      <c r="CA63" s="445"/>
      <c r="CB63" s="445"/>
      <c r="CC63" s="702"/>
      <c r="CD63" s="445"/>
      <c r="CE63" s="972" t="str">
        <f>IFERROR(WWWW[[#This Row],['#_Water sources passed]]/WWWW[[#This Row],['#_Water sources tested for fecal coliform ]],"no test")</f>
        <v>no test</v>
      </c>
      <c r="CF63" s="970" t="str">
        <f>IFERROR(WWWW[[#This Row],['#_Household passed]]/WWWW[[#This Row],['#_Household water samples tested for fecal coliform]],"no test")</f>
        <v>no test</v>
      </c>
      <c r="CG63" s="971" t="str">
        <f>IF(AND(WWWW[[#This Row],[% of water sources passed]]="no test",WWWW[[#This Row],[% Household passed]]="no test"),"No Test","Tested")</f>
        <v>No Test</v>
      </c>
      <c r="CH63" s="971">
        <f>WWWW[[#This Row],['#_Constructed/existing protected hand dug well]]-WWWW[[#This Row],['#_Non-functional protected hand dug well]]</f>
        <v>3</v>
      </c>
      <c r="CI63" s="971">
        <f>(WWWW[[#This Row],['#_Constructed/Existing tube wells/boreholes/handpumps_WASH_agency]]+WWWW[[#This Row],['#_Non-Cluster partner water tube-wells/boreholes/handpumps]])-WWWW[[#This Row],['#_Non-functional tube wells/boreholes/handpumps]]</f>
        <v>2</v>
      </c>
      <c r="CJ63" s="971">
        <f>WWWW[[#This Row],['#_Constructed/Existingwater storage tank with gravity fed reticulation system]]-WWWW[[#This Row],['#_Non-functional storage tank gravity fed reticulation system]]</f>
        <v>1</v>
      </c>
      <c r="CK63" s="971">
        <f>(WWWW[[#This Row],['#_Water_Liters_supplied_by_Water boating or water trucking]]/90)/15</f>
        <v>0</v>
      </c>
      <c r="CL63" s="971">
        <f>WWWW[[#This Row],['#_Water_Liters_from_Constructed/Existing water distribution system from river or natural spring]]/90/15</f>
        <v>0</v>
      </c>
      <c r="CM63" s="421">
        <f>IF(WWWW[[#This Row],['#_of water points in TLS/CFS]]*500&gt;WWWW[[#This Row],[Total PoP ]],WWWW[[#This Row],[Total PoP ]],WWWW[[#This Row],['#_of water points in TLS/CFS]]*500)</f>
        <v>0</v>
      </c>
      <c r="CN63" s="421">
        <f>IF(WWWW[[#This Row],['#_of water points in THF]]*500&gt;WWWW[[#This Row],[Total PoP ]],WWWW[[#This Row],[Total PoP ]],WWWW[[#This Row],['#_of water points in THF]]*500)</f>
        <v>0</v>
      </c>
      <c r="CO63" s="421"/>
      <c r="CP6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3" s="970">
        <f>IF(WWWW[[#This Row],[Location Type 1]]="Village",WWWW[[#This Row],[Access to safe drinking water for Village]],WWWW[[#This Row],[Access to safe drinking water for Camp]])</f>
        <v>1</v>
      </c>
      <c r="CS63" s="968">
        <f>WWWW[[#This Row],[%Equitable and continuous access to sufficient quantity of safe drinking water]]*WWWW[[#This Row],[Total PoP ]]</f>
        <v>538</v>
      </c>
      <c r="CT63" s="970">
        <f>IF((WWWW[[#This Row],['#_Constructed/Existing protected/fenced ponds]]*250)/WWWW[[#This Row],[Total PoP ]]&gt;1,1,(WWWW[[#This Row],['#_Constructed/Existing protected/fenced ponds]]*250)/WWWW[[#This Row],[Total PoP ]])</f>
        <v>0</v>
      </c>
      <c r="CU63" s="968">
        <f>WWWW[[#This Row],[% Access to unimproved water points]]*WWWW[[#This Row],[Total PoP ]]</f>
        <v>0</v>
      </c>
      <c r="CV6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X63" s="968">
        <f>WWWW[[#This Row],[HRP1]]/500</f>
        <v>1.0760000000000001</v>
      </c>
      <c r="CY63" s="973">
        <f>1-WWWW[[#This Row],[% Equitable and continuous access to sufficient quantity of domestic water]]</f>
        <v>0</v>
      </c>
      <c r="CZ63" s="968">
        <f>WWWW[[#This Row],[%equitable and continuous access to sufficient quantity of safe drinking and domestic water''s GAP]]*WWWW[[#This Row],[Total PoP ]]</f>
        <v>0</v>
      </c>
      <c r="DA63" s="971">
        <f>IF(WWWW[[#This Row],[Total required water points]]-WWWW[[#This Row],['#Water points coverage]]&lt;0,0,WWWW[[#This Row],[Total required water points]]-WWWW[[#This Row],['#Water points coverage]])</f>
        <v>0</v>
      </c>
      <c r="DB63" s="971">
        <f>ROUND(IF(WWWW[[#This Row],[Total PoP ]]&lt;500,1,WWWW[[#This Row],[Total PoP ]]/500),0)</f>
        <v>1</v>
      </c>
      <c r="DC63" s="971">
        <f>(WWWW[[#This Row],['#_Constructed latrines_by_WASHAgencies]]+WWWW[[#This Row],['#_Non Cluster partner latrines]])-WWWW[[#This Row],['#_Non-functional latrines]]</f>
        <v>29</v>
      </c>
      <c r="DD63" s="619">
        <f>WWWW[[#This Row],[HRP2]]/WWWW[[#This Row],[Total PoP ]]</f>
        <v>1</v>
      </c>
      <c r="DE6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538</v>
      </c>
      <c r="DF6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3" s="421">
        <f>IF(WWWW[[#This Row],['# of functional latrines in THF supported by WASH partners during the reporting period2]]="",0,WWWW[[#This Row],['# of functional latrines in THF supported by WASH partners during the reporting period2]]*50)</f>
        <v>0</v>
      </c>
      <c r="DI63" s="971">
        <f>ROUND(IF(WWWW[[#This Row],[Location Type 1]]="camp",WWWW[[#This Row],[Total PoP ]]/20,IF(WWWW[[#This Row],[Location Type 1]]="Temporary Location",WWWW[[#This Row],[Total PoP ]]/50,(WWWW[[#This Row],[Total PoP ]]/6))),0)</f>
        <v>27</v>
      </c>
      <c r="DJ63" s="971">
        <f>IF(WWWW[[#This Row],[Total required Latrines]]-(WWWW[[#This Row],['#_Constructed latrines_by_WASHAgencies]]+WWWW[[#This Row],['#_Non Cluster partner latrines]])&lt;0,0,WWWW[[#This Row],[Total required Latrines]]-(WWWW[[#This Row],['#_Constructed latrines_by_WASHAgencies]]+WWWW[[#This Row],['#_Non Cluster partner latrines]]))</f>
        <v>0</v>
      </c>
      <c r="DK63" s="973">
        <f>1-WWWW[[#This Row],[% people access to functioning Latrine]]</f>
        <v>0</v>
      </c>
      <c r="DL63" s="972">
        <f>IF(OR(WWWW[[#This Row],['#_Non-functional latrines]]="",WWWW[[#This Row],['#_Non-functional latrines]]=0),0,WWWW[[#This Row],['#_Non-functional latrines]]/(WWWW[[#This Row],['#_Constructed latrines_by_WASHAgencies]]+WWWW[[#This Row],['#_Non Cluster partner latrines]]))</f>
        <v>0</v>
      </c>
      <c r="DM63" s="968">
        <f>IF(500*(WWWW[[#This Row],['#_male hygiene promoters]]+WWWW[[#This Row],['#_female hygiene promoters]])&gt;WWWW[[#This Row],[Total PoP ]],WWWW[[#This Row],[Total PoP ]],500*(WWWW[[#This Row],['#_male hygiene promoters]]+WWWW[[#This Row],['#_female hygiene promoters]]))</f>
        <v>538</v>
      </c>
      <c r="DN6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3" s="971">
        <f>IF(WWWW[[#This Row],['# People with access to soap]]&gt;WWWW[[#This Row],['# People with access to Sanity Pads]],WWWW[[#This Row],['# People with access to soap]],WWWW[[#This Row],['# People with access to Sanity Pads]])</f>
        <v>0</v>
      </c>
      <c r="DQ63" s="971">
        <f>IF(WWWW[[#This Row],['# people reached by regular dedicated hygiene promotion_5]]&gt;WWWW[[#This Row],['# People received regular supply of hygiene items_6]],WWWW[[#This Row],['# people reached by regular dedicated hygiene promotion_5]],WWWW[[#This Row],['# People received regular supply of hygiene items_6]])</f>
        <v>538</v>
      </c>
      <c r="DR63" s="973">
        <f>IF(WWWW[[#This Row],[HRP3]]/WWWW[[#This Row],[Total PoP ]]&gt;1,1,WWWW[[#This Row],[HRP3]]/WWWW[[#This Row],[Total PoP ]])</f>
        <v>1</v>
      </c>
      <c r="DS63" s="972">
        <f>1-WWWW[[#This Row],[Hygiene Coverage%]]</f>
        <v>0</v>
      </c>
      <c r="DT63" s="970">
        <f>WWWW[[#This Row],['# people reached by regular dedicated hygiene promotion_5]]/WWWW[[#This Row],[Total PoP ]]</f>
        <v>1</v>
      </c>
      <c r="DU6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3" s="971">
        <f>WWWW[[#This Row],['#_Constructed/Existing hand washing stations]]-WWWW[[#This Row],['#_Non-Functional_hand_washing_stations]]</f>
        <v>3</v>
      </c>
      <c r="DX63" s="968">
        <f>IF(WWWW[[#This Row],['# Functional hand washing stations during reporting period]]*20&gt;WWWW[[#This Row],[Total HH]],WWWW[[#This Row],[Total HH]],WWWW[[#This Row],['# Functional hand washing stations during reporting period]]*20)</f>
        <v>60</v>
      </c>
      <c r="DY63" s="968">
        <f>IF(WWWW[[#This Row],[Is sufficient soap available for TLS? (Yes/No)]]="yes",WWWW[[#This Row],['#_Constructed/Existing hand washing stations at TLS/CFS/THF]],0)</f>
        <v>0</v>
      </c>
      <c r="DZ63" s="425">
        <f>IF(WWWW[[#This Row],['# Functional hand washing stations during reporting period]]*100&gt;WWWW[[#This Row],[Total PoP ]],WWWW[[#This Row],[Total PoP ]],WWWW[[#This Row],['# Functional hand washing stations during reporting period]]*100)</f>
        <v>300</v>
      </c>
      <c r="EA63" s="425" t="str">
        <f>IF(OR(WWWW[[#This Row],['#_students at TLS_CFS]]="",WWWW[[#This Row],['#_students at TLS_CFS]]=0),"No","Yes")</f>
        <v>No</v>
      </c>
      <c r="EB6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3" s="570">
        <f>WWWW[[#This Row],[%_of_affected_people_surveyed_who_report_feeling_satistfied_with_the_latrine_design_and_sanitation_service]]*WWWW[[#This Row],[Total PoP ]]</f>
        <v>0</v>
      </c>
      <c r="ED63" s="570">
        <f>WWWW[[#This Row],[%_of_affected_people_surveyed_who_report_feeling_satistfied_with_the_water_point_design_and_water_service]]*WWWW[[#This Row],[Total PoP ]]</f>
        <v>0</v>
      </c>
      <c r="EE63" s="570">
        <f>WWWW[[#This Row],[%_of_complaints_received_that_result_in_timely_corrective_action_and_feedback_to_the_community]]*WWWW[[#This Row],[Total PoP ]]</f>
        <v>0</v>
      </c>
      <c r="EF6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3" s="964" t="str">
        <f>VLOOKUP(WWWW[[#This Row],[Site Name]],SiteDB6[[Site Name]:[CCCM Management]],6,FALSE)</f>
        <v>Yes</v>
      </c>
      <c r="EJ63" s="964" t="str">
        <f>VLOOKUP(WWWW[[#This Row],[Site Name]],SiteDB6[[Site Name]:[CCCM Focal Agency]],7,FALSE)</f>
        <v>KBC-NSS</v>
      </c>
      <c r="EK63" s="964" t="str">
        <f>VLOOKUP(WWWW[[#This Row],[Site Name]],SiteDB6[[Site Name]:[Location Type 1]],9,FALSE)</f>
        <v>Camp</v>
      </c>
      <c r="EL63" s="964" t="str">
        <f>VLOOKUP(WWWW[[#This Row],[Site Name]],SiteDB6[[Site Name]:[Type of Accommodation]],10,FALSE)</f>
        <v>Camp</v>
      </c>
      <c r="EM63" s="964" t="str">
        <f>VLOOKUP(WWWW[[#This Row],[Site Name]],SiteDB6[[Site Name]:[Ethnic or GCA/NGCA]],11,FALSE)</f>
        <v>GCA</v>
      </c>
      <c r="EN63" s="964">
        <f>VLOOKUP(WWWW[[#This Row],[Site Name]],SiteDB6[[Site Name]:[Lat]],12,FALSE)</f>
        <v>23.829599000000002</v>
      </c>
      <c r="EO63" s="964">
        <f>VLOOKUP(WWWW[[#This Row],[Site Name]],SiteDB6[[Site Name]:[Long]],13,FALSE)</f>
        <v>97.590767</v>
      </c>
      <c r="EP63" s="964" t="str">
        <f>VLOOKUP(WWWW[[#This Row],[Site Name]],SiteDB6[[Site Name]:[Pcode]],3,FALSE)</f>
        <v>MMR001CMP230</v>
      </c>
      <c r="EQ63" s="969" t="str">
        <f t="shared" si="1"/>
        <v>Covered</v>
      </c>
      <c r="ER63" s="969" t="s">
        <v>3147</v>
      </c>
      <c r="ES63" s="964">
        <f>VLOOKUP(WWWW[[#This Row],[Site Name]],SiteDB6[[Site Name]:[Pop
(Kachin/Shan-CCCM as of March 2023)]],16,FALSE)</f>
        <v>152</v>
      </c>
      <c r="ET63" s="964">
        <f>VLOOKUP(WWWW[[#This Row],[Site Name]],SiteDB6[[Site Name]:[Pop
(Kachin/Shan-CCCM as of March 2023)]],17,FALSE)</f>
        <v>661</v>
      </c>
    </row>
    <row r="64" spans="1:150" hidden="1">
      <c r="A64" s="962" t="s">
        <v>2977</v>
      </c>
      <c r="B64" s="962" t="s">
        <v>309</v>
      </c>
      <c r="C64" s="963" t="s">
        <v>309</v>
      </c>
      <c r="D64" s="963"/>
      <c r="E64" s="963" t="s">
        <v>37</v>
      </c>
      <c r="F64" s="963" t="s">
        <v>205</v>
      </c>
      <c r="G64" s="964" t="str">
        <f>VLOOKUP(WWWW[[#This Row],[Site Name]],SiteDB6[[Site Name]:[Location Type]],8,FALSE)</f>
        <v>Camp</v>
      </c>
      <c r="H64" s="963" t="s">
        <v>2887</v>
      </c>
      <c r="I64" s="965">
        <v>223</v>
      </c>
      <c r="J64" s="965">
        <v>1067</v>
      </c>
      <c r="K64" s="966"/>
      <c r="L64" s="967"/>
      <c r="M64" s="965"/>
      <c r="N64" s="965"/>
      <c r="O64" s="965"/>
      <c r="P64" s="965"/>
      <c r="Q64" s="968"/>
      <c r="R64" s="965"/>
      <c r="S64" s="965">
        <v>4</v>
      </c>
      <c r="T64" s="445"/>
      <c r="U64" s="965"/>
      <c r="V64" s="965"/>
      <c r="W64" s="965"/>
      <c r="X64" s="965"/>
      <c r="Y64" s="965"/>
      <c r="Z64" s="965"/>
      <c r="AA64" s="965"/>
      <c r="AB64" s="965"/>
      <c r="AC64" s="965"/>
      <c r="AD64" s="965"/>
      <c r="AE64" s="965"/>
      <c r="AF64" s="965"/>
      <c r="AG64" s="965"/>
      <c r="AH64" s="965"/>
      <c r="AI64" s="965"/>
      <c r="AJ64" s="965"/>
      <c r="AK64" s="965"/>
      <c r="AL64" s="965"/>
      <c r="AM64" s="965"/>
      <c r="AN64" s="965"/>
      <c r="AO64" s="445"/>
      <c r="AP64" s="969"/>
      <c r="AQ64" s="965"/>
      <c r="AR64" s="965"/>
      <c r="AS64" s="970"/>
      <c r="AT64" s="965"/>
      <c r="AU64" s="965"/>
      <c r="AV64" s="965"/>
      <c r="AW64" s="965"/>
      <c r="AX64" s="965"/>
      <c r="AY64" s="964" t="s">
        <v>140</v>
      </c>
      <c r="AZ64" s="969" t="s">
        <v>140</v>
      </c>
      <c r="BA64" s="965"/>
      <c r="BB64" s="965"/>
      <c r="BC64" s="965"/>
      <c r="BD64" s="445"/>
      <c r="BE64" s="445"/>
      <c r="BF64" s="964"/>
      <c r="BG64" s="965">
        <v>3</v>
      </c>
      <c r="BH64" s="965"/>
      <c r="BI64" s="965"/>
      <c r="BJ64" s="965">
        <v>2</v>
      </c>
      <c r="BK64" s="965"/>
      <c r="BL64" s="965"/>
      <c r="BM64" s="965"/>
      <c r="BN64" s="965"/>
      <c r="BO64" s="965"/>
      <c r="BP64" s="964"/>
      <c r="BQ64" s="971"/>
      <c r="BR64" s="970"/>
      <c r="BS64" s="964"/>
      <c r="BT64" s="420"/>
      <c r="BU64" s="420"/>
      <c r="BV64" s="422"/>
      <c r="BW64" s="420"/>
      <c r="BX64" s="445"/>
      <c r="BY64" s="445"/>
      <c r="BZ64" s="445"/>
      <c r="CA64" s="445"/>
      <c r="CB64" s="445"/>
      <c r="CC64" s="702"/>
      <c r="CD64" s="445"/>
      <c r="CE64" s="972" t="str">
        <f>IFERROR(WWWW[[#This Row],['#_Water sources passed]]/WWWW[[#This Row],['#_Water sources tested for fecal coliform ]],"no test")</f>
        <v>no test</v>
      </c>
      <c r="CF64" s="970" t="str">
        <f>IFERROR(WWWW[[#This Row],['#_Household passed]]/WWWW[[#This Row],['#_Household water samples tested for fecal coliform]],"no test")</f>
        <v>no test</v>
      </c>
      <c r="CG64" s="971" t="str">
        <f>IF(AND(WWWW[[#This Row],[% of water sources passed]]="no test",WWWW[[#This Row],[% Household passed]]="no test"),"No Test","Tested")</f>
        <v>No Test</v>
      </c>
      <c r="CH64" s="971">
        <f>WWWW[[#This Row],['#_Constructed/existing protected hand dug well]]-WWWW[[#This Row],['#_Non-functional protected hand dug well]]</f>
        <v>0</v>
      </c>
      <c r="CI64" s="971">
        <f>(WWWW[[#This Row],['#_Constructed/Existing tube wells/boreholes/handpumps_WASH_agency]]+WWWW[[#This Row],['#_Non-Cluster partner water tube-wells/boreholes/handpumps]])-WWWW[[#This Row],['#_Non-functional tube wells/boreholes/handpumps]]</f>
        <v>0</v>
      </c>
      <c r="CJ64" s="971">
        <f>WWWW[[#This Row],['#_Constructed/Existingwater storage tank with gravity fed reticulation system]]-WWWW[[#This Row],['#_Non-functional storage tank gravity fed reticulation system]]</f>
        <v>0</v>
      </c>
      <c r="CK64" s="971">
        <f>(WWWW[[#This Row],['#_Water_Liters_supplied_by_Water boating or water trucking]]/90)/15</f>
        <v>0</v>
      </c>
      <c r="CL64" s="971">
        <f>WWWW[[#This Row],['#_Water_Liters_from_Constructed/Existing water distribution system from river or natural spring]]/90/15</f>
        <v>0</v>
      </c>
      <c r="CM64" s="421">
        <f>IF(WWWW[[#This Row],['#_of water points in TLS/CFS]]*500&gt;WWWW[[#This Row],[Total PoP ]],WWWW[[#This Row],[Total PoP ]],WWWW[[#This Row],['#_of water points in TLS/CFS]]*500)</f>
        <v>0</v>
      </c>
      <c r="CN64" s="421">
        <f>IF(WWWW[[#This Row],['#_of water points in THF]]*500&gt;WWWW[[#This Row],[Total PoP ]],WWWW[[#This Row],[Total PoP ]],WWWW[[#This Row],['#_of water points in THF]]*500)</f>
        <v>0</v>
      </c>
      <c r="CO64" s="421"/>
      <c r="CP6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6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64" s="970">
        <f>IF(WWWW[[#This Row],[Location Type 1]]="Village",WWWW[[#This Row],[Access to safe drinking water for Village]],WWWW[[#This Row],[Access to safe drinking water for Camp]])</f>
        <v>0</v>
      </c>
      <c r="CS64" s="968">
        <f>WWWW[[#This Row],[%Equitable and continuous access to sufficient quantity of safe drinking water]]*WWWW[[#This Row],[Total PoP ]]</f>
        <v>0</v>
      </c>
      <c r="CT64" s="970">
        <f>IF((WWWW[[#This Row],['#_Constructed/Existing protected/fenced ponds]]*250)/WWWW[[#This Row],[Total PoP ]]&gt;1,1,(WWWW[[#This Row],['#_Constructed/Existing protected/fenced ponds]]*250)/WWWW[[#This Row],[Total PoP ]])</f>
        <v>0</v>
      </c>
      <c r="CU64" s="968">
        <f>WWWW[[#This Row],[% Access to unimproved water points]]*WWWW[[#This Row],[Total PoP ]]</f>
        <v>0</v>
      </c>
      <c r="CV6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6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64" s="968">
        <f>WWWW[[#This Row],[HRP1]]/500</f>
        <v>0</v>
      </c>
      <c r="CY64" s="973">
        <f>1-WWWW[[#This Row],[% Equitable and continuous access to sufficient quantity of domestic water]]</f>
        <v>1</v>
      </c>
      <c r="CZ64" s="968">
        <f>WWWW[[#This Row],[%equitable and continuous access to sufficient quantity of safe drinking and domestic water''s GAP]]*WWWW[[#This Row],[Total PoP ]]</f>
        <v>1067</v>
      </c>
      <c r="DA64" s="971">
        <f>IF(WWWW[[#This Row],[Total required water points]]-WWWW[[#This Row],['#Water points coverage]]&lt;0,0,WWWW[[#This Row],[Total required water points]]-WWWW[[#This Row],['#Water points coverage]])</f>
        <v>2</v>
      </c>
      <c r="DB64" s="971">
        <f>ROUND(IF(WWWW[[#This Row],[Total PoP ]]&lt;500,1,WWWW[[#This Row],[Total PoP ]]/500),0)</f>
        <v>2</v>
      </c>
      <c r="DC64" s="971">
        <f>(WWWW[[#This Row],['#_Constructed latrines_by_WASHAgencies]]+WWWW[[#This Row],['#_Non Cluster partner latrines]])-WWWW[[#This Row],['#_Non-functional latrines]]</f>
        <v>0</v>
      </c>
      <c r="DD64" s="619">
        <f>WWWW[[#This Row],[HRP2]]/WWWW[[#This Row],[Total PoP ]]</f>
        <v>0</v>
      </c>
      <c r="DE6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6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4" s="421">
        <f>IF(WWWW[[#This Row],['# of functional latrines in THF supported by WASH partners during the reporting period2]]="",0,WWWW[[#This Row],['# of functional latrines in THF supported by WASH partners during the reporting period2]]*50)</f>
        <v>0</v>
      </c>
      <c r="DI64" s="971">
        <f>ROUND(IF(WWWW[[#This Row],[Location Type 1]]="camp",WWWW[[#This Row],[Total PoP ]]/20,IF(WWWW[[#This Row],[Location Type 1]]="Temporary Location",WWWW[[#This Row],[Total PoP ]]/50,(WWWW[[#This Row],[Total PoP ]]/6))),0)</f>
        <v>53</v>
      </c>
      <c r="DJ64" s="971">
        <f>IF(WWWW[[#This Row],[Total required Latrines]]-(WWWW[[#This Row],['#_Constructed latrines_by_WASHAgencies]]+WWWW[[#This Row],['#_Non Cluster partner latrines]])&lt;0,0,WWWW[[#This Row],[Total required Latrines]]-(WWWW[[#This Row],['#_Constructed latrines_by_WASHAgencies]]+WWWW[[#This Row],['#_Non Cluster partner latrines]]))</f>
        <v>53</v>
      </c>
      <c r="DK64" s="973">
        <f>1-WWWW[[#This Row],[% people access to functioning Latrine]]</f>
        <v>1</v>
      </c>
      <c r="DL64" s="972">
        <f>IF(OR(WWWW[[#This Row],['#_Non-functional latrines]]="",WWWW[[#This Row],['#_Non-functional latrines]]=0),0,WWWW[[#This Row],['#_Non-functional latrines]]/(WWWW[[#This Row],['#_Constructed latrines_by_WASHAgencies]]+WWWW[[#This Row],['#_Non Cluster partner latrines]]))</f>
        <v>0</v>
      </c>
      <c r="DM64" s="968">
        <f>IF(500*(WWWW[[#This Row],['#_male hygiene promoters]]+WWWW[[#This Row],['#_female hygiene promoters]])&gt;WWWW[[#This Row],[Total PoP ]],WWWW[[#This Row],[Total PoP ]],500*(WWWW[[#This Row],['#_male hygiene promoters]]+WWWW[[#This Row],['#_female hygiene promoters]]))</f>
        <v>0</v>
      </c>
      <c r="DN6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4" s="971">
        <f>IF(WWWW[[#This Row],['# People with access to soap]]&gt;WWWW[[#This Row],['# People with access to Sanity Pads]],WWWW[[#This Row],['# People with access to soap]],WWWW[[#This Row],['# People with access to Sanity Pads]])</f>
        <v>0</v>
      </c>
      <c r="DQ6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64" s="973">
        <f>IF(WWWW[[#This Row],[HRP3]]/WWWW[[#This Row],[Total PoP ]]&gt;1,1,WWWW[[#This Row],[HRP3]]/WWWW[[#This Row],[Total PoP ]])</f>
        <v>0</v>
      </c>
      <c r="DS64" s="972">
        <f>1-WWWW[[#This Row],[Hygiene Coverage%]]</f>
        <v>1</v>
      </c>
      <c r="DT64" s="970">
        <f>WWWW[[#This Row],['# people reached by regular dedicated hygiene promotion_5]]/WWWW[[#This Row],[Total PoP ]]</f>
        <v>0</v>
      </c>
      <c r="DU6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4" s="971">
        <f>WWWW[[#This Row],['#_Constructed/Existing hand washing stations]]-WWWW[[#This Row],['#_Non-Functional_hand_washing_stations]]</f>
        <v>3</v>
      </c>
      <c r="DX64" s="968">
        <f>IF(WWWW[[#This Row],['# Functional hand washing stations during reporting period]]*20&gt;WWWW[[#This Row],[Total HH]],WWWW[[#This Row],[Total HH]],WWWW[[#This Row],['# Functional hand washing stations during reporting period]]*20)</f>
        <v>60</v>
      </c>
      <c r="DY64" s="968">
        <f>IF(WWWW[[#This Row],[Is sufficient soap available for TLS? (Yes/No)]]="yes",WWWW[[#This Row],['#_Constructed/Existing hand washing stations at TLS/CFS/THF]],0)</f>
        <v>0</v>
      </c>
      <c r="DZ64" s="425">
        <f>IF(WWWW[[#This Row],['# Functional hand washing stations during reporting period]]*100&gt;WWWW[[#This Row],[Total PoP ]],WWWW[[#This Row],[Total PoP ]],WWWW[[#This Row],['# Functional hand washing stations during reporting period]]*100)</f>
        <v>300</v>
      </c>
      <c r="EA64" s="425" t="str">
        <f>IF(OR(WWWW[[#This Row],['#_students at TLS_CFS]]="",WWWW[[#This Row],['#_students at TLS_CFS]]=0),"No","Yes")</f>
        <v>No</v>
      </c>
      <c r="EB6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4" s="570">
        <f>WWWW[[#This Row],[%_of_affected_people_surveyed_who_report_feeling_satistfied_with_the_latrine_design_and_sanitation_service]]*WWWW[[#This Row],[Total PoP ]]</f>
        <v>0</v>
      </c>
      <c r="ED64" s="570">
        <f>WWWW[[#This Row],[%_of_affected_people_surveyed_who_report_feeling_satistfied_with_the_water_point_design_and_water_service]]*WWWW[[#This Row],[Total PoP ]]</f>
        <v>0</v>
      </c>
      <c r="EE64" s="570">
        <f>WWWW[[#This Row],[%_of_complaints_received_that_result_in_timely_corrective_action_and_feedback_to_the_community]]*WWWW[[#This Row],[Total PoP ]]</f>
        <v>0</v>
      </c>
      <c r="EF6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4" s="964">
        <f>VLOOKUP(WWWW[[#This Row],[Site Name]],SiteDB6[[Site Name]:[CCCM Management]],6,FALSE)</f>
        <v>0</v>
      </c>
      <c r="EJ64" s="964" t="str">
        <f>VLOOKUP(WWWW[[#This Row],[Site Name]],SiteDB6[[Site Name]:[CCCM Focal Agency]],7,FALSE)</f>
        <v>uncovered</v>
      </c>
      <c r="EK64" s="964" t="str">
        <f>VLOOKUP(WWWW[[#This Row],[Site Name]],SiteDB6[[Site Name]:[Location Type 1]],9,FALSE)</f>
        <v>Camp</v>
      </c>
      <c r="EL64" s="964" t="str">
        <f>VLOOKUP(WWWW[[#This Row],[Site Name]],SiteDB6[[Site Name]:[Type of Accommodation]],10,FALSE)</f>
        <v>IDPs in host</v>
      </c>
      <c r="EM64" s="964" t="str">
        <f>VLOOKUP(WWWW[[#This Row],[Site Name]],SiteDB6[[Site Name]:[Ethnic or GCA/NGCA]],11,FALSE)</f>
        <v>GCA</v>
      </c>
      <c r="EN64" s="964">
        <f>VLOOKUP(WWWW[[#This Row],[Site Name]],SiteDB6[[Site Name]:[Lat]],12,FALSE)</f>
        <v>24.251232000000002</v>
      </c>
      <c r="EO64" s="964">
        <f>VLOOKUP(WWWW[[#This Row],[Site Name]],SiteDB6[[Site Name]:[Long]],13,FALSE)</f>
        <v>97.348405</v>
      </c>
      <c r="EP64" s="964" t="str">
        <f>VLOOKUP(WWWW[[#This Row],[Site Name]],SiteDB6[[Site Name]:[Pcode]],3,FALSE)</f>
        <v>MMR001CMP197</v>
      </c>
      <c r="EQ64" s="969" t="str">
        <f t="shared" si="1"/>
        <v>Notcovered</v>
      </c>
      <c r="ER64" s="969"/>
      <c r="ES64" s="964">
        <f>VLOOKUP(WWWW[[#This Row],[Site Name]],SiteDB6[[Site Name]:[Pop
(Kachin/Shan-CCCM as of March 2023)]],16,FALSE)</f>
        <v>112</v>
      </c>
      <c r="ET64" s="964">
        <f>VLOOKUP(WWWW[[#This Row],[Site Name]],SiteDB6[[Site Name]:[Pop
(Kachin/Shan-CCCM as of March 2023)]],17,FALSE)</f>
        <v>566</v>
      </c>
    </row>
    <row r="65" spans="1:150" hidden="1">
      <c r="A65" s="962" t="s">
        <v>2977</v>
      </c>
      <c r="B65" s="962" t="s">
        <v>36</v>
      </c>
      <c r="C65" s="963" t="s">
        <v>36</v>
      </c>
      <c r="D65" s="963" t="s">
        <v>241</v>
      </c>
      <c r="E65" s="963" t="s">
        <v>37</v>
      </c>
      <c r="F65" s="963" t="s">
        <v>159</v>
      </c>
      <c r="G65" s="964" t="str">
        <f>VLOOKUP(WWWW[[#This Row],[Site Name]],SiteDB6[[Site Name]:[Location Type]],8,FALSE)</f>
        <v>Camp</v>
      </c>
      <c r="H65" s="963" t="s">
        <v>2233</v>
      </c>
      <c r="I65" s="965">
        <v>72</v>
      </c>
      <c r="J65" s="965">
        <v>404</v>
      </c>
      <c r="K65" s="966">
        <v>44973</v>
      </c>
      <c r="L65" s="967">
        <v>45337</v>
      </c>
      <c r="M65" s="965"/>
      <c r="N65" s="965">
        <v>2</v>
      </c>
      <c r="O65" s="965"/>
      <c r="P65" s="965"/>
      <c r="Q65" s="968" t="s">
        <v>41</v>
      </c>
      <c r="R65" s="965">
        <v>2</v>
      </c>
      <c r="S65" s="965">
        <v>2</v>
      </c>
      <c r="T65" s="445"/>
      <c r="U65" s="965"/>
      <c r="V65" s="965"/>
      <c r="W65" s="965">
        <v>2</v>
      </c>
      <c r="X65" s="965"/>
      <c r="Y65" s="965"/>
      <c r="Z65" s="965"/>
      <c r="AA65" s="965"/>
      <c r="AB65" s="965"/>
      <c r="AC65" s="965"/>
      <c r="AD65" s="965"/>
      <c r="AE65" s="965"/>
      <c r="AF65" s="965"/>
      <c r="AG65" s="965"/>
      <c r="AH65" s="965"/>
      <c r="AI65" s="965"/>
      <c r="AJ65" s="965"/>
      <c r="AK65" s="965"/>
      <c r="AL65" s="965"/>
      <c r="AM65" s="965">
        <v>3</v>
      </c>
      <c r="AN65" s="965"/>
      <c r="AO65" s="445"/>
      <c r="AP65" s="969"/>
      <c r="AQ65" s="965">
        <v>6</v>
      </c>
      <c r="AR65" s="965"/>
      <c r="AS65" s="970"/>
      <c r="AT65" s="965"/>
      <c r="AU65" s="965"/>
      <c r="AV65" s="965"/>
      <c r="AW65" s="965"/>
      <c r="AX65" s="965"/>
      <c r="AY65" s="964" t="s">
        <v>41</v>
      </c>
      <c r="AZ65" s="969" t="s">
        <v>136</v>
      </c>
      <c r="BA65" s="965"/>
      <c r="BB65" s="965"/>
      <c r="BC65" s="965"/>
      <c r="BD65" s="445"/>
      <c r="BE65" s="445"/>
      <c r="BF65" s="964"/>
      <c r="BG65" s="965">
        <v>3</v>
      </c>
      <c r="BH65" s="965"/>
      <c r="BI65" s="965"/>
      <c r="BJ65" s="965">
        <v>2</v>
      </c>
      <c r="BK65" s="965"/>
      <c r="BL65" s="965"/>
      <c r="BM65" s="965">
        <v>1</v>
      </c>
      <c r="BN65" s="965"/>
      <c r="BO65" s="965"/>
      <c r="BP65" s="964" t="s">
        <v>41</v>
      </c>
      <c r="BQ65" s="971"/>
      <c r="BR65" s="970"/>
      <c r="BS65" s="964"/>
      <c r="BT65" s="420"/>
      <c r="BU65" s="420"/>
      <c r="BV65" s="422"/>
      <c r="BW65" s="420"/>
      <c r="BX65" s="445"/>
      <c r="BY65" s="445"/>
      <c r="BZ65" s="445"/>
      <c r="CA65" s="445"/>
      <c r="CB65" s="445"/>
      <c r="CC65" s="702"/>
      <c r="CD65" s="445"/>
      <c r="CE65" s="972" t="str">
        <f>IFERROR(WWWW[[#This Row],['#_Water sources passed]]/WWWW[[#This Row],['#_Water sources tested for fecal coliform ]],"no test")</f>
        <v>no test</v>
      </c>
      <c r="CF65" s="970" t="str">
        <f>IFERROR(WWWW[[#This Row],['#_Household passed]]/WWWW[[#This Row],['#_Household water samples tested for fecal coliform]],"no test")</f>
        <v>no test</v>
      </c>
      <c r="CG65" s="971" t="str">
        <f>IF(AND(WWWW[[#This Row],[% of water sources passed]]="no test",WWWW[[#This Row],[% Household passed]]="no test"),"No Test","Tested")</f>
        <v>No Test</v>
      </c>
      <c r="CH65" s="971">
        <f>WWWW[[#This Row],['#_Constructed/existing protected hand dug well]]-WWWW[[#This Row],['#_Non-functional protected hand dug well]]</f>
        <v>0</v>
      </c>
      <c r="CI65" s="971">
        <f>(WWWW[[#This Row],['#_Constructed/Existing tube wells/boreholes/handpumps_WASH_agency]]+WWWW[[#This Row],['#_Non-Cluster partner water tube-wells/boreholes/handpumps]])-WWWW[[#This Row],['#_Non-functional tube wells/boreholes/handpumps]]</f>
        <v>2</v>
      </c>
      <c r="CJ65" s="971">
        <f>WWWW[[#This Row],['#_Constructed/Existingwater storage tank with gravity fed reticulation system]]-WWWW[[#This Row],['#_Non-functional storage tank gravity fed reticulation system]]</f>
        <v>0</v>
      </c>
      <c r="CK65" s="971">
        <f>(WWWW[[#This Row],['#_Water_Liters_supplied_by_Water boating or water trucking]]/90)/15</f>
        <v>0</v>
      </c>
      <c r="CL65" s="971">
        <f>WWWW[[#This Row],['#_Water_Liters_from_Constructed/Existing water distribution system from river or natural spring]]/90/15</f>
        <v>0</v>
      </c>
      <c r="CM65" s="421">
        <f>IF(WWWW[[#This Row],['#_of water points in TLS/CFS]]*500&gt;WWWW[[#This Row],[Total PoP ]],WWWW[[#This Row],[Total PoP ]],WWWW[[#This Row],['#_of water points in TLS/CFS]]*500)</f>
        <v>0</v>
      </c>
      <c r="CN65" s="421">
        <f>IF(WWWW[[#This Row],['#_of water points in THF]]*500&gt;WWWW[[#This Row],[Total PoP ]],WWWW[[#This Row],[Total PoP ]],WWWW[[#This Row],['#_of water points in THF]]*500)</f>
        <v>0</v>
      </c>
      <c r="CO65" s="421"/>
      <c r="CP6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5" s="970">
        <f>IF(WWWW[[#This Row],[Location Type 1]]="Village",WWWW[[#This Row],[Access to safe drinking water for Village]],WWWW[[#This Row],[Access to safe drinking water for Camp]])</f>
        <v>1</v>
      </c>
      <c r="CS65" s="968">
        <f>WWWW[[#This Row],[%Equitable and continuous access to sufficient quantity of safe drinking water]]*WWWW[[#This Row],[Total PoP ]]</f>
        <v>404</v>
      </c>
      <c r="CT65" s="970">
        <f>IF((WWWW[[#This Row],['#_Constructed/Existing protected/fenced ponds]]*250)/WWWW[[#This Row],[Total PoP ]]&gt;1,1,(WWWW[[#This Row],['#_Constructed/Existing protected/fenced ponds]]*250)/WWWW[[#This Row],[Total PoP ]])</f>
        <v>0</v>
      </c>
      <c r="CU65" s="968">
        <f>WWWW[[#This Row],[% Access to unimproved water points]]*WWWW[[#This Row],[Total PoP ]]</f>
        <v>0</v>
      </c>
      <c r="CV6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65" s="968">
        <f>WWWW[[#This Row],[HRP1]]/500</f>
        <v>0.80800000000000005</v>
      </c>
      <c r="CY65" s="973">
        <f>1-WWWW[[#This Row],[% Equitable and continuous access to sufficient quantity of domestic water]]</f>
        <v>0</v>
      </c>
      <c r="CZ65" s="968">
        <f>WWWW[[#This Row],[%equitable and continuous access to sufficient quantity of safe drinking and domestic water''s GAP]]*WWWW[[#This Row],[Total PoP ]]</f>
        <v>0</v>
      </c>
      <c r="DA65" s="971">
        <f>IF(WWWW[[#This Row],[Total required water points]]-WWWW[[#This Row],['#Water points coverage]]&lt;0,0,WWWW[[#This Row],[Total required water points]]-WWWW[[#This Row],['#Water points coverage]])</f>
        <v>0.19199999999999995</v>
      </c>
      <c r="DB65" s="971">
        <f>ROUND(IF(WWWW[[#This Row],[Total PoP ]]&lt;500,1,WWWW[[#This Row],[Total PoP ]]/500),0)</f>
        <v>1</v>
      </c>
      <c r="DC65" s="971">
        <f>(WWWW[[#This Row],['#_Constructed latrines_by_WASHAgencies]]+WWWW[[#This Row],['#_Non Cluster partner latrines]])-WWWW[[#This Row],['#_Non-functional latrines]]</f>
        <v>6</v>
      </c>
      <c r="DD65" s="619">
        <f>WWWW[[#This Row],[HRP2]]/WWWW[[#This Row],[Total PoP ]]</f>
        <v>0.29702970297029702</v>
      </c>
      <c r="DE6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6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5" s="421">
        <f>IF(WWWW[[#This Row],['# of functional latrines in THF supported by WASH partners during the reporting period2]]="",0,WWWW[[#This Row],['# of functional latrines in THF supported by WASH partners during the reporting period2]]*50)</f>
        <v>0</v>
      </c>
      <c r="DI65" s="971">
        <f>ROUND(IF(WWWW[[#This Row],[Location Type 1]]="camp",WWWW[[#This Row],[Total PoP ]]/20,IF(WWWW[[#This Row],[Location Type 1]]="Temporary Location",WWWW[[#This Row],[Total PoP ]]/50,(WWWW[[#This Row],[Total PoP ]]/6))),0)</f>
        <v>20</v>
      </c>
      <c r="DJ65" s="971">
        <f>IF(WWWW[[#This Row],[Total required Latrines]]-(WWWW[[#This Row],['#_Constructed latrines_by_WASHAgencies]]+WWWW[[#This Row],['#_Non Cluster partner latrines]])&lt;0,0,WWWW[[#This Row],[Total required Latrines]]-(WWWW[[#This Row],['#_Constructed latrines_by_WASHAgencies]]+WWWW[[#This Row],['#_Non Cluster partner latrines]]))</f>
        <v>14</v>
      </c>
      <c r="DK65" s="973">
        <f>1-WWWW[[#This Row],[% people access to functioning Latrine]]</f>
        <v>0.70297029702970293</v>
      </c>
      <c r="DL65" s="972">
        <f>IF(OR(WWWW[[#This Row],['#_Non-functional latrines]]="",WWWW[[#This Row],['#_Non-functional latrines]]=0),0,WWWW[[#This Row],['#_Non-functional latrines]]/(WWWW[[#This Row],['#_Constructed latrines_by_WASHAgencies]]+WWWW[[#This Row],['#_Non Cluster partner latrines]]))</f>
        <v>0</v>
      </c>
      <c r="DM65" s="968">
        <f>IF(500*(WWWW[[#This Row],['#_male hygiene promoters]]+WWWW[[#This Row],['#_female hygiene promoters]])&gt;WWWW[[#This Row],[Total PoP ]],WWWW[[#This Row],[Total PoP ]],500*(WWWW[[#This Row],['#_male hygiene promoters]]+WWWW[[#This Row],['#_female hygiene promoters]]))</f>
        <v>404</v>
      </c>
      <c r="DN6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5" s="971">
        <f>IF(WWWW[[#This Row],['# People with access to soap]]&gt;WWWW[[#This Row],['# People with access to Sanity Pads]],WWWW[[#This Row],['# People with access to soap]],WWWW[[#This Row],['# People with access to Sanity Pads]])</f>
        <v>0</v>
      </c>
      <c r="DQ65" s="971">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65" s="973">
        <f>IF(WWWW[[#This Row],[HRP3]]/WWWW[[#This Row],[Total PoP ]]&gt;1,1,WWWW[[#This Row],[HRP3]]/WWWW[[#This Row],[Total PoP ]])</f>
        <v>1</v>
      </c>
      <c r="DS65" s="972">
        <f>1-WWWW[[#This Row],[Hygiene Coverage%]]</f>
        <v>0</v>
      </c>
      <c r="DT65" s="970">
        <f>WWWW[[#This Row],['# people reached by regular dedicated hygiene promotion_5]]/WWWW[[#This Row],[Total PoP ]]</f>
        <v>1</v>
      </c>
      <c r="DU6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5" s="971">
        <f>WWWW[[#This Row],['#_Constructed/Existing hand washing stations]]-WWWW[[#This Row],['#_Non-Functional_hand_washing_stations]]</f>
        <v>3</v>
      </c>
      <c r="DX65" s="968">
        <f>IF(WWWW[[#This Row],['# Functional hand washing stations during reporting period]]*20&gt;WWWW[[#This Row],[Total HH]],WWWW[[#This Row],[Total HH]],WWWW[[#This Row],['# Functional hand washing stations during reporting period]]*20)</f>
        <v>60</v>
      </c>
      <c r="DY65" s="968">
        <f>IF(WWWW[[#This Row],[Is sufficient soap available for TLS? (Yes/No)]]="yes",WWWW[[#This Row],['#_Constructed/Existing hand washing stations at TLS/CFS/THF]],0)</f>
        <v>3</v>
      </c>
      <c r="DZ65" s="425">
        <f>IF(WWWW[[#This Row],['# Functional hand washing stations during reporting period]]*100&gt;WWWW[[#This Row],[Total PoP ]],WWWW[[#This Row],[Total PoP ]],WWWW[[#This Row],['# Functional hand washing stations during reporting period]]*100)</f>
        <v>300</v>
      </c>
      <c r="EA65" s="425" t="str">
        <f>IF(OR(WWWW[[#This Row],['#_students at TLS_CFS]]="",WWWW[[#This Row],['#_students at TLS_CFS]]=0),"No","Yes")</f>
        <v>No</v>
      </c>
      <c r="EB6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5" s="570">
        <f>WWWW[[#This Row],[%_of_affected_people_surveyed_who_report_feeling_satistfied_with_the_latrine_design_and_sanitation_service]]*WWWW[[#This Row],[Total PoP ]]</f>
        <v>0</v>
      </c>
      <c r="ED65" s="570">
        <f>WWWW[[#This Row],[%_of_affected_people_surveyed_who_report_feeling_satistfied_with_the_water_point_design_and_water_service]]*WWWW[[#This Row],[Total PoP ]]</f>
        <v>0</v>
      </c>
      <c r="EE65" s="570">
        <f>WWWW[[#This Row],[%_of_complaints_received_that_result_in_timely_corrective_action_and_feedback_to_the_community]]*WWWW[[#This Row],[Total PoP ]]</f>
        <v>0</v>
      </c>
      <c r="EF6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5" s="964">
        <f>VLOOKUP(WWWW[[#This Row],[Site Name]],SiteDB6[[Site Name]:[CCCM Management]],6,FALSE)</f>
        <v>0</v>
      </c>
      <c r="EJ65" s="964" t="str">
        <f>VLOOKUP(WWWW[[#This Row],[Site Name]],SiteDB6[[Site Name]:[CCCM Focal Agency]],7,FALSE)</f>
        <v>uncovered</v>
      </c>
      <c r="EK65" s="964" t="str">
        <f>VLOOKUP(WWWW[[#This Row],[Site Name]],SiteDB6[[Site Name]:[Location Type 1]],9,FALSE)</f>
        <v>Camp</v>
      </c>
      <c r="EL65" s="964" t="str">
        <f>VLOOKUP(WWWW[[#This Row],[Site Name]],SiteDB6[[Site Name]:[Type of Accommodation]],10,FALSE)</f>
        <v>Camp</v>
      </c>
      <c r="EM65" s="964" t="str">
        <f>VLOOKUP(WWWW[[#This Row],[Site Name]],SiteDB6[[Site Name]:[Ethnic or GCA/NGCA]],11,FALSE)</f>
        <v>GCA</v>
      </c>
      <c r="EN65" s="964">
        <f>VLOOKUP(WWWW[[#This Row],[Site Name]],SiteDB6[[Site Name]:[Lat]],12,FALSE)</f>
        <v>25.387892000000001</v>
      </c>
      <c r="EO65" s="964">
        <f>VLOOKUP(WWWW[[#This Row],[Site Name]],SiteDB6[[Site Name]:[Long]],13,FALSE)</f>
        <v>97.325181999999998</v>
      </c>
      <c r="EP65" s="964" t="str">
        <f>VLOOKUP(WWWW[[#This Row],[Site Name]],SiteDB6[[Site Name]:[Pcode]],3,FALSE)</f>
        <v>MMR001CMP276</v>
      </c>
      <c r="EQ65" s="969" t="str">
        <f t="shared" si="1"/>
        <v>Covered</v>
      </c>
      <c r="ER65" s="969" t="s">
        <v>3147</v>
      </c>
      <c r="ES65" s="964">
        <f>VLOOKUP(WWWW[[#This Row],[Site Name]],SiteDB6[[Site Name]:[Pop
(Kachin/Shan-CCCM as of March 2023)]],16,FALSE)</f>
        <v>25</v>
      </c>
      <c r="ET65" s="964">
        <f>VLOOKUP(WWWW[[#This Row],[Site Name]],SiteDB6[[Site Name]:[Pop
(Kachin/Shan-CCCM as of March 2023)]],17,FALSE)</f>
        <v>127</v>
      </c>
    </row>
    <row r="66" spans="1:150" hidden="1">
      <c r="A66" s="962" t="s">
        <v>2977</v>
      </c>
      <c r="B66" s="962" t="s">
        <v>3164</v>
      </c>
      <c r="C66" s="962" t="s">
        <v>3164</v>
      </c>
      <c r="D66" s="1014" t="s">
        <v>2648</v>
      </c>
      <c r="E66" s="963" t="s">
        <v>37</v>
      </c>
      <c r="F66" s="963" t="s">
        <v>38</v>
      </c>
      <c r="G66" s="964" t="str">
        <f>VLOOKUP(WWWW[[#This Row],[Site Name]],SiteDB6[[Site Name]:[Location Type]],8,FALSE)</f>
        <v>Camp</v>
      </c>
      <c r="H66" s="963" t="s">
        <v>301</v>
      </c>
      <c r="I66" s="965">
        <v>454</v>
      </c>
      <c r="J66" s="965">
        <v>2354</v>
      </c>
      <c r="K66" s="966" t="s">
        <v>2963</v>
      </c>
      <c r="L66" s="967" t="s">
        <v>2973</v>
      </c>
      <c r="M66" s="965"/>
      <c r="N66" s="965">
        <v>3</v>
      </c>
      <c r="O66" s="965"/>
      <c r="P66" s="965"/>
      <c r="Q66" s="968" t="s">
        <v>41</v>
      </c>
      <c r="R66" s="965">
        <v>4</v>
      </c>
      <c r="S66" s="965">
        <v>3</v>
      </c>
      <c r="T66" s="445">
        <v>2</v>
      </c>
      <c r="U66" s="965"/>
      <c r="V66" s="965"/>
      <c r="W66" s="965"/>
      <c r="X66" s="965">
        <v>1</v>
      </c>
      <c r="Y66" s="965"/>
      <c r="Z66" s="965"/>
      <c r="AA66" s="965">
        <v>1</v>
      </c>
      <c r="AB66" s="965"/>
      <c r="AC66" s="965"/>
      <c r="AD66" s="965"/>
      <c r="AE66" s="965"/>
      <c r="AF66" s="965"/>
      <c r="AG66" s="965"/>
      <c r="AH66" s="965"/>
      <c r="AI66" s="965"/>
      <c r="AJ66" s="965"/>
      <c r="AK66" s="965"/>
      <c r="AL66" s="965"/>
      <c r="AM66" s="965"/>
      <c r="AN66" s="965"/>
      <c r="AO66" s="445"/>
      <c r="AP66" s="969"/>
      <c r="AQ66" s="965">
        <v>147</v>
      </c>
      <c r="AR66" s="965"/>
      <c r="AS66" s="970"/>
      <c r="AT66" s="965"/>
      <c r="AU66" s="965"/>
      <c r="AV66" s="965"/>
      <c r="AW66" s="965"/>
      <c r="AX66" s="965"/>
      <c r="AY66" s="964" t="s">
        <v>140</v>
      </c>
      <c r="AZ66" s="969" t="s">
        <v>140</v>
      </c>
      <c r="BA66" s="965"/>
      <c r="BB66" s="965"/>
      <c r="BC66" s="965"/>
      <c r="BD66" s="445"/>
      <c r="BE66" s="445"/>
      <c r="BF66" s="964"/>
      <c r="BG66" s="965">
        <v>1</v>
      </c>
      <c r="BH66" s="965"/>
      <c r="BI66" s="965"/>
      <c r="BJ66" s="965">
        <v>3</v>
      </c>
      <c r="BK66" s="965"/>
      <c r="BL66" s="965"/>
      <c r="BM66" s="965">
        <v>1</v>
      </c>
      <c r="BN66" s="965"/>
      <c r="BO66" s="965"/>
      <c r="BP66" s="964" t="s">
        <v>41</v>
      </c>
      <c r="BQ66" s="971"/>
      <c r="BR66" s="970"/>
      <c r="BS66" s="964"/>
      <c r="BT66" s="420"/>
      <c r="BU66" s="420"/>
      <c r="BV66" s="422"/>
      <c r="BW66" s="420"/>
      <c r="BX66" s="445"/>
      <c r="BY66" s="445"/>
      <c r="BZ66" s="445"/>
      <c r="CA66" s="445"/>
      <c r="CB66" s="445"/>
      <c r="CC66" s="702"/>
      <c r="CD66" s="445"/>
      <c r="CE66" s="972" t="str">
        <f>IFERROR(WWWW[[#This Row],['#_Water sources passed]]/WWWW[[#This Row],['#_Water sources tested for fecal coliform ]],"no test")</f>
        <v>no test</v>
      </c>
      <c r="CF66" s="970" t="str">
        <f>IFERROR(WWWW[[#This Row],['#_Household passed]]/WWWW[[#This Row],['#_Household water samples tested for fecal coliform]],"no test")</f>
        <v>no test</v>
      </c>
      <c r="CG66" s="971" t="str">
        <f>IF(AND(WWWW[[#This Row],[% of water sources passed]]="no test",WWWW[[#This Row],[% Household passed]]="no test"),"No Test","Tested")</f>
        <v>No Test</v>
      </c>
      <c r="CH66" s="971">
        <f>WWWW[[#This Row],['#_Constructed/existing protected hand dug well]]-WWWW[[#This Row],['#_Non-functional protected hand dug well]]</f>
        <v>2</v>
      </c>
      <c r="CI66" s="971">
        <f>(WWWW[[#This Row],['#_Constructed/Existing tube wells/boreholes/handpumps_WASH_agency]]+WWWW[[#This Row],['#_Non-Cluster partner water tube-wells/boreholes/handpumps]])-WWWW[[#This Row],['#_Non-functional tube wells/boreholes/handpumps]]</f>
        <v>1</v>
      </c>
      <c r="CJ66" s="971">
        <f>WWWW[[#This Row],['#_Constructed/Existingwater storage tank with gravity fed reticulation system]]-WWWW[[#This Row],['#_Non-functional storage tank gravity fed reticulation system]]</f>
        <v>1</v>
      </c>
      <c r="CK66" s="971">
        <f>(WWWW[[#This Row],['#_Water_Liters_supplied_by_Water boating or water trucking]]/90)/15</f>
        <v>0</v>
      </c>
      <c r="CL66" s="971">
        <f>WWWW[[#This Row],['#_Water_Liters_from_Constructed/Existing water distribution system from river or natural spring]]/90/15</f>
        <v>0</v>
      </c>
      <c r="CM66" s="421">
        <f>IF(WWWW[[#This Row],['#_of water points in TLS/CFS]]*500&gt;WWWW[[#This Row],[Total PoP ]],WWWW[[#This Row],[Total PoP ]],WWWW[[#This Row],['#_of water points in TLS/CFS]]*500)</f>
        <v>0</v>
      </c>
      <c r="CN66" s="421">
        <f>IF(WWWW[[#This Row],['#_of water points in THF]]*500&gt;WWWW[[#This Row],[Total PoP ]],WWWW[[#This Row],[Total PoP ]],WWWW[[#This Row],['#_of water points in THF]]*500)</f>
        <v>0</v>
      </c>
      <c r="CO66" s="421"/>
      <c r="CP6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0.5805720758991787</v>
      </c>
      <c r="CQ6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0.34692721608609456</v>
      </c>
      <c r="CR66" s="970">
        <f>IF(WWWW[[#This Row],[Location Type 1]]="Village",WWWW[[#This Row],[Access to safe drinking water for Village]],WWWW[[#This Row],[Access to safe drinking water for Camp]])</f>
        <v>0.5805720758991787</v>
      </c>
      <c r="CS66" s="968">
        <f>WWWW[[#This Row],[%Equitable and continuous access to sufficient quantity of safe drinking water]]*WWWW[[#This Row],[Total PoP ]]</f>
        <v>1366.6666666666667</v>
      </c>
      <c r="CT66" s="970">
        <f>IF((WWWW[[#This Row],['#_Constructed/Existing protected/fenced ponds]]*250)/WWWW[[#This Row],[Total PoP ]]&gt;1,1,(WWWW[[#This Row],['#_Constructed/Existing protected/fenced ponds]]*250)/WWWW[[#This Row],[Total PoP ]])</f>
        <v>0</v>
      </c>
      <c r="CU66" s="968">
        <f>WWWW[[#This Row],[% Access to unimproved water points]]*WWWW[[#This Row],[Total PoP ]]</f>
        <v>0</v>
      </c>
      <c r="CV6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0.5805720758991787</v>
      </c>
      <c r="CW6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1366.6666666666667</v>
      </c>
      <c r="CX66" s="968">
        <f>WWWW[[#This Row],[HRP1]]/500</f>
        <v>2.7333333333333334</v>
      </c>
      <c r="CY66" s="973">
        <f>1-WWWW[[#This Row],[% Equitable and continuous access to sufficient quantity of domestic water]]</f>
        <v>0.4194279241008213</v>
      </c>
      <c r="CZ66" s="968">
        <f>WWWW[[#This Row],[%equitable and continuous access to sufficient quantity of safe drinking and domestic water''s GAP]]*WWWW[[#This Row],[Total PoP ]]</f>
        <v>987.33333333333337</v>
      </c>
      <c r="DA66" s="971">
        <f>IF(WWWW[[#This Row],[Total required water points]]-WWWW[[#This Row],['#Water points coverage]]&lt;0,0,WWWW[[#This Row],[Total required water points]]-WWWW[[#This Row],['#Water points coverage]])</f>
        <v>2.2666666666666666</v>
      </c>
      <c r="DB66" s="971">
        <f>ROUND(IF(WWWW[[#This Row],[Total PoP ]]&lt;500,1,WWWW[[#This Row],[Total PoP ]]/500),0)</f>
        <v>5</v>
      </c>
      <c r="DC66" s="971">
        <f>(WWWW[[#This Row],['#_Constructed latrines_by_WASHAgencies]]+WWWW[[#This Row],['#_Non Cluster partner latrines]])-WWWW[[#This Row],['#_Non-functional latrines]]</f>
        <v>147</v>
      </c>
      <c r="DD66" s="619">
        <f>WWWW[[#This Row],[HRP2]]/WWWW[[#This Row],[Total PoP ]]</f>
        <v>1</v>
      </c>
      <c r="DE6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2354</v>
      </c>
      <c r="DF6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6" s="421">
        <f>IF(WWWW[[#This Row],['# of functional latrines in THF supported by WASH partners during the reporting period2]]="",0,WWWW[[#This Row],['# of functional latrines in THF supported by WASH partners during the reporting period2]]*50)</f>
        <v>0</v>
      </c>
      <c r="DI66" s="971">
        <f>ROUND(IF(WWWW[[#This Row],[Location Type 1]]="camp",WWWW[[#This Row],[Total PoP ]]/20,IF(WWWW[[#This Row],[Location Type 1]]="Temporary Location",WWWW[[#This Row],[Total PoP ]]/50,(WWWW[[#This Row],[Total PoP ]]/6))),0)</f>
        <v>118</v>
      </c>
      <c r="DJ66" s="971">
        <f>IF(WWWW[[#This Row],[Total required Latrines]]-(WWWW[[#This Row],['#_Constructed latrines_by_WASHAgencies]]+WWWW[[#This Row],['#_Non Cluster partner latrines]])&lt;0,0,WWWW[[#This Row],[Total required Latrines]]-(WWWW[[#This Row],['#_Constructed latrines_by_WASHAgencies]]+WWWW[[#This Row],['#_Non Cluster partner latrines]]))</f>
        <v>0</v>
      </c>
      <c r="DK66" s="973">
        <f>1-WWWW[[#This Row],[% people access to functioning Latrine]]</f>
        <v>0</v>
      </c>
      <c r="DL66" s="972">
        <f>IF(OR(WWWW[[#This Row],['#_Non-functional latrines]]="",WWWW[[#This Row],['#_Non-functional latrines]]=0),0,WWWW[[#This Row],['#_Non-functional latrines]]/(WWWW[[#This Row],['#_Constructed latrines_by_WASHAgencies]]+WWWW[[#This Row],['#_Non Cluster partner latrines]]))</f>
        <v>0</v>
      </c>
      <c r="DM66" s="968">
        <f>IF(500*(WWWW[[#This Row],['#_male hygiene promoters]]+WWWW[[#This Row],['#_female hygiene promoters]])&gt;WWWW[[#This Row],[Total PoP ]],WWWW[[#This Row],[Total PoP ]],500*(WWWW[[#This Row],['#_male hygiene promoters]]+WWWW[[#This Row],['#_female hygiene promoters]]))</f>
        <v>500</v>
      </c>
      <c r="DN6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6" s="971">
        <f>IF(WWWW[[#This Row],['# People with access to soap]]&gt;WWWW[[#This Row],['# People with access to Sanity Pads]],WWWW[[#This Row],['# People with access to soap]],WWWW[[#This Row],['# People with access to Sanity Pads]])</f>
        <v>0</v>
      </c>
      <c r="DQ66"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66" s="973">
        <f>IF(WWWW[[#This Row],[HRP3]]/WWWW[[#This Row],[Total PoP ]]&gt;1,1,WWWW[[#This Row],[HRP3]]/WWWW[[#This Row],[Total PoP ]])</f>
        <v>0.21240441801189464</v>
      </c>
      <c r="DS66" s="972">
        <f>1-WWWW[[#This Row],[Hygiene Coverage%]]</f>
        <v>0.78759558198810531</v>
      </c>
      <c r="DT66" s="970">
        <f>WWWW[[#This Row],['# people reached by regular dedicated hygiene promotion_5]]/WWWW[[#This Row],[Total PoP ]]</f>
        <v>0.21240441801189464</v>
      </c>
      <c r="DU6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6" s="971">
        <f>WWWW[[#This Row],['#_Constructed/Existing hand washing stations]]-WWWW[[#This Row],['#_Non-Functional_hand_washing_stations]]</f>
        <v>1</v>
      </c>
      <c r="DX66" s="968">
        <f>IF(WWWW[[#This Row],['# Functional hand washing stations during reporting period]]*20&gt;WWWW[[#This Row],[Total HH]],WWWW[[#This Row],[Total HH]],WWWW[[#This Row],['# Functional hand washing stations during reporting period]]*20)</f>
        <v>20</v>
      </c>
      <c r="DY66" s="968">
        <f>IF(WWWW[[#This Row],[Is sufficient soap available for TLS? (Yes/No)]]="yes",WWWW[[#This Row],['#_Constructed/Existing hand washing stations at TLS/CFS/THF]],0)</f>
        <v>0</v>
      </c>
      <c r="DZ66" s="425">
        <f>IF(WWWW[[#This Row],['# Functional hand washing stations during reporting period]]*100&gt;WWWW[[#This Row],[Total PoP ]],WWWW[[#This Row],[Total PoP ]],WWWW[[#This Row],['# Functional hand washing stations during reporting period]]*100)</f>
        <v>100</v>
      </c>
      <c r="EA66" s="425" t="str">
        <f>IF(OR(WWWW[[#This Row],['#_students at TLS_CFS]]="",WWWW[[#This Row],['#_students at TLS_CFS]]=0),"No","Yes")</f>
        <v>No</v>
      </c>
      <c r="EB6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6" s="570">
        <f>WWWW[[#This Row],[%_of_affected_people_surveyed_who_report_feeling_satistfied_with_the_latrine_design_and_sanitation_service]]*WWWW[[#This Row],[Total PoP ]]</f>
        <v>0</v>
      </c>
      <c r="ED66" s="570">
        <f>WWWW[[#This Row],[%_of_affected_people_surveyed_who_report_feeling_satistfied_with_the_water_point_design_and_water_service]]*WWWW[[#This Row],[Total PoP ]]</f>
        <v>0</v>
      </c>
      <c r="EE66" s="570">
        <f>WWWW[[#This Row],[%_of_complaints_received_that_result_in_timely_corrective_action_and_feedback_to_the_community]]*WWWW[[#This Row],[Total PoP ]]</f>
        <v>0</v>
      </c>
      <c r="EF6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6" s="964" t="str">
        <f>VLOOKUP(WWWW[[#This Row],[Site Name]],SiteDB6[[Site Name]:[CCCM Management]],6,FALSE)</f>
        <v>Yes</v>
      </c>
      <c r="EJ66" s="964" t="str">
        <f>VLOOKUP(WWWW[[#This Row],[Site Name]],SiteDB6[[Site Name]:[CCCM Focal Agency]],7,FALSE)</f>
        <v>KMSS-BMO</v>
      </c>
      <c r="EK66" s="964" t="str">
        <f>VLOOKUP(WWWW[[#This Row],[Site Name]],SiteDB6[[Site Name]:[Location Type 1]],9,FALSE)</f>
        <v>Camp</v>
      </c>
      <c r="EL66" s="964" t="str">
        <f>VLOOKUP(WWWW[[#This Row],[Site Name]],SiteDB6[[Site Name]:[Type of Accommodation]],10,FALSE)</f>
        <v>Camp</v>
      </c>
      <c r="EM66" s="964" t="str">
        <f>VLOOKUP(WWWW[[#This Row],[Site Name]],SiteDB6[[Site Name]:[Ethnic or GCA/NGCA]],11,FALSE)</f>
        <v>GCA</v>
      </c>
      <c r="EN66" s="964">
        <f>VLOOKUP(WWWW[[#This Row],[Site Name]],SiteDB6[[Site Name]:[Lat]],12,FALSE)</f>
        <v>23.835319999999999</v>
      </c>
      <c r="EO66" s="964">
        <f>VLOOKUP(WWWW[[#This Row],[Site Name]],SiteDB6[[Site Name]:[Long]],13,FALSE)</f>
        <v>97.578490000000002</v>
      </c>
      <c r="EP66" s="964" t="str">
        <f>VLOOKUP(WWWW[[#This Row],[Site Name]],SiteDB6[[Site Name]:[Pcode]],3,FALSE)</f>
        <v>MMR001CMP132</v>
      </c>
      <c r="EQ66" s="969" t="str">
        <f t="shared" si="1"/>
        <v>Covered</v>
      </c>
      <c r="ER66" s="969" t="s">
        <v>3147</v>
      </c>
      <c r="ES66" s="964">
        <f>VLOOKUP(WWWW[[#This Row],[Site Name]],SiteDB6[[Site Name]:[Pop
(Kachin/Shan-CCCM as of March 2023)]],16,FALSE)</f>
        <v>625</v>
      </c>
      <c r="ET66" s="964">
        <f>VLOOKUP(WWWW[[#This Row],[Site Name]],SiteDB6[[Site Name]:[Pop
(Kachin/Shan-CCCM as of March 2023)]],17,FALSE)</f>
        <v>3399</v>
      </c>
    </row>
    <row r="67" spans="1:150" hidden="1">
      <c r="A67" s="962" t="s">
        <v>2977</v>
      </c>
      <c r="B67" s="962" t="s">
        <v>242</v>
      </c>
      <c r="C67" s="963" t="s">
        <v>242</v>
      </c>
      <c r="D67" s="963" t="s">
        <v>3207</v>
      </c>
      <c r="E67" s="963" t="s">
        <v>37</v>
      </c>
      <c r="F67" s="963" t="s">
        <v>148</v>
      </c>
      <c r="G67" s="964" t="str">
        <f>VLOOKUP(WWWW[[#This Row],[Site Name]],SiteDB6[[Site Name]:[Location Type]],8,FALSE)</f>
        <v>Camp</v>
      </c>
      <c r="H67" s="963" t="s">
        <v>256</v>
      </c>
      <c r="I67" s="965">
        <v>10</v>
      </c>
      <c r="J67" s="965">
        <v>56</v>
      </c>
      <c r="K67" s="966">
        <v>44927</v>
      </c>
      <c r="L67" s="967">
        <v>45291</v>
      </c>
      <c r="M67" s="965">
        <v>18</v>
      </c>
      <c r="N67" s="965"/>
      <c r="O67" s="965">
        <v>1</v>
      </c>
      <c r="P67" s="965"/>
      <c r="Q67" s="968" t="s">
        <v>41</v>
      </c>
      <c r="R67" s="965">
        <v>3</v>
      </c>
      <c r="S67" s="965">
        <v>4</v>
      </c>
      <c r="T67" s="445">
        <v>1</v>
      </c>
      <c r="U67" s="965"/>
      <c r="V67" s="965"/>
      <c r="W67" s="965">
        <v>1</v>
      </c>
      <c r="X67" s="965"/>
      <c r="Y67" s="965"/>
      <c r="Z67" s="965"/>
      <c r="AA67" s="965"/>
      <c r="AB67" s="965"/>
      <c r="AC67" s="965"/>
      <c r="AD67" s="965"/>
      <c r="AE67" s="965"/>
      <c r="AF67" s="965"/>
      <c r="AG67" s="965">
        <v>1</v>
      </c>
      <c r="AH67" s="965">
        <v>1</v>
      </c>
      <c r="AI67" s="965">
        <v>1</v>
      </c>
      <c r="AJ67" s="965">
        <v>1</v>
      </c>
      <c r="AK67" s="965"/>
      <c r="AL67" s="965"/>
      <c r="AM67" s="965"/>
      <c r="AN67" s="965"/>
      <c r="AO67" s="445"/>
      <c r="AP67" s="969" t="s">
        <v>3231</v>
      </c>
      <c r="AQ67" s="965">
        <v>2</v>
      </c>
      <c r="AR67" s="965"/>
      <c r="AS67" s="970" t="s">
        <v>242</v>
      </c>
      <c r="AT67" s="965"/>
      <c r="AU67" s="965"/>
      <c r="AV67" s="965"/>
      <c r="AW67" s="965"/>
      <c r="AX67" s="965"/>
      <c r="AY67" s="964" t="s">
        <v>41</v>
      </c>
      <c r="AZ67" s="969" t="s">
        <v>137</v>
      </c>
      <c r="BA67" s="965"/>
      <c r="BB67" s="965"/>
      <c r="BC67" s="965"/>
      <c r="BD67" s="445"/>
      <c r="BE67" s="445"/>
      <c r="BF67" s="964"/>
      <c r="BG67" s="965">
        <v>3</v>
      </c>
      <c r="BH67" s="965"/>
      <c r="BI67" s="965"/>
      <c r="BJ67" s="965">
        <v>2</v>
      </c>
      <c r="BK67" s="965">
        <v>2</v>
      </c>
      <c r="BL67" s="965"/>
      <c r="BM67" s="965">
        <v>1</v>
      </c>
      <c r="BN67" s="965">
        <v>10</v>
      </c>
      <c r="BO67" s="965">
        <v>11</v>
      </c>
      <c r="BP67" s="964"/>
      <c r="BQ67" s="971">
        <v>3</v>
      </c>
      <c r="BR67" s="970">
        <v>0.15</v>
      </c>
      <c r="BS67" s="964" t="s">
        <v>3234</v>
      </c>
      <c r="BT67" s="420">
        <v>0.75</v>
      </c>
      <c r="BU67" s="420">
        <v>0.89</v>
      </c>
      <c r="BV67" s="422"/>
      <c r="BW67" s="420">
        <v>0.75</v>
      </c>
      <c r="BX67" s="445"/>
      <c r="BY67" s="445"/>
      <c r="BZ67" s="445"/>
      <c r="CA67" s="445"/>
      <c r="CB67" s="445"/>
      <c r="CC67" s="702"/>
      <c r="CD67" s="445"/>
      <c r="CE67" s="972">
        <f>IFERROR(WWWW[[#This Row],['#_Water sources passed]]/WWWW[[#This Row],['#_Water sources tested for fecal coliform ]],"no test")</f>
        <v>1</v>
      </c>
      <c r="CF67" s="970" t="str">
        <f>IFERROR(WWWW[[#This Row],['#_Household passed]]/WWWW[[#This Row],['#_Household water samples tested for fecal coliform]],"no test")</f>
        <v>no test</v>
      </c>
      <c r="CG67" s="971" t="str">
        <f>IF(AND(WWWW[[#This Row],[% of water sources passed]]="no test",WWWW[[#This Row],[% Household passed]]="no test"),"No Test","Tested")</f>
        <v>Tested</v>
      </c>
      <c r="CH67" s="971">
        <f>WWWW[[#This Row],['#_Constructed/existing protected hand dug well]]-WWWW[[#This Row],['#_Non-functional protected hand dug well]]</f>
        <v>1</v>
      </c>
      <c r="CI67" s="971">
        <f>(WWWW[[#This Row],['#_Constructed/Existing tube wells/boreholes/handpumps_WASH_agency]]+WWWW[[#This Row],['#_Non-Cluster partner water tube-wells/boreholes/handpumps]])-WWWW[[#This Row],['#_Non-functional tube wells/boreholes/handpumps]]</f>
        <v>1</v>
      </c>
      <c r="CJ67" s="971">
        <f>WWWW[[#This Row],['#_Constructed/Existingwater storage tank with gravity fed reticulation system]]-WWWW[[#This Row],['#_Non-functional storage tank gravity fed reticulation system]]</f>
        <v>0</v>
      </c>
      <c r="CK67" s="971">
        <f>(WWWW[[#This Row],['#_Water_Liters_supplied_by_Water boating or water trucking]]/90)/15</f>
        <v>0</v>
      </c>
      <c r="CL67" s="971">
        <f>WWWW[[#This Row],['#_Water_Liters_from_Constructed/Existing water distribution system from river or natural spring]]/90/15</f>
        <v>0</v>
      </c>
      <c r="CM67" s="421">
        <f>IF(WWWW[[#This Row],['#_of water points in TLS/CFS]]*500&gt;WWWW[[#This Row],[Total PoP ]],WWWW[[#This Row],[Total PoP ]],WWWW[[#This Row],['#_of water points in TLS/CFS]]*500)</f>
        <v>0</v>
      </c>
      <c r="CN67" s="421">
        <f>IF(WWWW[[#This Row],['#_of water points in THF]]*500&gt;WWWW[[#This Row],[Total PoP ]],WWWW[[#This Row],[Total PoP ]],WWWW[[#This Row],['#_of water points in THF]]*500)</f>
        <v>0</v>
      </c>
      <c r="CO67" s="421"/>
      <c r="CP6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7" s="970">
        <f>IF(WWWW[[#This Row],[Location Type 1]]="Village",WWWW[[#This Row],[Access to safe drinking water for Village]],WWWW[[#This Row],[Access to safe drinking water for Camp]])</f>
        <v>1</v>
      </c>
      <c r="CS67" s="968">
        <f>WWWW[[#This Row],[%Equitable and continuous access to sufficient quantity of safe drinking water]]*WWWW[[#This Row],[Total PoP ]]</f>
        <v>56</v>
      </c>
      <c r="CT67" s="970">
        <f>IF((WWWW[[#This Row],['#_Constructed/Existing protected/fenced ponds]]*250)/WWWW[[#This Row],[Total PoP ]]&gt;1,1,(WWWW[[#This Row],['#_Constructed/Existing protected/fenced ponds]]*250)/WWWW[[#This Row],[Total PoP ]])</f>
        <v>0</v>
      </c>
      <c r="CU67" s="968">
        <f>WWWW[[#This Row],[% Access to unimproved water points]]*WWWW[[#This Row],[Total PoP ]]</f>
        <v>0</v>
      </c>
      <c r="CV6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v>
      </c>
      <c r="CX67" s="968">
        <f>WWWW[[#This Row],[HRP1]]/500</f>
        <v>0.112</v>
      </c>
      <c r="CY67" s="973">
        <f>1-WWWW[[#This Row],[% Equitable and continuous access to sufficient quantity of domestic water]]</f>
        <v>0</v>
      </c>
      <c r="CZ67" s="968">
        <f>WWWW[[#This Row],[%equitable and continuous access to sufficient quantity of safe drinking and domestic water''s GAP]]*WWWW[[#This Row],[Total PoP ]]</f>
        <v>0</v>
      </c>
      <c r="DA67" s="971">
        <f>IF(WWWW[[#This Row],[Total required water points]]-WWWW[[#This Row],['#Water points coverage]]&lt;0,0,WWWW[[#This Row],[Total required water points]]-WWWW[[#This Row],['#Water points coverage]])</f>
        <v>0.88800000000000001</v>
      </c>
      <c r="DB67" s="971">
        <f>ROUND(IF(WWWW[[#This Row],[Total PoP ]]&lt;500,1,WWWW[[#This Row],[Total PoP ]]/500),0)</f>
        <v>1</v>
      </c>
      <c r="DC67" s="971">
        <f>(WWWW[[#This Row],['#_Constructed latrines_by_WASHAgencies]]+WWWW[[#This Row],['#_Non Cluster partner latrines]])-WWWW[[#This Row],['#_Non-functional latrines]]</f>
        <v>2</v>
      </c>
      <c r="DD67" s="619">
        <f>WWWW[[#This Row],[HRP2]]/WWWW[[#This Row],[Total PoP ]]</f>
        <v>0.7142857142857143</v>
      </c>
      <c r="DE6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6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7" s="421">
        <f>IF(WWWW[[#This Row],['# of functional latrines in THF supported by WASH partners during the reporting period2]]="",0,WWWW[[#This Row],['# of functional latrines in THF supported by WASH partners during the reporting period2]]*50)</f>
        <v>0</v>
      </c>
      <c r="DI67" s="971">
        <f>ROUND(IF(WWWW[[#This Row],[Location Type 1]]="camp",WWWW[[#This Row],[Total PoP ]]/20,IF(WWWW[[#This Row],[Location Type 1]]="Temporary Location",WWWW[[#This Row],[Total PoP ]]/50,(WWWW[[#This Row],[Total PoP ]]/6))),0)</f>
        <v>3</v>
      </c>
      <c r="DJ67" s="971">
        <f>IF(WWWW[[#This Row],[Total required Latrines]]-(WWWW[[#This Row],['#_Constructed latrines_by_WASHAgencies]]+WWWW[[#This Row],['#_Non Cluster partner latrines]])&lt;0,0,WWWW[[#This Row],[Total required Latrines]]-(WWWW[[#This Row],['#_Constructed latrines_by_WASHAgencies]]+WWWW[[#This Row],['#_Non Cluster partner latrines]]))</f>
        <v>1</v>
      </c>
      <c r="DK67" s="973">
        <f>1-WWWW[[#This Row],[% people access to functioning Latrine]]</f>
        <v>0.2857142857142857</v>
      </c>
      <c r="DL67" s="972">
        <f>IF(OR(WWWW[[#This Row],['#_Non-functional latrines]]="",WWWW[[#This Row],['#_Non-functional latrines]]=0),0,WWWW[[#This Row],['#_Non-functional latrines]]/(WWWW[[#This Row],['#_Constructed latrines_by_WASHAgencies]]+WWWW[[#This Row],['#_Non Cluster partner latrines]]))</f>
        <v>0</v>
      </c>
      <c r="DM67" s="968">
        <f>IF(500*(WWWW[[#This Row],['#_male hygiene promoters]]+WWWW[[#This Row],['#_female hygiene promoters]])&gt;WWWW[[#This Row],[Total PoP ]],WWWW[[#This Row],[Total PoP ]],500*(WWWW[[#This Row],['#_male hygiene promoters]]+WWWW[[#This Row],['#_female hygiene promoters]]))</f>
        <v>56</v>
      </c>
      <c r="DN6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v>
      </c>
      <c r="DO6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v>
      </c>
      <c r="DP67" s="971">
        <f>IF(WWWW[[#This Row],['# People with access to soap]]&gt;WWWW[[#This Row],['# People with access to Sanity Pads]],WWWW[[#This Row],['# People with access to soap]],WWWW[[#This Row],['# People with access to Sanity Pads]])</f>
        <v>56</v>
      </c>
      <c r="DQ67" s="971">
        <f>IF(WWWW[[#This Row],['# people reached by regular dedicated hygiene promotion_5]]&gt;WWWW[[#This Row],['# People received regular supply of hygiene items_6]],WWWW[[#This Row],['# people reached by regular dedicated hygiene promotion_5]],WWWW[[#This Row],['# People received regular supply of hygiene items_6]])</f>
        <v>56</v>
      </c>
      <c r="DR67" s="973">
        <f>IF(WWWW[[#This Row],[HRP3]]/WWWW[[#This Row],[Total PoP ]]&gt;1,1,WWWW[[#This Row],[HRP3]]/WWWW[[#This Row],[Total PoP ]])</f>
        <v>1</v>
      </c>
      <c r="DS67" s="972">
        <f>1-WWWW[[#This Row],[Hygiene Coverage%]]</f>
        <v>0</v>
      </c>
      <c r="DT67" s="970">
        <f>WWWW[[#This Row],['# people reached by regular dedicated hygiene promotion_5]]/WWWW[[#This Row],[Total PoP ]]</f>
        <v>1</v>
      </c>
      <c r="DU6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6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67" s="971">
        <f>WWWW[[#This Row],['#_Constructed/Existing hand washing stations]]-WWWW[[#This Row],['#_Non-Functional_hand_washing_stations]]</f>
        <v>3</v>
      </c>
      <c r="DX67" s="968">
        <f>IF(WWWW[[#This Row],['# Functional hand washing stations during reporting period]]*20&gt;WWWW[[#This Row],[Total HH]],WWWW[[#This Row],[Total HH]],WWWW[[#This Row],['# Functional hand washing stations during reporting period]]*20)</f>
        <v>10</v>
      </c>
      <c r="DY67" s="968">
        <f>IF(WWWW[[#This Row],[Is sufficient soap available for TLS? (Yes/No)]]="yes",WWWW[[#This Row],['#_Constructed/Existing hand washing stations at TLS/CFS/THF]],0)</f>
        <v>0</v>
      </c>
      <c r="DZ67" s="425">
        <f>IF(WWWW[[#This Row],['# Functional hand washing stations during reporting period]]*100&gt;WWWW[[#This Row],[Total PoP ]],WWWW[[#This Row],[Total PoP ]],WWWW[[#This Row],['# Functional hand washing stations during reporting period]]*100)</f>
        <v>56</v>
      </c>
      <c r="EA67" s="425" t="str">
        <f>IF(OR(WWWW[[#This Row],['#_students at TLS_CFS]]="",WWWW[[#This Row],['#_students at TLS_CFS]]=0),"No","Yes")</f>
        <v>Yes</v>
      </c>
      <c r="EB6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7" s="570">
        <f>WWWW[[#This Row],[%_of_affected_people_surveyed_who_report_feeling_satistfied_with_the_latrine_design_and_sanitation_service]]*WWWW[[#This Row],[Total PoP ]]</f>
        <v>42</v>
      </c>
      <c r="ED67" s="570">
        <f>WWWW[[#This Row],[%_of_affected_people_surveyed_who_report_feeling_satistfied_with_the_water_point_design_and_water_service]]*WWWW[[#This Row],[Total PoP ]]</f>
        <v>49.84</v>
      </c>
      <c r="EE67" s="570">
        <f>WWWW[[#This Row],[%_of_complaints_received_that_result_in_timely_corrective_action_and_feedback_to_the_community]]*WWWW[[#This Row],[Total PoP ]]</f>
        <v>42</v>
      </c>
      <c r="EF6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49.84</v>
      </c>
      <c r="EG6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7" s="964" t="str">
        <f>VLOOKUP(WWWW[[#This Row],[Site Name]],SiteDB6[[Site Name]:[CCCM Management]],6,FALSE)</f>
        <v>Yes</v>
      </c>
      <c r="EJ67" s="964" t="str">
        <f>VLOOKUP(WWWW[[#This Row],[Site Name]],SiteDB6[[Site Name]:[CCCM Focal Agency]],7,FALSE)</f>
        <v>Shalom</v>
      </c>
      <c r="EK67" s="964" t="str">
        <f>VLOOKUP(WWWW[[#This Row],[Site Name]],SiteDB6[[Site Name]:[Location Type 1]],9,FALSE)</f>
        <v>Camp</v>
      </c>
      <c r="EL67" s="964" t="str">
        <f>VLOOKUP(WWWW[[#This Row],[Site Name]],SiteDB6[[Site Name]:[Type of Accommodation]],10,FALSE)</f>
        <v>Camp</v>
      </c>
      <c r="EM67" s="964" t="str">
        <f>VLOOKUP(WWWW[[#This Row],[Site Name]],SiteDB6[[Site Name]:[Ethnic or GCA/NGCA]],11,FALSE)</f>
        <v>GCA</v>
      </c>
      <c r="EN67" s="964">
        <f>VLOOKUP(WWWW[[#This Row],[Site Name]],SiteDB6[[Site Name]:[Lat]],12,FALSE)</f>
        <v>25.61842</v>
      </c>
      <c r="EO67" s="964">
        <f>VLOOKUP(WWWW[[#This Row],[Site Name]],SiteDB6[[Site Name]:[Long]],13,FALSE)</f>
        <v>96.316400000000002</v>
      </c>
      <c r="EP67" s="964" t="str">
        <f>VLOOKUP(WWWW[[#This Row],[Site Name]],SiteDB6[[Site Name]:[Pcode]],3,FALSE)</f>
        <v>MMR001CMP167</v>
      </c>
      <c r="EQ67" s="969" t="str">
        <f t="shared" si="1"/>
        <v>Covered</v>
      </c>
      <c r="ER67" s="969" t="s">
        <v>3147</v>
      </c>
      <c r="ES67" s="964">
        <f>VLOOKUP(WWWW[[#This Row],[Site Name]],SiteDB6[[Site Name]:[Pop
(Kachin/Shan-CCCM as of March 2023)]],16,FALSE)</f>
        <v>10</v>
      </c>
      <c r="ET67" s="964">
        <f>VLOOKUP(WWWW[[#This Row],[Site Name]],SiteDB6[[Site Name]:[Pop
(Kachin/Shan-CCCM as of March 2023)]],17,FALSE)</f>
        <v>56</v>
      </c>
    </row>
    <row r="68" spans="1:150" hidden="1">
      <c r="A68" s="962" t="s">
        <v>2977</v>
      </c>
      <c r="B68" s="962" t="s">
        <v>3164</v>
      </c>
      <c r="C68" s="962" t="s">
        <v>3164</v>
      </c>
      <c r="D68" s="1014" t="s">
        <v>2648</v>
      </c>
      <c r="E68" s="963" t="s">
        <v>37</v>
      </c>
      <c r="F68" s="963" t="s">
        <v>38</v>
      </c>
      <c r="G68" s="964" t="str">
        <f>VLOOKUP(WWWW[[#This Row],[Site Name]],SiteDB6[[Site Name]:[Location Type]],8,FALSE)</f>
        <v>Camp</v>
      </c>
      <c r="H68" s="963" t="s">
        <v>302</v>
      </c>
      <c r="I68" s="965">
        <v>142</v>
      </c>
      <c r="J68" s="965">
        <v>737</v>
      </c>
      <c r="K68" s="966">
        <v>44511</v>
      </c>
      <c r="L68" s="967" t="s">
        <v>2973</v>
      </c>
      <c r="M68" s="965"/>
      <c r="N68" s="965">
        <v>3</v>
      </c>
      <c r="O68" s="965"/>
      <c r="P68" s="965"/>
      <c r="Q68" s="968" t="s">
        <v>41</v>
      </c>
      <c r="R68" s="965">
        <v>3</v>
      </c>
      <c r="S68" s="965">
        <v>4</v>
      </c>
      <c r="T68" s="445">
        <v>1</v>
      </c>
      <c r="U68" s="965"/>
      <c r="V68" s="965"/>
      <c r="W68" s="965"/>
      <c r="X68" s="965">
        <v>1</v>
      </c>
      <c r="Y68" s="965"/>
      <c r="Z68" s="965"/>
      <c r="AA68" s="965">
        <v>1</v>
      </c>
      <c r="AB68" s="965"/>
      <c r="AC68" s="965"/>
      <c r="AD68" s="965"/>
      <c r="AE68" s="965"/>
      <c r="AF68" s="965"/>
      <c r="AG68" s="965"/>
      <c r="AH68" s="965"/>
      <c r="AI68" s="965"/>
      <c r="AJ68" s="965"/>
      <c r="AK68" s="965"/>
      <c r="AL68" s="965"/>
      <c r="AM68" s="965"/>
      <c r="AN68" s="965"/>
      <c r="AO68" s="445"/>
      <c r="AP68" s="969"/>
      <c r="AQ68" s="965">
        <v>48</v>
      </c>
      <c r="AR68" s="965"/>
      <c r="AS68" s="970"/>
      <c r="AT68" s="965"/>
      <c r="AU68" s="965"/>
      <c r="AV68" s="965"/>
      <c r="AW68" s="965"/>
      <c r="AX68" s="965"/>
      <c r="AY68" s="964" t="s">
        <v>140</v>
      </c>
      <c r="AZ68" s="969" t="s">
        <v>140</v>
      </c>
      <c r="BA68" s="965"/>
      <c r="BB68" s="965"/>
      <c r="BC68" s="965"/>
      <c r="BD68" s="445"/>
      <c r="BE68" s="445"/>
      <c r="BF68" s="964"/>
      <c r="BG68" s="965">
        <v>1</v>
      </c>
      <c r="BH68" s="965"/>
      <c r="BI68" s="965"/>
      <c r="BJ68" s="965">
        <v>1</v>
      </c>
      <c r="BK68" s="965"/>
      <c r="BL68" s="965"/>
      <c r="BM68" s="965">
        <v>2</v>
      </c>
      <c r="BN68" s="965"/>
      <c r="BO68" s="965"/>
      <c r="BP68" s="964" t="s">
        <v>41</v>
      </c>
      <c r="BQ68" s="971"/>
      <c r="BR68" s="970"/>
      <c r="BS68" s="964"/>
      <c r="BT68" s="420"/>
      <c r="BU68" s="420"/>
      <c r="BV68" s="422"/>
      <c r="BW68" s="420"/>
      <c r="BX68" s="445"/>
      <c r="BY68" s="445"/>
      <c r="BZ68" s="445"/>
      <c r="CA68" s="445"/>
      <c r="CB68" s="445"/>
      <c r="CC68" s="702"/>
      <c r="CD68" s="445"/>
      <c r="CE68" s="972" t="str">
        <f>IFERROR(WWWW[[#This Row],['#_Water sources passed]]/WWWW[[#This Row],['#_Water sources tested for fecal coliform ]],"no test")</f>
        <v>no test</v>
      </c>
      <c r="CF68" s="970" t="str">
        <f>IFERROR(WWWW[[#This Row],['#_Household passed]]/WWWW[[#This Row],['#_Household water samples tested for fecal coliform]],"no test")</f>
        <v>no test</v>
      </c>
      <c r="CG68" s="971" t="str">
        <f>IF(AND(WWWW[[#This Row],[% of water sources passed]]="no test",WWWW[[#This Row],[% Household passed]]="no test"),"No Test","Tested")</f>
        <v>No Test</v>
      </c>
      <c r="CH68" s="971">
        <f>WWWW[[#This Row],['#_Constructed/existing protected hand dug well]]-WWWW[[#This Row],['#_Non-functional protected hand dug well]]</f>
        <v>1</v>
      </c>
      <c r="CI68" s="971">
        <f>(WWWW[[#This Row],['#_Constructed/Existing tube wells/boreholes/handpumps_WASH_agency]]+WWWW[[#This Row],['#_Non-Cluster partner water tube-wells/boreholes/handpumps]])-WWWW[[#This Row],['#_Non-functional tube wells/boreholes/handpumps]]</f>
        <v>1</v>
      </c>
      <c r="CJ68" s="971">
        <f>WWWW[[#This Row],['#_Constructed/Existingwater storage tank with gravity fed reticulation system]]-WWWW[[#This Row],['#_Non-functional storage tank gravity fed reticulation system]]</f>
        <v>1</v>
      </c>
      <c r="CK68" s="971">
        <f>(WWWW[[#This Row],['#_Water_Liters_supplied_by_Water boating or water trucking]]/90)/15</f>
        <v>0</v>
      </c>
      <c r="CL68" s="971">
        <f>WWWW[[#This Row],['#_Water_Liters_from_Constructed/Existing water distribution system from river or natural spring]]/90/15</f>
        <v>0</v>
      </c>
      <c r="CM68" s="421">
        <f>IF(WWWW[[#This Row],['#_of water points in TLS/CFS]]*500&gt;WWWW[[#This Row],[Total PoP ]],WWWW[[#This Row],[Total PoP ]],WWWW[[#This Row],['#_of water points in TLS/CFS]]*500)</f>
        <v>0</v>
      </c>
      <c r="CN68" s="421">
        <f>IF(WWWW[[#This Row],['#_of water points in THF]]*500&gt;WWWW[[#This Row],[Total PoP ]],WWWW[[#This Row],[Total PoP ]],WWWW[[#This Row],['#_of water points in THF]]*500)</f>
        <v>0</v>
      </c>
      <c r="CO68" s="421"/>
      <c r="CP6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0.76888285843509718</v>
      </c>
      <c r="CR68" s="970">
        <f>IF(WWWW[[#This Row],[Location Type 1]]="Village",WWWW[[#This Row],[Access to safe drinking water for Village]],WWWW[[#This Row],[Access to safe drinking water for Camp]])</f>
        <v>1</v>
      </c>
      <c r="CS68" s="968">
        <f>WWWW[[#This Row],[%Equitable and continuous access to sufficient quantity of safe drinking water]]*WWWW[[#This Row],[Total PoP ]]</f>
        <v>737</v>
      </c>
      <c r="CT68" s="970">
        <f>IF((WWWW[[#This Row],['#_Constructed/Existing protected/fenced ponds]]*250)/WWWW[[#This Row],[Total PoP ]]&gt;1,1,(WWWW[[#This Row],['#_Constructed/Existing protected/fenced ponds]]*250)/WWWW[[#This Row],[Total PoP ]])</f>
        <v>0</v>
      </c>
      <c r="CU68" s="968">
        <f>WWWW[[#This Row],[% Access to unimproved water points]]*WWWW[[#This Row],[Total PoP ]]</f>
        <v>0</v>
      </c>
      <c r="CV6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737</v>
      </c>
      <c r="CX68" s="968">
        <f>WWWW[[#This Row],[HRP1]]/500</f>
        <v>1.474</v>
      </c>
      <c r="CY68" s="973">
        <f>1-WWWW[[#This Row],[% Equitable and continuous access to sufficient quantity of domestic water]]</f>
        <v>0</v>
      </c>
      <c r="CZ68" s="968">
        <f>WWWW[[#This Row],[%equitable and continuous access to sufficient quantity of safe drinking and domestic water''s GAP]]*WWWW[[#This Row],[Total PoP ]]</f>
        <v>0</v>
      </c>
      <c r="DA68" s="971">
        <f>IF(WWWW[[#This Row],[Total required water points]]-WWWW[[#This Row],['#Water points coverage]]&lt;0,0,WWWW[[#This Row],[Total required water points]]-WWWW[[#This Row],['#Water points coverage]])</f>
        <v>0</v>
      </c>
      <c r="DB68" s="971">
        <f>ROUND(IF(WWWW[[#This Row],[Total PoP ]]&lt;500,1,WWWW[[#This Row],[Total PoP ]]/500),0)</f>
        <v>1</v>
      </c>
      <c r="DC68" s="971">
        <f>(WWWW[[#This Row],['#_Constructed latrines_by_WASHAgencies]]+WWWW[[#This Row],['#_Non Cluster partner latrines]])-WWWW[[#This Row],['#_Non-functional latrines]]</f>
        <v>48</v>
      </c>
      <c r="DD68" s="619">
        <f>WWWW[[#This Row],[HRP2]]/WWWW[[#This Row],[Total PoP ]]</f>
        <v>1</v>
      </c>
      <c r="DE6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737</v>
      </c>
      <c r="DF6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8" s="421">
        <f>IF(WWWW[[#This Row],['# of functional latrines in THF supported by WASH partners during the reporting period2]]="",0,WWWW[[#This Row],['# of functional latrines in THF supported by WASH partners during the reporting period2]]*50)</f>
        <v>0</v>
      </c>
      <c r="DI68" s="971">
        <f>ROUND(IF(WWWW[[#This Row],[Location Type 1]]="camp",WWWW[[#This Row],[Total PoP ]]/20,IF(WWWW[[#This Row],[Location Type 1]]="Temporary Location",WWWW[[#This Row],[Total PoP ]]/50,(WWWW[[#This Row],[Total PoP ]]/6))),0)</f>
        <v>37</v>
      </c>
      <c r="DJ68" s="971">
        <f>IF(WWWW[[#This Row],[Total required Latrines]]-(WWWW[[#This Row],['#_Constructed latrines_by_WASHAgencies]]+WWWW[[#This Row],['#_Non Cluster partner latrines]])&lt;0,0,WWWW[[#This Row],[Total required Latrines]]-(WWWW[[#This Row],['#_Constructed latrines_by_WASHAgencies]]+WWWW[[#This Row],['#_Non Cluster partner latrines]]))</f>
        <v>0</v>
      </c>
      <c r="DK68" s="973">
        <f>1-WWWW[[#This Row],[% people access to functioning Latrine]]</f>
        <v>0</v>
      </c>
      <c r="DL68" s="972">
        <f>IF(OR(WWWW[[#This Row],['#_Non-functional latrines]]="",WWWW[[#This Row],['#_Non-functional latrines]]=0),0,WWWW[[#This Row],['#_Non-functional latrines]]/(WWWW[[#This Row],['#_Constructed latrines_by_WASHAgencies]]+WWWW[[#This Row],['#_Non Cluster partner latrines]]))</f>
        <v>0</v>
      </c>
      <c r="DM68" s="968">
        <f>IF(500*(WWWW[[#This Row],['#_male hygiene promoters]]+WWWW[[#This Row],['#_female hygiene promoters]])&gt;WWWW[[#This Row],[Total PoP ]],WWWW[[#This Row],[Total PoP ]],500*(WWWW[[#This Row],['#_male hygiene promoters]]+WWWW[[#This Row],['#_female hygiene promoters]]))</f>
        <v>737</v>
      </c>
      <c r="DN6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8" s="971">
        <f>IF(WWWW[[#This Row],['# People with access to soap]]&gt;WWWW[[#This Row],['# People with access to Sanity Pads]],WWWW[[#This Row],['# People with access to soap]],WWWW[[#This Row],['# People with access to Sanity Pads]])</f>
        <v>0</v>
      </c>
      <c r="DQ68" s="971">
        <f>IF(WWWW[[#This Row],['# people reached by regular dedicated hygiene promotion_5]]&gt;WWWW[[#This Row],['# People received regular supply of hygiene items_6]],WWWW[[#This Row],['# people reached by regular dedicated hygiene promotion_5]],WWWW[[#This Row],['# People received regular supply of hygiene items_6]])</f>
        <v>737</v>
      </c>
      <c r="DR68" s="973">
        <f>IF(WWWW[[#This Row],[HRP3]]/WWWW[[#This Row],[Total PoP ]]&gt;1,1,WWWW[[#This Row],[HRP3]]/WWWW[[#This Row],[Total PoP ]])</f>
        <v>1</v>
      </c>
      <c r="DS68" s="972">
        <f>1-WWWW[[#This Row],[Hygiene Coverage%]]</f>
        <v>0</v>
      </c>
      <c r="DT68" s="970">
        <f>WWWW[[#This Row],['# people reached by regular dedicated hygiene promotion_5]]/WWWW[[#This Row],[Total PoP ]]</f>
        <v>1</v>
      </c>
      <c r="DU6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8" s="971">
        <f>WWWW[[#This Row],['#_Constructed/Existing hand washing stations]]-WWWW[[#This Row],['#_Non-Functional_hand_washing_stations]]</f>
        <v>1</v>
      </c>
      <c r="DX68" s="968">
        <f>IF(WWWW[[#This Row],['# Functional hand washing stations during reporting period]]*20&gt;WWWW[[#This Row],[Total HH]],WWWW[[#This Row],[Total HH]],WWWW[[#This Row],['# Functional hand washing stations during reporting period]]*20)</f>
        <v>20</v>
      </c>
      <c r="DY68" s="968">
        <f>IF(WWWW[[#This Row],[Is sufficient soap available for TLS? (Yes/No)]]="yes",WWWW[[#This Row],['#_Constructed/Existing hand washing stations at TLS/CFS/THF]],0)</f>
        <v>0</v>
      </c>
      <c r="DZ68" s="425">
        <f>IF(WWWW[[#This Row],['# Functional hand washing stations during reporting period]]*100&gt;WWWW[[#This Row],[Total PoP ]],WWWW[[#This Row],[Total PoP ]],WWWW[[#This Row],['# Functional hand washing stations during reporting period]]*100)</f>
        <v>100</v>
      </c>
      <c r="EA68" s="425" t="str">
        <f>IF(OR(WWWW[[#This Row],['#_students at TLS_CFS]]="",WWWW[[#This Row],['#_students at TLS_CFS]]=0),"No","Yes")</f>
        <v>No</v>
      </c>
      <c r="EB6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8" s="570">
        <f>WWWW[[#This Row],[%_of_affected_people_surveyed_who_report_feeling_satistfied_with_the_latrine_design_and_sanitation_service]]*WWWW[[#This Row],[Total PoP ]]</f>
        <v>0</v>
      </c>
      <c r="ED68" s="570">
        <f>WWWW[[#This Row],[%_of_affected_people_surveyed_who_report_feeling_satistfied_with_the_water_point_design_and_water_service]]*WWWW[[#This Row],[Total PoP ]]</f>
        <v>0</v>
      </c>
      <c r="EE68" s="570">
        <f>WWWW[[#This Row],[%_of_complaints_received_that_result_in_timely_corrective_action_and_feedback_to_the_community]]*WWWW[[#This Row],[Total PoP ]]</f>
        <v>0</v>
      </c>
      <c r="EF6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8" s="964" t="str">
        <f>VLOOKUP(WWWW[[#This Row],[Site Name]],SiteDB6[[Site Name]:[CCCM Management]],6,FALSE)</f>
        <v>Yes</v>
      </c>
      <c r="EJ68" s="964" t="str">
        <f>VLOOKUP(WWWW[[#This Row],[Site Name]],SiteDB6[[Site Name]:[CCCM Focal Agency]],7,FALSE)</f>
        <v>KMSS-BMO</v>
      </c>
      <c r="EK68" s="964" t="str">
        <f>VLOOKUP(WWWW[[#This Row],[Site Name]],SiteDB6[[Site Name]:[Location Type 1]],9,FALSE)</f>
        <v>Camp</v>
      </c>
      <c r="EL68" s="964" t="str">
        <f>VLOOKUP(WWWW[[#This Row],[Site Name]],SiteDB6[[Site Name]:[Type of Accommodation]],10,FALSE)</f>
        <v>Camp</v>
      </c>
      <c r="EM68" s="964" t="str">
        <f>VLOOKUP(WWWW[[#This Row],[Site Name]],SiteDB6[[Site Name]:[Ethnic or GCA/NGCA]],11,FALSE)</f>
        <v>GCA</v>
      </c>
      <c r="EN68" s="964">
        <f>VLOOKUP(WWWW[[#This Row],[Site Name]],SiteDB6[[Site Name]:[Lat]],12,FALSE)</f>
        <v>23.833477999999999</v>
      </c>
      <c r="EO68" s="964">
        <f>VLOOKUP(WWWW[[#This Row],[Site Name]],SiteDB6[[Site Name]:[Long]],13,FALSE)</f>
        <v>97.578367</v>
      </c>
      <c r="EP68" s="964" t="str">
        <f>VLOOKUP(WWWW[[#This Row],[Site Name]],SiteDB6[[Site Name]:[Pcode]],3,FALSE)</f>
        <v>MMR001CMP228</v>
      </c>
      <c r="EQ68" s="969" t="str">
        <f t="shared" si="1"/>
        <v>Covered</v>
      </c>
      <c r="ER68" s="969" t="s">
        <v>3147</v>
      </c>
      <c r="ES68" s="964">
        <f>VLOOKUP(WWWW[[#This Row],[Site Name]],SiteDB6[[Site Name]:[Pop
(Kachin/Shan-CCCM as of March 2023)]],16,FALSE)</f>
        <v>141</v>
      </c>
      <c r="ET68" s="964">
        <f>VLOOKUP(WWWW[[#This Row],[Site Name]],SiteDB6[[Site Name]:[Pop
(Kachin/Shan-CCCM as of March 2023)]],17,FALSE)</f>
        <v>832</v>
      </c>
    </row>
    <row r="69" spans="1:150" hidden="1">
      <c r="A69" s="962" t="s">
        <v>2977</v>
      </c>
      <c r="B69" s="962" t="s">
        <v>309</v>
      </c>
      <c r="C69" s="963" t="s">
        <v>309</v>
      </c>
      <c r="D69" s="963"/>
      <c r="E69" s="963" t="s">
        <v>37</v>
      </c>
      <c r="F69" s="963" t="s">
        <v>157</v>
      </c>
      <c r="G69" s="964" t="str">
        <f>VLOOKUP(WWWW[[#This Row],[Site Name]],SiteDB6[[Site Name]:[Location Type]],8,FALSE)</f>
        <v>Camp</v>
      </c>
      <c r="H69" s="963" t="s">
        <v>2891</v>
      </c>
      <c r="I69" s="965">
        <v>27</v>
      </c>
      <c r="J69" s="965">
        <v>126</v>
      </c>
      <c r="K69" s="966"/>
      <c r="L69" s="967"/>
      <c r="M69" s="965"/>
      <c r="N69" s="965"/>
      <c r="O69" s="965"/>
      <c r="P69" s="965"/>
      <c r="Q69" s="968"/>
      <c r="R69" s="965"/>
      <c r="S69" s="965"/>
      <c r="T69" s="445"/>
      <c r="U69" s="965"/>
      <c r="V69" s="965"/>
      <c r="W69" s="965"/>
      <c r="X69" s="965"/>
      <c r="Y69" s="965"/>
      <c r="Z69" s="965"/>
      <c r="AA69" s="965"/>
      <c r="AB69" s="965"/>
      <c r="AC69" s="965"/>
      <c r="AD69" s="965"/>
      <c r="AE69" s="965"/>
      <c r="AF69" s="965"/>
      <c r="AG69" s="965"/>
      <c r="AH69" s="965"/>
      <c r="AI69" s="965"/>
      <c r="AJ69" s="965"/>
      <c r="AK69" s="965"/>
      <c r="AL69" s="965"/>
      <c r="AM69" s="965"/>
      <c r="AN69" s="965"/>
      <c r="AO69" s="445"/>
      <c r="AP69" s="969"/>
      <c r="AQ69" s="965"/>
      <c r="AR69" s="965"/>
      <c r="AS69" s="970"/>
      <c r="AT69" s="965"/>
      <c r="AU69" s="965"/>
      <c r="AV69" s="965"/>
      <c r="AW69" s="965"/>
      <c r="AX69" s="965"/>
      <c r="AY69" s="964" t="s">
        <v>140</v>
      </c>
      <c r="AZ69" s="969" t="s">
        <v>140</v>
      </c>
      <c r="BA69" s="965"/>
      <c r="BB69" s="965"/>
      <c r="BC69" s="965"/>
      <c r="BD69" s="445"/>
      <c r="BE69" s="445"/>
      <c r="BF69" s="964"/>
      <c r="BG69" s="965">
        <v>8</v>
      </c>
      <c r="BH69" s="965"/>
      <c r="BI69" s="965"/>
      <c r="BJ69" s="965">
        <v>3</v>
      </c>
      <c r="BK69" s="965"/>
      <c r="BL69" s="965"/>
      <c r="BM69" s="965"/>
      <c r="BN69" s="965"/>
      <c r="BO69" s="965"/>
      <c r="BP69" s="964"/>
      <c r="BQ69" s="971"/>
      <c r="BR69" s="970"/>
      <c r="BS69" s="964"/>
      <c r="BT69" s="420"/>
      <c r="BU69" s="420"/>
      <c r="BV69" s="422"/>
      <c r="BW69" s="420"/>
      <c r="BX69" s="445"/>
      <c r="BY69" s="445"/>
      <c r="BZ69" s="445"/>
      <c r="CA69" s="445"/>
      <c r="CB69" s="445"/>
      <c r="CC69" s="702"/>
      <c r="CD69" s="445"/>
      <c r="CE69" s="972" t="str">
        <f>IFERROR(WWWW[[#This Row],['#_Water sources passed]]/WWWW[[#This Row],['#_Water sources tested for fecal coliform ]],"no test")</f>
        <v>no test</v>
      </c>
      <c r="CF69" s="970" t="str">
        <f>IFERROR(WWWW[[#This Row],['#_Household passed]]/WWWW[[#This Row],['#_Household water samples tested for fecal coliform]],"no test")</f>
        <v>no test</v>
      </c>
      <c r="CG69" s="971" t="str">
        <f>IF(AND(WWWW[[#This Row],[% of water sources passed]]="no test",WWWW[[#This Row],[% Household passed]]="no test"),"No Test","Tested")</f>
        <v>No Test</v>
      </c>
      <c r="CH69" s="971">
        <f>WWWW[[#This Row],['#_Constructed/existing protected hand dug well]]-WWWW[[#This Row],['#_Non-functional protected hand dug well]]</f>
        <v>0</v>
      </c>
      <c r="CI69" s="971">
        <f>(WWWW[[#This Row],['#_Constructed/Existing tube wells/boreholes/handpumps_WASH_agency]]+WWWW[[#This Row],['#_Non-Cluster partner water tube-wells/boreholes/handpumps]])-WWWW[[#This Row],['#_Non-functional tube wells/boreholes/handpumps]]</f>
        <v>0</v>
      </c>
      <c r="CJ69" s="971">
        <f>WWWW[[#This Row],['#_Constructed/Existingwater storage tank with gravity fed reticulation system]]-WWWW[[#This Row],['#_Non-functional storage tank gravity fed reticulation system]]</f>
        <v>0</v>
      </c>
      <c r="CK69" s="971">
        <f>(WWWW[[#This Row],['#_Water_Liters_supplied_by_Water boating or water trucking]]/90)/15</f>
        <v>0</v>
      </c>
      <c r="CL69" s="971">
        <f>WWWW[[#This Row],['#_Water_Liters_from_Constructed/Existing water distribution system from river or natural spring]]/90/15</f>
        <v>0</v>
      </c>
      <c r="CM69" s="421">
        <f>IF(WWWW[[#This Row],['#_of water points in TLS/CFS]]*500&gt;WWWW[[#This Row],[Total PoP ]],WWWW[[#This Row],[Total PoP ]],WWWW[[#This Row],['#_of water points in TLS/CFS]]*500)</f>
        <v>0</v>
      </c>
      <c r="CN69" s="421">
        <f>IF(WWWW[[#This Row],['#_of water points in THF]]*500&gt;WWWW[[#This Row],[Total PoP ]],WWWW[[#This Row],[Total PoP ]],WWWW[[#This Row],['#_of water points in THF]]*500)</f>
        <v>0</v>
      </c>
      <c r="CO69" s="421"/>
      <c r="CP6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6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69" s="970">
        <f>IF(WWWW[[#This Row],[Location Type 1]]="Village",WWWW[[#This Row],[Access to safe drinking water for Village]],WWWW[[#This Row],[Access to safe drinking water for Camp]])</f>
        <v>0</v>
      </c>
      <c r="CS69" s="968">
        <f>WWWW[[#This Row],[%Equitable and continuous access to sufficient quantity of safe drinking water]]*WWWW[[#This Row],[Total PoP ]]</f>
        <v>0</v>
      </c>
      <c r="CT69" s="970">
        <f>IF((WWWW[[#This Row],['#_Constructed/Existing protected/fenced ponds]]*250)/WWWW[[#This Row],[Total PoP ]]&gt;1,1,(WWWW[[#This Row],['#_Constructed/Existing protected/fenced ponds]]*250)/WWWW[[#This Row],[Total PoP ]])</f>
        <v>0</v>
      </c>
      <c r="CU69" s="968">
        <f>WWWW[[#This Row],[% Access to unimproved water points]]*WWWW[[#This Row],[Total PoP ]]</f>
        <v>0</v>
      </c>
      <c r="CV6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6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69" s="968">
        <f>WWWW[[#This Row],[HRP1]]/500</f>
        <v>0</v>
      </c>
      <c r="CY69" s="973">
        <f>1-WWWW[[#This Row],[% Equitable and continuous access to sufficient quantity of domestic water]]</f>
        <v>1</v>
      </c>
      <c r="CZ69" s="968">
        <f>WWWW[[#This Row],[%equitable and continuous access to sufficient quantity of safe drinking and domestic water''s GAP]]*WWWW[[#This Row],[Total PoP ]]</f>
        <v>126</v>
      </c>
      <c r="DA69" s="971">
        <f>IF(WWWW[[#This Row],[Total required water points]]-WWWW[[#This Row],['#Water points coverage]]&lt;0,0,WWWW[[#This Row],[Total required water points]]-WWWW[[#This Row],['#Water points coverage]])</f>
        <v>1</v>
      </c>
      <c r="DB69" s="971">
        <f>ROUND(IF(WWWW[[#This Row],[Total PoP ]]&lt;500,1,WWWW[[#This Row],[Total PoP ]]/500),0)</f>
        <v>1</v>
      </c>
      <c r="DC69" s="971">
        <f>(WWWW[[#This Row],['#_Constructed latrines_by_WASHAgencies]]+WWWW[[#This Row],['#_Non Cluster partner latrines]])-WWWW[[#This Row],['#_Non-functional latrines]]</f>
        <v>0</v>
      </c>
      <c r="DD69" s="619">
        <f>WWWW[[#This Row],[HRP2]]/WWWW[[#This Row],[Total PoP ]]</f>
        <v>0</v>
      </c>
      <c r="DE6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6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9" s="421">
        <f>IF(WWWW[[#This Row],['# of functional latrines in THF supported by WASH partners during the reporting period2]]="",0,WWWW[[#This Row],['# of functional latrines in THF supported by WASH partners during the reporting period2]]*50)</f>
        <v>0</v>
      </c>
      <c r="DI69" s="971">
        <f>ROUND(IF(WWWW[[#This Row],[Location Type 1]]="camp",WWWW[[#This Row],[Total PoP ]]/20,IF(WWWW[[#This Row],[Location Type 1]]="Temporary Location",WWWW[[#This Row],[Total PoP ]]/50,(WWWW[[#This Row],[Total PoP ]]/6))),0)</f>
        <v>6</v>
      </c>
      <c r="DJ69" s="971">
        <f>IF(WWWW[[#This Row],[Total required Latrines]]-(WWWW[[#This Row],['#_Constructed latrines_by_WASHAgencies]]+WWWW[[#This Row],['#_Non Cluster partner latrines]])&lt;0,0,WWWW[[#This Row],[Total required Latrines]]-(WWWW[[#This Row],['#_Constructed latrines_by_WASHAgencies]]+WWWW[[#This Row],['#_Non Cluster partner latrines]]))</f>
        <v>6</v>
      </c>
      <c r="DK69" s="973">
        <f>1-WWWW[[#This Row],[% people access to functioning Latrine]]</f>
        <v>1</v>
      </c>
      <c r="DL69" s="972">
        <f>IF(OR(WWWW[[#This Row],['#_Non-functional latrines]]="",WWWW[[#This Row],['#_Non-functional latrines]]=0),0,WWWW[[#This Row],['#_Non-functional latrines]]/(WWWW[[#This Row],['#_Constructed latrines_by_WASHAgencies]]+WWWW[[#This Row],['#_Non Cluster partner latrines]]))</f>
        <v>0</v>
      </c>
      <c r="DM69" s="968">
        <f>IF(500*(WWWW[[#This Row],['#_male hygiene promoters]]+WWWW[[#This Row],['#_female hygiene promoters]])&gt;WWWW[[#This Row],[Total PoP ]],WWWW[[#This Row],[Total PoP ]],500*(WWWW[[#This Row],['#_male hygiene promoters]]+WWWW[[#This Row],['#_female hygiene promoters]]))</f>
        <v>0</v>
      </c>
      <c r="DN6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9" s="971">
        <f>IF(WWWW[[#This Row],['# People with access to soap]]&gt;WWWW[[#This Row],['# People with access to Sanity Pads]],WWWW[[#This Row],['# People with access to soap]],WWWW[[#This Row],['# People with access to Sanity Pads]])</f>
        <v>0</v>
      </c>
      <c r="DQ6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69" s="973">
        <f>IF(WWWW[[#This Row],[HRP3]]/WWWW[[#This Row],[Total PoP ]]&gt;1,1,WWWW[[#This Row],[HRP3]]/WWWW[[#This Row],[Total PoP ]])</f>
        <v>0</v>
      </c>
      <c r="DS69" s="972">
        <f>1-WWWW[[#This Row],[Hygiene Coverage%]]</f>
        <v>1</v>
      </c>
      <c r="DT69" s="970">
        <f>WWWW[[#This Row],['# people reached by regular dedicated hygiene promotion_5]]/WWWW[[#This Row],[Total PoP ]]</f>
        <v>0</v>
      </c>
      <c r="DU6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9" s="971">
        <f>WWWW[[#This Row],['#_Constructed/Existing hand washing stations]]-WWWW[[#This Row],['#_Non-Functional_hand_washing_stations]]</f>
        <v>8</v>
      </c>
      <c r="DX69" s="968">
        <f>IF(WWWW[[#This Row],['# Functional hand washing stations during reporting period]]*20&gt;WWWW[[#This Row],[Total HH]],WWWW[[#This Row],[Total HH]],WWWW[[#This Row],['# Functional hand washing stations during reporting period]]*20)</f>
        <v>27</v>
      </c>
      <c r="DY69" s="968">
        <f>IF(WWWW[[#This Row],[Is sufficient soap available for TLS? (Yes/No)]]="yes",WWWW[[#This Row],['#_Constructed/Existing hand washing stations at TLS/CFS/THF]],0)</f>
        <v>0</v>
      </c>
      <c r="DZ69" s="425">
        <f>IF(WWWW[[#This Row],['# Functional hand washing stations during reporting period]]*100&gt;WWWW[[#This Row],[Total PoP ]],WWWW[[#This Row],[Total PoP ]],WWWW[[#This Row],['# Functional hand washing stations during reporting period]]*100)</f>
        <v>126</v>
      </c>
      <c r="EA69" s="425" t="str">
        <f>IF(OR(WWWW[[#This Row],['#_students at TLS_CFS]]="",WWWW[[#This Row],['#_students at TLS_CFS]]=0),"No","Yes")</f>
        <v>No</v>
      </c>
      <c r="EB6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9" s="570">
        <f>WWWW[[#This Row],[%_of_affected_people_surveyed_who_report_feeling_satistfied_with_the_latrine_design_and_sanitation_service]]*WWWW[[#This Row],[Total PoP ]]</f>
        <v>0</v>
      </c>
      <c r="ED69" s="570">
        <f>WWWW[[#This Row],[%_of_affected_people_surveyed_who_report_feeling_satistfied_with_the_water_point_design_and_water_service]]*WWWW[[#This Row],[Total PoP ]]</f>
        <v>0</v>
      </c>
      <c r="EE69" s="570">
        <f>WWWW[[#This Row],[%_of_complaints_received_that_result_in_timely_corrective_action_and_feedback_to_the_community]]*WWWW[[#This Row],[Total PoP ]]</f>
        <v>0</v>
      </c>
      <c r="EF6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9" s="964">
        <f>VLOOKUP(WWWW[[#This Row],[Site Name]],SiteDB6[[Site Name]:[CCCM Management]],6,FALSE)</f>
        <v>0</v>
      </c>
      <c r="EJ69" s="964" t="str">
        <f>VLOOKUP(WWWW[[#This Row],[Site Name]],SiteDB6[[Site Name]:[CCCM Focal Agency]],7,FALSE)</f>
        <v>uncovered</v>
      </c>
      <c r="EK69" s="964" t="str">
        <f>VLOOKUP(WWWW[[#This Row],[Site Name]],SiteDB6[[Site Name]:[Location Type 1]],9,FALSE)</f>
        <v>Camp</v>
      </c>
      <c r="EL69" s="964" t="str">
        <f>VLOOKUP(WWWW[[#This Row],[Site Name]],SiteDB6[[Site Name]:[Type of Accommodation]],10,FALSE)</f>
        <v>IDPs in host</v>
      </c>
      <c r="EM69" s="964" t="str">
        <f>VLOOKUP(WWWW[[#This Row],[Site Name]],SiteDB6[[Site Name]:[Ethnic or GCA/NGCA]],11,FALSE)</f>
        <v>GCA</v>
      </c>
      <c r="EN69" s="964">
        <f>VLOOKUP(WWWW[[#This Row],[Site Name]],SiteDB6[[Site Name]:[Lat]],12,FALSE)</f>
        <v>24.996279999999999</v>
      </c>
      <c r="EO69" s="964">
        <f>VLOOKUP(WWWW[[#This Row],[Site Name]],SiteDB6[[Site Name]:[Long]],13,FALSE)</f>
        <v>96.52534</v>
      </c>
      <c r="EP69" s="964" t="str">
        <f>VLOOKUP(WWWW[[#This Row],[Site Name]],SiteDB6[[Site Name]:[Pcode]],3,FALSE)</f>
        <v>MMR001CMP232</v>
      </c>
      <c r="EQ69" s="969" t="str">
        <f t="shared" si="1"/>
        <v>Notcovered</v>
      </c>
      <c r="ER69" s="969"/>
      <c r="ES69" s="964">
        <f>VLOOKUP(WWWW[[#This Row],[Site Name]],SiteDB6[[Site Name]:[Pop
(Kachin/Shan-CCCM as of March 2023)]],16,FALSE)</f>
        <v>14</v>
      </c>
      <c r="ET69" s="964">
        <f>VLOOKUP(WWWW[[#This Row],[Site Name]],SiteDB6[[Site Name]:[Pop
(Kachin/Shan-CCCM as of March 2023)]],17,FALSE)</f>
        <v>68</v>
      </c>
    </row>
    <row r="70" spans="1:150" hidden="1">
      <c r="A70" s="962" t="s">
        <v>2977</v>
      </c>
      <c r="B70" s="962" t="s">
        <v>309</v>
      </c>
      <c r="C70" s="963" t="s">
        <v>309</v>
      </c>
      <c r="D70" s="963"/>
      <c r="E70" s="963" t="s">
        <v>37</v>
      </c>
      <c r="F70" s="963" t="s">
        <v>157</v>
      </c>
      <c r="G70" s="964" t="str">
        <f>VLOOKUP(WWWW[[#This Row],[Site Name]],SiteDB6[[Site Name]:[Location Type]],8,FALSE)</f>
        <v>Camp</v>
      </c>
      <c r="H70" s="963" t="s">
        <v>2892</v>
      </c>
      <c r="I70" s="965">
        <v>15</v>
      </c>
      <c r="J70" s="965">
        <v>71</v>
      </c>
      <c r="K70" s="966"/>
      <c r="L70" s="967"/>
      <c r="M70" s="965"/>
      <c r="N70" s="965"/>
      <c r="O70" s="965"/>
      <c r="P70" s="965"/>
      <c r="Q70" s="968"/>
      <c r="R70" s="965"/>
      <c r="S70" s="965">
        <v>4</v>
      </c>
      <c r="T70" s="445"/>
      <c r="U70" s="965"/>
      <c r="V70" s="965"/>
      <c r="W70" s="965"/>
      <c r="X70" s="965"/>
      <c r="Y70" s="965"/>
      <c r="Z70" s="965"/>
      <c r="AA70" s="965"/>
      <c r="AB70" s="965"/>
      <c r="AC70" s="965"/>
      <c r="AD70" s="965"/>
      <c r="AE70" s="965"/>
      <c r="AF70" s="965"/>
      <c r="AG70" s="965"/>
      <c r="AH70" s="965"/>
      <c r="AI70" s="965"/>
      <c r="AJ70" s="965"/>
      <c r="AK70" s="965"/>
      <c r="AL70" s="965"/>
      <c r="AM70" s="965"/>
      <c r="AN70" s="965"/>
      <c r="AO70" s="445"/>
      <c r="AP70" s="969"/>
      <c r="AQ70" s="965"/>
      <c r="AR70" s="965"/>
      <c r="AS70" s="970"/>
      <c r="AT70" s="965"/>
      <c r="AU70" s="965"/>
      <c r="AV70" s="965"/>
      <c r="AW70" s="965"/>
      <c r="AX70" s="965"/>
      <c r="AY70" s="964" t="s">
        <v>140</v>
      </c>
      <c r="AZ70" s="969" t="s">
        <v>140</v>
      </c>
      <c r="BA70" s="965"/>
      <c r="BB70" s="965"/>
      <c r="BC70" s="965"/>
      <c r="BD70" s="445"/>
      <c r="BE70" s="445"/>
      <c r="BF70" s="964"/>
      <c r="BG70" s="965">
        <v>3</v>
      </c>
      <c r="BH70" s="965"/>
      <c r="BI70" s="965"/>
      <c r="BJ70" s="965">
        <v>2</v>
      </c>
      <c r="BK70" s="965"/>
      <c r="BL70" s="965"/>
      <c r="BM70" s="965"/>
      <c r="BN70" s="965"/>
      <c r="BO70" s="965"/>
      <c r="BP70" s="964"/>
      <c r="BQ70" s="971"/>
      <c r="BR70" s="970"/>
      <c r="BS70" s="964"/>
      <c r="BT70" s="420"/>
      <c r="BU70" s="420"/>
      <c r="BV70" s="422"/>
      <c r="BW70" s="420"/>
      <c r="BX70" s="445"/>
      <c r="BY70" s="445"/>
      <c r="BZ70" s="445"/>
      <c r="CA70" s="445"/>
      <c r="CB70" s="445"/>
      <c r="CC70" s="702"/>
      <c r="CD70" s="445"/>
      <c r="CE70" s="972" t="str">
        <f>IFERROR(WWWW[[#This Row],['#_Water sources passed]]/WWWW[[#This Row],['#_Water sources tested for fecal coliform ]],"no test")</f>
        <v>no test</v>
      </c>
      <c r="CF70" s="970" t="str">
        <f>IFERROR(WWWW[[#This Row],['#_Household passed]]/WWWW[[#This Row],['#_Household water samples tested for fecal coliform]],"no test")</f>
        <v>no test</v>
      </c>
      <c r="CG70" s="971" t="str">
        <f>IF(AND(WWWW[[#This Row],[% of water sources passed]]="no test",WWWW[[#This Row],[% Household passed]]="no test"),"No Test","Tested")</f>
        <v>No Test</v>
      </c>
      <c r="CH70" s="971">
        <f>WWWW[[#This Row],['#_Constructed/existing protected hand dug well]]-WWWW[[#This Row],['#_Non-functional protected hand dug well]]</f>
        <v>0</v>
      </c>
      <c r="CI70" s="971">
        <f>(WWWW[[#This Row],['#_Constructed/Existing tube wells/boreholes/handpumps_WASH_agency]]+WWWW[[#This Row],['#_Non-Cluster partner water tube-wells/boreholes/handpumps]])-WWWW[[#This Row],['#_Non-functional tube wells/boreholes/handpumps]]</f>
        <v>0</v>
      </c>
      <c r="CJ70" s="971">
        <f>WWWW[[#This Row],['#_Constructed/Existingwater storage tank with gravity fed reticulation system]]-WWWW[[#This Row],['#_Non-functional storage tank gravity fed reticulation system]]</f>
        <v>0</v>
      </c>
      <c r="CK70" s="971">
        <f>(WWWW[[#This Row],['#_Water_Liters_supplied_by_Water boating or water trucking]]/90)/15</f>
        <v>0</v>
      </c>
      <c r="CL70" s="971">
        <f>WWWW[[#This Row],['#_Water_Liters_from_Constructed/Existing water distribution system from river or natural spring]]/90/15</f>
        <v>0</v>
      </c>
      <c r="CM70" s="421">
        <f>IF(WWWW[[#This Row],['#_of water points in TLS/CFS]]*500&gt;WWWW[[#This Row],[Total PoP ]],WWWW[[#This Row],[Total PoP ]],WWWW[[#This Row],['#_of water points in TLS/CFS]]*500)</f>
        <v>0</v>
      </c>
      <c r="CN70" s="421">
        <f>IF(WWWW[[#This Row],['#_of water points in THF]]*500&gt;WWWW[[#This Row],[Total PoP ]],WWWW[[#This Row],[Total PoP ]],WWWW[[#This Row],['#_of water points in THF]]*500)</f>
        <v>0</v>
      </c>
      <c r="CO70" s="421"/>
      <c r="CP7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7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70" s="970">
        <f>IF(WWWW[[#This Row],[Location Type 1]]="Village",WWWW[[#This Row],[Access to safe drinking water for Village]],WWWW[[#This Row],[Access to safe drinking water for Camp]])</f>
        <v>0</v>
      </c>
      <c r="CS70" s="968">
        <f>WWWW[[#This Row],[%Equitable and continuous access to sufficient quantity of safe drinking water]]*WWWW[[#This Row],[Total PoP ]]</f>
        <v>0</v>
      </c>
      <c r="CT70" s="970">
        <f>IF((WWWW[[#This Row],['#_Constructed/Existing protected/fenced ponds]]*250)/WWWW[[#This Row],[Total PoP ]]&gt;1,1,(WWWW[[#This Row],['#_Constructed/Existing protected/fenced ponds]]*250)/WWWW[[#This Row],[Total PoP ]])</f>
        <v>0</v>
      </c>
      <c r="CU70" s="968">
        <f>WWWW[[#This Row],[% Access to unimproved water points]]*WWWW[[#This Row],[Total PoP ]]</f>
        <v>0</v>
      </c>
      <c r="CV7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7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70" s="968">
        <f>WWWW[[#This Row],[HRP1]]/500</f>
        <v>0</v>
      </c>
      <c r="CY70" s="973">
        <f>1-WWWW[[#This Row],[% Equitable and continuous access to sufficient quantity of domestic water]]</f>
        <v>1</v>
      </c>
      <c r="CZ70" s="968">
        <f>WWWW[[#This Row],[%equitable and continuous access to sufficient quantity of safe drinking and domestic water''s GAP]]*WWWW[[#This Row],[Total PoP ]]</f>
        <v>71</v>
      </c>
      <c r="DA70" s="971">
        <f>IF(WWWW[[#This Row],[Total required water points]]-WWWW[[#This Row],['#Water points coverage]]&lt;0,0,WWWW[[#This Row],[Total required water points]]-WWWW[[#This Row],['#Water points coverage]])</f>
        <v>1</v>
      </c>
      <c r="DB70" s="971">
        <f>ROUND(IF(WWWW[[#This Row],[Total PoP ]]&lt;500,1,WWWW[[#This Row],[Total PoP ]]/500),0)</f>
        <v>1</v>
      </c>
      <c r="DC70" s="971">
        <f>(WWWW[[#This Row],['#_Constructed latrines_by_WASHAgencies]]+WWWW[[#This Row],['#_Non Cluster partner latrines]])-WWWW[[#This Row],['#_Non-functional latrines]]</f>
        <v>0</v>
      </c>
      <c r="DD70" s="619">
        <f>WWWW[[#This Row],[HRP2]]/WWWW[[#This Row],[Total PoP ]]</f>
        <v>0</v>
      </c>
      <c r="DE7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7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0" s="421">
        <f>IF(WWWW[[#This Row],['# of functional latrines in THF supported by WASH partners during the reporting period2]]="",0,WWWW[[#This Row],['# of functional latrines in THF supported by WASH partners during the reporting period2]]*50)</f>
        <v>0</v>
      </c>
      <c r="DI70" s="971">
        <f>ROUND(IF(WWWW[[#This Row],[Location Type 1]]="camp",WWWW[[#This Row],[Total PoP ]]/20,IF(WWWW[[#This Row],[Location Type 1]]="Temporary Location",WWWW[[#This Row],[Total PoP ]]/50,(WWWW[[#This Row],[Total PoP ]]/6))),0)</f>
        <v>4</v>
      </c>
      <c r="DJ70" s="971">
        <f>IF(WWWW[[#This Row],[Total required Latrines]]-(WWWW[[#This Row],['#_Constructed latrines_by_WASHAgencies]]+WWWW[[#This Row],['#_Non Cluster partner latrines]])&lt;0,0,WWWW[[#This Row],[Total required Latrines]]-(WWWW[[#This Row],['#_Constructed latrines_by_WASHAgencies]]+WWWW[[#This Row],['#_Non Cluster partner latrines]]))</f>
        <v>4</v>
      </c>
      <c r="DK70" s="973">
        <f>1-WWWW[[#This Row],[% people access to functioning Latrine]]</f>
        <v>1</v>
      </c>
      <c r="DL70" s="972">
        <f>IF(OR(WWWW[[#This Row],['#_Non-functional latrines]]="",WWWW[[#This Row],['#_Non-functional latrines]]=0),0,WWWW[[#This Row],['#_Non-functional latrines]]/(WWWW[[#This Row],['#_Constructed latrines_by_WASHAgencies]]+WWWW[[#This Row],['#_Non Cluster partner latrines]]))</f>
        <v>0</v>
      </c>
      <c r="DM70" s="968">
        <f>IF(500*(WWWW[[#This Row],['#_male hygiene promoters]]+WWWW[[#This Row],['#_female hygiene promoters]])&gt;WWWW[[#This Row],[Total PoP ]],WWWW[[#This Row],[Total PoP ]],500*(WWWW[[#This Row],['#_male hygiene promoters]]+WWWW[[#This Row],['#_female hygiene promoters]]))</f>
        <v>0</v>
      </c>
      <c r="DN7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0" s="971">
        <f>IF(WWWW[[#This Row],['# People with access to soap]]&gt;WWWW[[#This Row],['# People with access to Sanity Pads]],WWWW[[#This Row],['# People with access to soap]],WWWW[[#This Row],['# People with access to Sanity Pads]])</f>
        <v>0</v>
      </c>
      <c r="DQ70"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0" s="973">
        <f>IF(WWWW[[#This Row],[HRP3]]/WWWW[[#This Row],[Total PoP ]]&gt;1,1,WWWW[[#This Row],[HRP3]]/WWWW[[#This Row],[Total PoP ]])</f>
        <v>0</v>
      </c>
      <c r="DS70" s="972">
        <f>1-WWWW[[#This Row],[Hygiene Coverage%]]</f>
        <v>1</v>
      </c>
      <c r="DT70" s="970">
        <f>WWWW[[#This Row],['# people reached by regular dedicated hygiene promotion_5]]/WWWW[[#This Row],[Total PoP ]]</f>
        <v>0</v>
      </c>
      <c r="DU7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0" s="971">
        <f>WWWW[[#This Row],['#_Constructed/Existing hand washing stations]]-WWWW[[#This Row],['#_Non-Functional_hand_washing_stations]]</f>
        <v>3</v>
      </c>
      <c r="DX70" s="968">
        <f>IF(WWWW[[#This Row],['# Functional hand washing stations during reporting period]]*20&gt;WWWW[[#This Row],[Total HH]],WWWW[[#This Row],[Total HH]],WWWW[[#This Row],['# Functional hand washing stations during reporting period]]*20)</f>
        <v>15</v>
      </c>
      <c r="DY70" s="968">
        <f>IF(WWWW[[#This Row],[Is sufficient soap available for TLS? (Yes/No)]]="yes",WWWW[[#This Row],['#_Constructed/Existing hand washing stations at TLS/CFS/THF]],0)</f>
        <v>0</v>
      </c>
      <c r="DZ70" s="425">
        <f>IF(WWWW[[#This Row],['# Functional hand washing stations during reporting period]]*100&gt;WWWW[[#This Row],[Total PoP ]],WWWW[[#This Row],[Total PoP ]],WWWW[[#This Row],['# Functional hand washing stations during reporting period]]*100)</f>
        <v>71</v>
      </c>
      <c r="EA70" s="425" t="str">
        <f>IF(OR(WWWW[[#This Row],['#_students at TLS_CFS]]="",WWWW[[#This Row],['#_students at TLS_CFS]]=0),"No","Yes")</f>
        <v>No</v>
      </c>
      <c r="EB7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0" s="570">
        <f>WWWW[[#This Row],[%_of_affected_people_surveyed_who_report_feeling_satistfied_with_the_latrine_design_and_sanitation_service]]*WWWW[[#This Row],[Total PoP ]]</f>
        <v>0</v>
      </c>
      <c r="ED70" s="570">
        <f>WWWW[[#This Row],[%_of_affected_people_surveyed_who_report_feeling_satistfied_with_the_water_point_design_and_water_service]]*WWWW[[#This Row],[Total PoP ]]</f>
        <v>0</v>
      </c>
      <c r="EE70" s="570">
        <f>WWWW[[#This Row],[%_of_complaints_received_that_result_in_timely_corrective_action_and_feedback_to_the_community]]*WWWW[[#This Row],[Total PoP ]]</f>
        <v>0</v>
      </c>
      <c r="EF7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0" s="964">
        <f>VLOOKUP(WWWW[[#This Row],[Site Name]],SiteDB6[[Site Name]:[CCCM Management]],6,FALSE)</f>
        <v>0</v>
      </c>
      <c r="EJ70" s="964" t="str">
        <f>VLOOKUP(WWWW[[#This Row],[Site Name]],SiteDB6[[Site Name]:[CCCM Focal Agency]],7,FALSE)</f>
        <v>uncovered</v>
      </c>
      <c r="EK70" s="964" t="str">
        <f>VLOOKUP(WWWW[[#This Row],[Site Name]],SiteDB6[[Site Name]:[Location Type 1]],9,FALSE)</f>
        <v>Camp</v>
      </c>
      <c r="EL70" s="964" t="str">
        <f>VLOOKUP(WWWW[[#This Row],[Site Name]],SiteDB6[[Site Name]:[Type of Accommodation]],10,FALSE)</f>
        <v>IDPs in host</v>
      </c>
      <c r="EM70" s="964" t="str">
        <f>VLOOKUP(WWWW[[#This Row],[Site Name]],SiteDB6[[Site Name]:[Ethnic or GCA/NGCA]],11,FALSE)</f>
        <v>GCA</v>
      </c>
      <c r="EN70" s="964">
        <f>VLOOKUP(WWWW[[#This Row],[Site Name]],SiteDB6[[Site Name]:[Lat]],12,FALSE)</f>
        <v>24.764959999999999</v>
      </c>
      <c r="EO70" s="964">
        <f>VLOOKUP(WWWW[[#This Row],[Site Name]],SiteDB6[[Site Name]:[Long]],13,FALSE)</f>
        <v>96.366919999999993</v>
      </c>
      <c r="EP70" s="964" t="str">
        <f>VLOOKUP(WWWW[[#This Row],[Site Name]],SiteDB6[[Site Name]:[Pcode]],3,FALSE)</f>
        <v>MMR001CMP233</v>
      </c>
      <c r="EQ70" s="969" t="str">
        <f t="shared" si="1"/>
        <v>Notcovered</v>
      </c>
      <c r="ER70" s="969"/>
      <c r="ES70" s="964">
        <f>VLOOKUP(WWWW[[#This Row],[Site Name]],SiteDB6[[Site Name]:[Pop
(Kachin/Shan-CCCM as of March 2023)]],16,FALSE)</f>
        <v>17</v>
      </c>
      <c r="ET70" s="964">
        <f>VLOOKUP(WWWW[[#This Row],[Site Name]],SiteDB6[[Site Name]:[Pop
(Kachin/Shan-CCCM as of March 2023)]],17,FALSE)</f>
        <v>67</v>
      </c>
    </row>
    <row r="71" spans="1:150" hidden="1">
      <c r="A71" s="962" t="s">
        <v>2977</v>
      </c>
      <c r="B71" s="962" t="s">
        <v>3156</v>
      </c>
      <c r="C71" s="962" t="s">
        <v>3156</v>
      </c>
      <c r="D71" s="963" t="s">
        <v>3159</v>
      </c>
      <c r="E71" s="963" t="s">
        <v>37</v>
      </c>
      <c r="F71" s="963" t="s">
        <v>205</v>
      </c>
      <c r="G71" s="964" t="s">
        <v>3081</v>
      </c>
      <c r="H71" s="963" t="s">
        <v>207</v>
      </c>
      <c r="I71" s="965">
        <v>10</v>
      </c>
      <c r="J71" s="965">
        <v>57</v>
      </c>
      <c r="K71" s="966" t="s">
        <v>3157</v>
      </c>
      <c r="L71" s="967" t="s">
        <v>3158</v>
      </c>
      <c r="M71" s="965"/>
      <c r="N71" s="965"/>
      <c r="O71" s="965"/>
      <c r="P71" s="965"/>
      <c r="Q71" s="968" t="s">
        <v>41</v>
      </c>
      <c r="R71" s="965">
        <v>1</v>
      </c>
      <c r="S71" s="965">
        <v>5</v>
      </c>
      <c r="T71" s="445">
        <v>1</v>
      </c>
      <c r="U71" s="965"/>
      <c r="V71" s="965"/>
      <c r="W71" s="965"/>
      <c r="X71" s="965"/>
      <c r="Y71" s="965"/>
      <c r="Z71" s="965"/>
      <c r="AA71" s="965"/>
      <c r="AB71" s="965"/>
      <c r="AC71" s="965"/>
      <c r="AD71" s="965"/>
      <c r="AE71" s="965"/>
      <c r="AF71" s="965"/>
      <c r="AG71" s="965">
        <v>1</v>
      </c>
      <c r="AH71" s="965"/>
      <c r="AI71" s="965"/>
      <c r="AJ71" s="965"/>
      <c r="AK71" s="965"/>
      <c r="AL71" s="965"/>
      <c r="AM71" s="965"/>
      <c r="AN71" s="965"/>
      <c r="AO71" s="445"/>
      <c r="AP71" s="969"/>
      <c r="AQ71" s="965">
        <v>8</v>
      </c>
      <c r="AR71" s="965"/>
      <c r="AS71" s="970"/>
      <c r="AT71" s="965"/>
      <c r="AU71" s="965"/>
      <c r="AV71" s="965"/>
      <c r="AW71" s="965"/>
      <c r="AX71" s="965"/>
      <c r="AY71" s="964" t="s">
        <v>41</v>
      </c>
      <c r="AZ71" s="969" t="s">
        <v>137</v>
      </c>
      <c r="BA71" s="965"/>
      <c r="BB71" s="965"/>
      <c r="BC71" s="965"/>
      <c r="BD71" s="445"/>
      <c r="BE71" s="445"/>
      <c r="BF71" s="964"/>
      <c r="BG71" s="965"/>
      <c r="BH71" s="965"/>
      <c r="BI71" s="965"/>
      <c r="BJ71" s="965">
        <v>2</v>
      </c>
      <c r="BK71" s="965"/>
      <c r="BL71" s="965"/>
      <c r="BM71" s="965"/>
      <c r="BN71" s="965"/>
      <c r="BO71" s="965"/>
      <c r="BP71" s="964"/>
      <c r="BQ71" s="971"/>
      <c r="BR71" s="970"/>
      <c r="BS71" s="964"/>
      <c r="BT71" s="420"/>
      <c r="BU71" s="420"/>
      <c r="BV71" s="422"/>
      <c r="BW71" s="420"/>
      <c r="BX71" s="445"/>
      <c r="BY71" s="445"/>
      <c r="BZ71" s="445"/>
      <c r="CA71" s="445"/>
      <c r="CB71" s="445"/>
      <c r="CC71" s="702"/>
      <c r="CD71" s="445"/>
      <c r="CE71" s="972" t="str">
        <f>IFERROR(WWWW[[#This Row],['#_Water sources passed]]/WWWW[[#This Row],['#_Water sources tested for fecal coliform ]],"no test")</f>
        <v>no test</v>
      </c>
      <c r="CF71" s="970" t="str">
        <f>IFERROR(WWWW[[#This Row],['#_Household passed]]/WWWW[[#This Row],['#_Household water samples tested for fecal coliform]],"no test")</f>
        <v>no test</v>
      </c>
      <c r="CG71" s="971" t="str">
        <f>IF(AND(WWWW[[#This Row],[% of water sources passed]]="no test",WWWW[[#This Row],[% Household passed]]="no test"),"No Test","Tested")</f>
        <v>No Test</v>
      </c>
      <c r="CH71" s="971">
        <f>WWWW[[#This Row],['#_Constructed/existing protected hand dug well]]-WWWW[[#This Row],['#_Non-functional protected hand dug well]]</f>
        <v>1</v>
      </c>
      <c r="CI71" s="971">
        <f>(WWWW[[#This Row],['#_Constructed/Existing tube wells/boreholes/handpumps_WASH_agency]]+WWWW[[#This Row],['#_Non-Cluster partner water tube-wells/boreholes/handpumps]])-WWWW[[#This Row],['#_Non-functional tube wells/boreholes/handpumps]]</f>
        <v>0</v>
      </c>
      <c r="CJ71" s="971">
        <f>WWWW[[#This Row],['#_Constructed/Existingwater storage tank with gravity fed reticulation system]]-WWWW[[#This Row],['#_Non-functional storage tank gravity fed reticulation system]]</f>
        <v>0</v>
      </c>
      <c r="CK71" s="971">
        <f>(WWWW[[#This Row],['#_Water_Liters_supplied_by_Water boating or water trucking]]/90)/15</f>
        <v>0</v>
      </c>
      <c r="CL71" s="971">
        <f>WWWW[[#This Row],['#_Water_Liters_from_Constructed/Existing water distribution system from river or natural spring]]/90/15</f>
        <v>0</v>
      </c>
      <c r="CM71" s="421">
        <f>IF(WWWW[[#This Row],['#_of water points in TLS/CFS]]*500&gt;WWWW[[#This Row],[Total PoP ]],WWWW[[#This Row],[Total PoP ]],WWWW[[#This Row],['#_of water points in TLS/CFS]]*500)</f>
        <v>0</v>
      </c>
      <c r="CN71" s="421">
        <f>IF(WWWW[[#This Row],['#_of water points in THF]]*500&gt;WWWW[[#This Row],[Total PoP ]],WWWW[[#This Row],[Total PoP ]],WWWW[[#This Row],['#_of water points in THF]]*500)</f>
        <v>0</v>
      </c>
      <c r="CO71" s="421"/>
      <c r="CP7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1" s="970">
        <f>IF(WWWW[[#This Row],[Location Type 1]]="Village",WWWW[[#This Row],[Access to safe drinking water for Village]],WWWW[[#This Row],[Access to safe drinking water for Camp]])</f>
        <v>1</v>
      </c>
      <c r="CS71" s="968">
        <f>WWWW[[#This Row],[%Equitable and continuous access to sufficient quantity of safe drinking water]]*WWWW[[#This Row],[Total PoP ]]</f>
        <v>57</v>
      </c>
      <c r="CT71" s="970">
        <f>IF((WWWW[[#This Row],['#_Constructed/Existing protected/fenced ponds]]*250)/WWWW[[#This Row],[Total PoP ]]&gt;1,1,(WWWW[[#This Row],['#_Constructed/Existing protected/fenced ponds]]*250)/WWWW[[#This Row],[Total PoP ]])</f>
        <v>0</v>
      </c>
      <c r="CU71" s="968">
        <f>WWWW[[#This Row],[% Access to unimproved water points]]*WWWW[[#This Row],[Total PoP ]]</f>
        <v>0</v>
      </c>
      <c r="CV7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v>
      </c>
      <c r="CX71" s="968">
        <f>WWWW[[#This Row],[HRP1]]/500</f>
        <v>0.114</v>
      </c>
      <c r="CY71" s="973">
        <f>1-WWWW[[#This Row],[% Equitable and continuous access to sufficient quantity of domestic water]]</f>
        <v>0</v>
      </c>
      <c r="CZ71" s="968">
        <f>WWWW[[#This Row],[%equitable and continuous access to sufficient quantity of safe drinking and domestic water''s GAP]]*WWWW[[#This Row],[Total PoP ]]</f>
        <v>0</v>
      </c>
      <c r="DA71" s="971">
        <f>IF(WWWW[[#This Row],[Total required water points]]-WWWW[[#This Row],['#Water points coverage]]&lt;0,0,WWWW[[#This Row],[Total required water points]]-WWWW[[#This Row],['#Water points coverage]])</f>
        <v>0.88600000000000001</v>
      </c>
      <c r="DB71" s="971">
        <f>ROUND(IF(WWWW[[#This Row],[Total PoP ]]&lt;500,1,WWWW[[#This Row],[Total PoP ]]/500),0)</f>
        <v>1</v>
      </c>
      <c r="DC71" s="971">
        <f>(WWWW[[#This Row],['#_Constructed latrines_by_WASHAgencies]]+WWWW[[#This Row],['#_Non Cluster partner latrines]])-WWWW[[#This Row],['#_Non-functional latrines]]</f>
        <v>8</v>
      </c>
      <c r="DD71" s="619">
        <f>WWWW[[#This Row],[HRP2]]/WWWW[[#This Row],[Total PoP ]]</f>
        <v>1</v>
      </c>
      <c r="DE7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57</v>
      </c>
      <c r="DF7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1" s="421">
        <f>IF(WWWW[[#This Row],['# of functional latrines in THF supported by WASH partners during the reporting period2]]="",0,WWWW[[#This Row],['# of functional latrines in THF supported by WASH partners during the reporting period2]]*50)</f>
        <v>0</v>
      </c>
      <c r="DI71" s="971">
        <f>ROUND(IF(WWWW[[#This Row],[Location Type 1]]="camp",WWWW[[#This Row],[Total PoP ]]/20,IF(WWWW[[#This Row],[Location Type 1]]="Temporary Location",WWWW[[#This Row],[Total PoP ]]/50,(WWWW[[#This Row],[Total PoP ]]/6))),0)</f>
        <v>3</v>
      </c>
      <c r="DJ71" s="971">
        <f>IF(WWWW[[#This Row],[Total required Latrines]]-(WWWW[[#This Row],['#_Constructed latrines_by_WASHAgencies]]+WWWW[[#This Row],['#_Non Cluster partner latrines]])&lt;0,0,WWWW[[#This Row],[Total required Latrines]]-(WWWW[[#This Row],['#_Constructed latrines_by_WASHAgencies]]+WWWW[[#This Row],['#_Non Cluster partner latrines]]))</f>
        <v>0</v>
      </c>
      <c r="DK71" s="973">
        <f>1-WWWW[[#This Row],[% people access to functioning Latrine]]</f>
        <v>0</v>
      </c>
      <c r="DL71" s="972">
        <f>IF(OR(WWWW[[#This Row],['#_Non-functional latrines]]="",WWWW[[#This Row],['#_Non-functional latrines]]=0),0,WWWW[[#This Row],['#_Non-functional latrines]]/(WWWW[[#This Row],['#_Constructed latrines_by_WASHAgencies]]+WWWW[[#This Row],['#_Non Cluster partner latrines]]))</f>
        <v>0</v>
      </c>
      <c r="DM71" s="968">
        <f>IF(500*(WWWW[[#This Row],['#_male hygiene promoters]]+WWWW[[#This Row],['#_female hygiene promoters]])&gt;WWWW[[#This Row],[Total PoP ]],WWWW[[#This Row],[Total PoP ]],500*(WWWW[[#This Row],['#_male hygiene promoters]]+WWWW[[#This Row],['#_female hygiene promoters]]))</f>
        <v>0</v>
      </c>
      <c r="DN7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1" s="971">
        <f>IF(WWWW[[#This Row],['# People with access to soap]]&gt;WWWW[[#This Row],['# People with access to Sanity Pads]],WWWW[[#This Row],['# People with access to soap]],WWWW[[#This Row],['# People with access to Sanity Pads]])</f>
        <v>0</v>
      </c>
      <c r="DQ7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1" s="973">
        <f>IF(WWWW[[#This Row],[HRP3]]/WWWW[[#This Row],[Total PoP ]]&gt;1,1,WWWW[[#This Row],[HRP3]]/WWWW[[#This Row],[Total PoP ]])</f>
        <v>0</v>
      </c>
      <c r="DS71" s="972">
        <f>1-WWWW[[#This Row],[Hygiene Coverage%]]</f>
        <v>1</v>
      </c>
      <c r="DT71" s="970">
        <f>WWWW[[#This Row],['# people reached by regular dedicated hygiene promotion_5]]/WWWW[[#This Row],[Total PoP ]]</f>
        <v>0</v>
      </c>
      <c r="DU7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1" s="971">
        <f>WWWW[[#This Row],['#_Constructed/Existing hand washing stations]]-WWWW[[#This Row],['#_Non-Functional_hand_washing_stations]]</f>
        <v>0</v>
      </c>
      <c r="DX71" s="968">
        <f>IF(WWWW[[#This Row],['# Functional hand washing stations during reporting period]]*20&gt;WWWW[[#This Row],[Total HH]],WWWW[[#This Row],[Total HH]],WWWW[[#This Row],['# Functional hand washing stations during reporting period]]*20)</f>
        <v>0</v>
      </c>
      <c r="DY71" s="968">
        <f>IF(WWWW[[#This Row],[Is sufficient soap available for TLS? (Yes/No)]]="yes",WWWW[[#This Row],['#_Constructed/Existing hand washing stations at TLS/CFS/THF]],0)</f>
        <v>0</v>
      </c>
      <c r="DZ71" s="425">
        <f>IF(WWWW[[#This Row],['# Functional hand washing stations during reporting period]]*100&gt;WWWW[[#This Row],[Total PoP ]],WWWW[[#This Row],[Total PoP ]],WWWW[[#This Row],['# Functional hand washing stations during reporting period]]*100)</f>
        <v>0</v>
      </c>
      <c r="EA71" s="425" t="str">
        <f>IF(OR(WWWW[[#This Row],['#_students at TLS_CFS]]="",WWWW[[#This Row],['#_students at TLS_CFS]]=0),"No","Yes")</f>
        <v>No</v>
      </c>
      <c r="EB7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1" s="570">
        <f>WWWW[[#This Row],[%_of_affected_people_surveyed_who_report_feeling_satistfied_with_the_latrine_design_and_sanitation_service]]*WWWW[[#This Row],[Total PoP ]]</f>
        <v>0</v>
      </c>
      <c r="ED71" s="570">
        <f>WWWW[[#This Row],[%_of_affected_people_surveyed_who_report_feeling_satistfied_with_the_water_point_design_and_water_service]]*WWWW[[#This Row],[Total PoP ]]</f>
        <v>0</v>
      </c>
      <c r="EE71" s="570">
        <f>WWWW[[#This Row],[%_of_complaints_received_that_result_in_timely_corrective_action_and_feedback_to_the_community]]*WWWW[[#This Row],[Total PoP ]]</f>
        <v>0</v>
      </c>
      <c r="EF7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1" s="964">
        <f>VLOOKUP(WWWW[[#This Row],[Site Name]],SiteDB6[[Site Name]:[CCCM Management]],6,FALSE)</f>
        <v>0</v>
      </c>
      <c r="EJ71" s="964">
        <f>VLOOKUP(WWWW[[#This Row],[Site Name]],SiteDB6[[Site Name]:[CCCM Focal Agency]],7,FALSE)</f>
        <v>0</v>
      </c>
      <c r="EK71" s="964" t="str">
        <f>VLOOKUP(WWWW[[#This Row],[Site Name]],SiteDB6[[Site Name]:[Location Type 1]],9,FALSE)</f>
        <v>Camp</v>
      </c>
      <c r="EL71" s="964" t="str">
        <f>VLOOKUP(WWWW[[#This Row],[Site Name]],SiteDB6[[Site Name]:[Type of Accommodation]],10,FALSE)</f>
        <v>Camp</v>
      </c>
      <c r="EM71" s="964" t="str">
        <f>VLOOKUP(WWWW[[#This Row],[Site Name]],SiteDB6[[Site Name]:[Ethnic or GCA/NGCA]],11,FALSE)</f>
        <v>GCA</v>
      </c>
      <c r="EN71" s="964">
        <f>VLOOKUP(WWWW[[#This Row],[Site Name]],SiteDB6[[Site Name]:[Lat]],12,FALSE)</f>
        <v>0</v>
      </c>
      <c r="EO71" s="964">
        <f>VLOOKUP(WWWW[[#This Row],[Site Name]],SiteDB6[[Site Name]:[Long]],13,FALSE)</f>
        <v>0</v>
      </c>
      <c r="EP71" s="964">
        <f>VLOOKUP(WWWW[[#This Row],[Site Name]],SiteDB6[[Site Name]:[Pcode]],3,FALSE)</f>
        <v>0</v>
      </c>
      <c r="EQ71" s="969" t="str">
        <f t="shared" si="1"/>
        <v>Covered</v>
      </c>
      <c r="ER71" s="969" t="s">
        <v>3147</v>
      </c>
      <c r="ES71" s="964">
        <f>VLOOKUP(WWWW[[#This Row],[Site Name]],SiteDB6[[Site Name]:[Pop
(Kachin/Shan-CCCM as of March 2023)]],16,FALSE)</f>
        <v>0</v>
      </c>
      <c r="ET71" s="964">
        <f>VLOOKUP(WWWW[[#This Row],[Site Name]],SiteDB6[[Site Name]:[Pop
(Kachin/Shan-CCCM as of March 2023)]],17,FALSE)</f>
        <v>0</v>
      </c>
    </row>
    <row r="72" spans="1:150" hidden="1">
      <c r="A72" s="962" t="s">
        <v>2977</v>
      </c>
      <c r="B72" s="962" t="s">
        <v>141</v>
      </c>
      <c r="C72" s="963" t="s">
        <v>141</v>
      </c>
      <c r="D72" s="963" t="s">
        <v>241</v>
      </c>
      <c r="E72" s="963" t="s">
        <v>37</v>
      </c>
      <c r="F72" s="963" t="s">
        <v>205</v>
      </c>
      <c r="G72" s="964" t="s">
        <v>3081</v>
      </c>
      <c r="H72" s="963" t="s">
        <v>289</v>
      </c>
      <c r="I72" s="965">
        <v>440</v>
      </c>
      <c r="J72" s="965">
        <v>2199</v>
      </c>
      <c r="K72" s="966">
        <v>44105</v>
      </c>
      <c r="L72" s="967">
        <v>44681</v>
      </c>
      <c r="M72" s="965"/>
      <c r="N72" s="965"/>
      <c r="O72" s="965"/>
      <c r="P72" s="965"/>
      <c r="Q72" s="968" t="s">
        <v>41</v>
      </c>
      <c r="R72" s="965"/>
      <c r="S72" s="965"/>
      <c r="T72" s="445"/>
      <c r="U72" s="965"/>
      <c r="V72" s="965"/>
      <c r="W72" s="965">
        <v>1</v>
      </c>
      <c r="X72" s="965"/>
      <c r="Y72" s="965"/>
      <c r="Z72" s="965"/>
      <c r="AA72" s="965"/>
      <c r="AB72" s="965"/>
      <c r="AC72" s="965"/>
      <c r="AD72" s="965"/>
      <c r="AE72" s="965"/>
      <c r="AF72" s="965"/>
      <c r="AG72" s="965"/>
      <c r="AH72" s="965"/>
      <c r="AI72" s="965"/>
      <c r="AJ72" s="965"/>
      <c r="AK72" s="965"/>
      <c r="AL72" s="965"/>
      <c r="AM72" s="965">
        <v>20</v>
      </c>
      <c r="AN72" s="965"/>
      <c r="AO72" s="445"/>
      <c r="AP72" s="969"/>
      <c r="AQ72" s="965"/>
      <c r="AR72" s="965"/>
      <c r="AS72" s="970"/>
      <c r="AT72" s="965"/>
      <c r="AU72" s="965"/>
      <c r="AV72" s="965"/>
      <c r="AW72" s="965"/>
      <c r="AX72" s="965"/>
      <c r="AY72" s="964" t="s">
        <v>140</v>
      </c>
      <c r="AZ72" s="969" t="s">
        <v>140</v>
      </c>
      <c r="BA72" s="965"/>
      <c r="BB72" s="965"/>
      <c r="BC72" s="965">
        <v>51</v>
      </c>
      <c r="BD72" s="445"/>
      <c r="BE72" s="445"/>
      <c r="BF72" s="964"/>
      <c r="BG72" s="965">
        <v>3</v>
      </c>
      <c r="BH72" s="965"/>
      <c r="BI72" s="965"/>
      <c r="BJ72" s="965">
        <v>2</v>
      </c>
      <c r="BK72" s="965"/>
      <c r="BL72" s="965"/>
      <c r="BM72" s="965"/>
      <c r="BN72" s="965"/>
      <c r="BO72" s="965"/>
      <c r="BP72" s="964"/>
      <c r="BQ72" s="971"/>
      <c r="BR72" s="970"/>
      <c r="BS72" s="964"/>
      <c r="BT72" s="420"/>
      <c r="BU72" s="420"/>
      <c r="BV72" s="422"/>
      <c r="BW72" s="420"/>
      <c r="BX72" s="445"/>
      <c r="BY72" s="445"/>
      <c r="BZ72" s="445"/>
      <c r="CA72" s="445"/>
      <c r="CB72" s="445"/>
      <c r="CC72" s="702"/>
      <c r="CD72" s="445"/>
      <c r="CE72" s="972" t="str">
        <f>IFERROR(WWWW[[#This Row],['#_Water sources passed]]/WWWW[[#This Row],['#_Water sources tested for fecal coliform ]],"no test")</f>
        <v>no test</v>
      </c>
      <c r="CF72" s="970" t="str">
        <f>IFERROR(WWWW[[#This Row],['#_Household passed]]/WWWW[[#This Row],['#_Household water samples tested for fecal coliform]],"no test")</f>
        <v>no test</v>
      </c>
      <c r="CG72" s="971" t="str">
        <f>IF(AND(WWWW[[#This Row],[% of water sources passed]]="no test",WWWW[[#This Row],[% Household passed]]="no test"),"No Test","Tested")</f>
        <v>No Test</v>
      </c>
      <c r="CH72" s="971">
        <f>WWWW[[#This Row],['#_Constructed/existing protected hand dug well]]-WWWW[[#This Row],['#_Non-functional protected hand dug well]]</f>
        <v>0</v>
      </c>
      <c r="CI72" s="971">
        <f>(WWWW[[#This Row],['#_Constructed/Existing tube wells/boreholes/handpumps_WASH_agency]]+WWWW[[#This Row],['#_Non-Cluster partner water tube-wells/boreholes/handpumps]])-WWWW[[#This Row],['#_Non-functional tube wells/boreholes/handpumps]]</f>
        <v>1</v>
      </c>
      <c r="CJ72" s="971">
        <f>WWWW[[#This Row],['#_Constructed/Existingwater storage tank with gravity fed reticulation system]]-WWWW[[#This Row],['#_Non-functional storage tank gravity fed reticulation system]]</f>
        <v>0</v>
      </c>
      <c r="CK72" s="971">
        <f>(WWWW[[#This Row],['#_Water_Liters_supplied_by_Water boating or water trucking]]/90)/15</f>
        <v>0</v>
      </c>
      <c r="CL72" s="971">
        <f>WWWW[[#This Row],['#_Water_Liters_from_Constructed/Existing water distribution system from river or natural spring]]/90/15</f>
        <v>0</v>
      </c>
      <c r="CM72" s="421">
        <f>IF(WWWW[[#This Row],['#_of water points in TLS/CFS]]*500&gt;WWWW[[#This Row],[Total PoP ]],WWWW[[#This Row],[Total PoP ]],WWWW[[#This Row],['#_of water points in TLS/CFS]]*500)</f>
        <v>0</v>
      </c>
      <c r="CN72" s="421">
        <f>IF(WWWW[[#This Row],['#_of water points in THF]]*500&gt;WWWW[[#This Row],[Total PoP ]],WWWW[[#This Row],[Total PoP ]],WWWW[[#This Row],['#_of water points in THF]]*500)</f>
        <v>0</v>
      </c>
      <c r="CO72" s="421"/>
      <c r="CP7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Q7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R72" s="970">
        <f>IF(WWWW[[#This Row],[Location Type 1]]="Village",WWWW[[#This Row],[Access to safe drinking water for Village]],WWWW[[#This Row],[Access to safe drinking water for Camp]])</f>
        <v>0.22737608003638018</v>
      </c>
      <c r="CS72" s="968">
        <f>WWWW[[#This Row],[%Equitable and continuous access to sufficient quantity of safe drinking water]]*WWWW[[#This Row],[Total PoP ]]</f>
        <v>500</v>
      </c>
      <c r="CT72" s="970">
        <f>IF((WWWW[[#This Row],['#_Constructed/Existing protected/fenced ponds]]*250)/WWWW[[#This Row],[Total PoP ]]&gt;1,1,(WWWW[[#This Row],['#_Constructed/Existing protected/fenced ponds]]*250)/WWWW[[#This Row],[Total PoP ]])</f>
        <v>0</v>
      </c>
      <c r="CU72" s="968">
        <f>WWWW[[#This Row],[% Access to unimproved water points]]*WWWW[[#This Row],[Total PoP ]]</f>
        <v>0</v>
      </c>
      <c r="CV7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W7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X72" s="968">
        <f>WWWW[[#This Row],[HRP1]]/500</f>
        <v>1</v>
      </c>
      <c r="CY72" s="973">
        <f>1-WWWW[[#This Row],[% Equitable and continuous access to sufficient quantity of domestic water]]</f>
        <v>0.77262391996361979</v>
      </c>
      <c r="CZ72" s="968">
        <f>WWWW[[#This Row],[%equitable and continuous access to sufficient quantity of safe drinking and domestic water''s GAP]]*WWWW[[#This Row],[Total PoP ]]</f>
        <v>1699</v>
      </c>
      <c r="DA72" s="971">
        <f>IF(WWWW[[#This Row],[Total required water points]]-WWWW[[#This Row],['#Water points coverage]]&lt;0,0,WWWW[[#This Row],[Total required water points]]-WWWW[[#This Row],['#Water points coverage]])</f>
        <v>3</v>
      </c>
      <c r="DB72" s="971">
        <f>ROUND(IF(WWWW[[#This Row],[Total PoP ]]&lt;500,1,WWWW[[#This Row],[Total PoP ]]/500),0)</f>
        <v>4</v>
      </c>
      <c r="DC72" s="971">
        <f>(WWWW[[#This Row],['#_Constructed latrines_by_WASHAgencies]]+WWWW[[#This Row],['#_Non Cluster partner latrines]])-WWWW[[#This Row],['#_Non-functional latrines]]</f>
        <v>0</v>
      </c>
      <c r="DD72" s="619">
        <f>WWWW[[#This Row],[HRP2]]/WWWW[[#This Row],[Total PoP ]]</f>
        <v>0</v>
      </c>
      <c r="DE7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7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2" s="421">
        <f>IF(WWWW[[#This Row],['# of functional latrines in THF supported by WASH partners during the reporting period2]]="",0,WWWW[[#This Row],['# of functional latrines in THF supported by WASH partners during the reporting period2]]*50)</f>
        <v>0</v>
      </c>
      <c r="DI72" s="971">
        <f>ROUND(IF(WWWW[[#This Row],[Location Type 1]]="camp",WWWW[[#This Row],[Total PoP ]]/20,IF(WWWW[[#This Row],[Location Type 1]]="Temporary Location",WWWW[[#This Row],[Total PoP ]]/50,(WWWW[[#This Row],[Total PoP ]]/6))),0)</f>
        <v>110</v>
      </c>
      <c r="DJ72" s="971">
        <f>IF(WWWW[[#This Row],[Total required Latrines]]-(WWWW[[#This Row],['#_Constructed latrines_by_WASHAgencies]]+WWWW[[#This Row],['#_Non Cluster partner latrines]])&lt;0,0,WWWW[[#This Row],[Total required Latrines]]-(WWWW[[#This Row],['#_Constructed latrines_by_WASHAgencies]]+WWWW[[#This Row],['#_Non Cluster partner latrines]]))</f>
        <v>110</v>
      </c>
      <c r="DK72" s="973">
        <f>1-WWWW[[#This Row],[% people access to functioning Latrine]]</f>
        <v>1</v>
      </c>
      <c r="DL72" s="972">
        <f>IF(OR(WWWW[[#This Row],['#_Non-functional latrines]]="",WWWW[[#This Row],['#_Non-functional latrines]]=0),0,WWWW[[#This Row],['#_Non-functional latrines]]/(WWWW[[#This Row],['#_Constructed latrines_by_WASHAgencies]]+WWWW[[#This Row],['#_Non Cluster partner latrines]]))</f>
        <v>0</v>
      </c>
      <c r="DM72" s="968">
        <f>IF(500*(WWWW[[#This Row],['#_male hygiene promoters]]+WWWW[[#This Row],['#_female hygiene promoters]])&gt;WWWW[[#This Row],[Total PoP ]],WWWW[[#This Row],[Total PoP ]],500*(WWWW[[#This Row],['#_male hygiene promoters]]+WWWW[[#This Row],['#_female hygiene promoters]]))</f>
        <v>0</v>
      </c>
      <c r="DN7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2" s="971">
        <f>IF(WWWW[[#This Row],['# People with access to soap]]&gt;WWWW[[#This Row],['# People with access to Sanity Pads]],WWWW[[#This Row],['# People with access to soap]],WWWW[[#This Row],['# People with access to Sanity Pads]])</f>
        <v>0</v>
      </c>
      <c r="DQ7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2" s="973">
        <f>IF(WWWW[[#This Row],[HRP3]]/WWWW[[#This Row],[Total PoP ]]&gt;1,1,WWWW[[#This Row],[HRP3]]/WWWW[[#This Row],[Total PoP ]])</f>
        <v>0</v>
      </c>
      <c r="DS72" s="972">
        <f>1-WWWW[[#This Row],[Hygiene Coverage%]]</f>
        <v>1</v>
      </c>
      <c r="DT72" s="970">
        <f>WWWW[[#This Row],['# people reached by regular dedicated hygiene promotion_5]]/WWWW[[#This Row],[Total PoP ]]</f>
        <v>0</v>
      </c>
      <c r="DU7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2" s="971">
        <f>WWWW[[#This Row],['#_Constructed/Existing hand washing stations]]-WWWW[[#This Row],['#_Non-Functional_hand_washing_stations]]</f>
        <v>3</v>
      </c>
      <c r="DX72" s="968">
        <f>IF(WWWW[[#This Row],['# Functional hand washing stations during reporting period]]*20&gt;WWWW[[#This Row],[Total HH]],WWWW[[#This Row],[Total HH]],WWWW[[#This Row],['# Functional hand washing stations during reporting period]]*20)</f>
        <v>60</v>
      </c>
      <c r="DY72" s="968">
        <f>IF(WWWW[[#This Row],[Is sufficient soap available for TLS? (Yes/No)]]="yes",WWWW[[#This Row],['#_Constructed/Existing hand washing stations at TLS/CFS/THF]],0)</f>
        <v>0</v>
      </c>
      <c r="DZ72" s="425">
        <f>IF(WWWW[[#This Row],['# Functional hand washing stations during reporting period]]*100&gt;WWWW[[#This Row],[Total PoP ]],WWWW[[#This Row],[Total PoP ]],WWWW[[#This Row],['# Functional hand washing stations during reporting period]]*100)</f>
        <v>300</v>
      </c>
      <c r="EA72" s="425" t="str">
        <f>IF(OR(WWWW[[#This Row],['#_students at TLS_CFS]]="",WWWW[[#This Row],['#_students at TLS_CFS]]=0),"No","Yes")</f>
        <v>No</v>
      </c>
      <c r="EB7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2" s="570">
        <f>WWWW[[#This Row],[%_of_affected_people_surveyed_who_report_feeling_satistfied_with_the_latrine_design_and_sanitation_service]]*WWWW[[#This Row],[Total PoP ]]</f>
        <v>0</v>
      </c>
      <c r="ED72" s="570">
        <f>WWWW[[#This Row],[%_of_affected_people_surveyed_who_report_feeling_satistfied_with_the_water_point_design_and_water_service]]*WWWW[[#This Row],[Total PoP ]]</f>
        <v>0</v>
      </c>
      <c r="EE72" s="570">
        <f>WWWW[[#This Row],[%_of_complaints_received_that_result_in_timely_corrective_action_and_feedback_to_the_community]]*WWWW[[#This Row],[Total PoP ]]</f>
        <v>0</v>
      </c>
      <c r="EF7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2" s="964">
        <f>VLOOKUP(WWWW[[#This Row],[Site Name]],SiteDB6[[Site Name]:[CCCM Management]],6,FALSE)</f>
        <v>0</v>
      </c>
      <c r="EJ72" s="964">
        <f>VLOOKUP(WWWW[[#This Row],[Site Name]],SiteDB6[[Site Name]:[CCCM Focal Agency]],7,FALSE)</f>
        <v>0</v>
      </c>
      <c r="EK72" s="964" t="str">
        <f>VLOOKUP(WWWW[[#This Row],[Site Name]],SiteDB6[[Site Name]:[Location Type 1]],9,FALSE)</f>
        <v>Camp</v>
      </c>
      <c r="EL72" s="964" t="str">
        <f>VLOOKUP(WWWW[[#This Row],[Site Name]],SiteDB6[[Site Name]:[Type of Accommodation]],10,FALSE)</f>
        <v>School</v>
      </c>
      <c r="EM72" s="964" t="str">
        <f>VLOOKUP(WWWW[[#This Row],[Site Name]],SiteDB6[[Site Name]:[Ethnic or GCA/NGCA]],11,FALSE)</f>
        <v>NGCA</v>
      </c>
      <c r="EN72" s="964">
        <f>VLOOKUP(WWWW[[#This Row],[Site Name]],SiteDB6[[Site Name]:[Lat]],12,FALSE)</f>
        <v>0</v>
      </c>
      <c r="EO72" s="964">
        <f>VLOOKUP(WWWW[[#This Row],[Site Name]],SiteDB6[[Site Name]:[Long]],13,FALSE)</f>
        <v>0</v>
      </c>
      <c r="EP72" s="964">
        <f>VLOOKUP(WWWW[[#This Row],[Site Name]],SiteDB6[[Site Name]:[Pcode]],3,FALSE)</f>
        <v>0</v>
      </c>
      <c r="EQ72" s="969" t="str">
        <f t="shared" si="1"/>
        <v>Covered</v>
      </c>
      <c r="ER72" s="969" t="s">
        <v>3147</v>
      </c>
      <c r="ES72" s="964">
        <f>VLOOKUP(WWWW[[#This Row],[Site Name]],SiteDB6[[Site Name]:[Pop
(Kachin/Shan-CCCM as of March 2023)]],16,FALSE)</f>
        <v>0</v>
      </c>
      <c r="ET72" s="964">
        <f>VLOOKUP(WWWW[[#This Row],[Site Name]],SiteDB6[[Site Name]:[Pop
(Kachin/Shan-CCCM as of March 2023)]],17,FALSE)</f>
        <v>0</v>
      </c>
    </row>
    <row r="73" spans="1:150" hidden="1">
      <c r="A73" s="962" t="s">
        <v>2977</v>
      </c>
      <c r="B73" s="962" t="s">
        <v>309</v>
      </c>
      <c r="C73" s="963" t="s">
        <v>309</v>
      </c>
      <c r="D73" s="963"/>
      <c r="E73" s="963" t="s">
        <v>37</v>
      </c>
      <c r="F73" s="963" t="s">
        <v>142</v>
      </c>
      <c r="G73" s="964" t="str">
        <f>VLOOKUP(WWWW[[#This Row],[Site Name]],SiteDB6[[Site Name]:[Location Type]],8,FALSE)</f>
        <v>Camp</v>
      </c>
      <c r="H73" s="963" t="s">
        <v>3008</v>
      </c>
      <c r="I73" s="965">
        <v>24</v>
      </c>
      <c r="J73" s="965">
        <v>130</v>
      </c>
      <c r="K73" s="966"/>
      <c r="L73" s="967"/>
      <c r="M73" s="965"/>
      <c r="N73" s="965"/>
      <c r="O73" s="965"/>
      <c r="P73" s="965"/>
      <c r="Q73" s="968"/>
      <c r="R73" s="965"/>
      <c r="S73" s="965"/>
      <c r="T73" s="445"/>
      <c r="U73" s="965"/>
      <c r="V73" s="965"/>
      <c r="W73" s="965"/>
      <c r="X73" s="965"/>
      <c r="Y73" s="965"/>
      <c r="Z73" s="965"/>
      <c r="AA73" s="965"/>
      <c r="AB73" s="965"/>
      <c r="AC73" s="965"/>
      <c r="AD73" s="965"/>
      <c r="AE73" s="965"/>
      <c r="AF73" s="965"/>
      <c r="AG73" s="965"/>
      <c r="AH73" s="965"/>
      <c r="AI73" s="965"/>
      <c r="AJ73" s="965"/>
      <c r="AK73" s="965"/>
      <c r="AL73" s="965"/>
      <c r="AM73" s="965"/>
      <c r="AN73" s="965"/>
      <c r="AO73" s="445"/>
      <c r="AP73" s="969"/>
      <c r="AQ73" s="965"/>
      <c r="AR73" s="965"/>
      <c r="AS73" s="970"/>
      <c r="AT73" s="965"/>
      <c r="AU73" s="965"/>
      <c r="AV73" s="965"/>
      <c r="AW73" s="965"/>
      <c r="AX73" s="965"/>
      <c r="AY73" s="964"/>
      <c r="AZ73" s="969"/>
      <c r="BA73" s="965"/>
      <c r="BB73" s="965"/>
      <c r="BC73" s="965"/>
      <c r="BD73" s="445"/>
      <c r="BE73" s="445"/>
      <c r="BF73" s="964"/>
      <c r="BG73" s="965"/>
      <c r="BH73" s="965"/>
      <c r="BI73" s="965"/>
      <c r="BJ73" s="965"/>
      <c r="BK73" s="965"/>
      <c r="BL73" s="965"/>
      <c r="BM73" s="965"/>
      <c r="BN73" s="965"/>
      <c r="BO73" s="965"/>
      <c r="BP73" s="964"/>
      <c r="BQ73" s="971"/>
      <c r="BR73" s="970"/>
      <c r="BS73" s="964"/>
      <c r="BT73" s="420"/>
      <c r="BU73" s="420"/>
      <c r="BV73" s="422"/>
      <c r="BW73" s="420"/>
      <c r="BX73" s="445"/>
      <c r="BY73" s="445"/>
      <c r="BZ73" s="445"/>
      <c r="CA73" s="445"/>
      <c r="CB73" s="445"/>
      <c r="CC73" s="702"/>
      <c r="CD73" s="445"/>
      <c r="CE73" s="972" t="str">
        <f>IFERROR(WWWW[[#This Row],['#_Water sources passed]]/WWWW[[#This Row],['#_Water sources tested for fecal coliform ]],"no test")</f>
        <v>no test</v>
      </c>
      <c r="CF73" s="970" t="str">
        <f>IFERROR(WWWW[[#This Row],['#_Household passed]]/WWWW[[#This Row],['#_Household water samples tested for fecal coliform]],"no test")</f>
        <v>no test</v>
      </c>
      <c r="CG73" s="971" t="str">
        <f>IF(AND(WWWW[[#This Row],[% of water sources passed]]="no test",WWWW[[#This Row],[% Household passed]]="no test"),"No Test","Tested")</f>
        <v>No Test</v>
      </c>
      <c r="CH73" s="971">
        <f>WWWW[[#This Row],['#_Constructed/existing protected hand dug well]]-WWWW[[#This Row],['#_Non-functional protected hand dug well]]</f>
        <v>0</v>
      </c>
      <c r="CI73" s="971">
        <f>(WWWW[[#This Row],['#_Constructed/Existing tube wells/boreholes/handpumps_WASH_agency]]+WWWW[[#This Row],['#_Non-Cluster partner water tube-wells/boreholes/handpumps]])-WWWW[[#This Row],['#_Non-functional tube wells/boreholes/handpumps]]</f>
        <v>0</v>
      </c>
      <c r="CJ73" s="971">
        <f>WWWW[[#This Row],['#_Constructed/Existingwater storage tank with gravity fed reticulation system]]-WWWW[[#This Row],['#_Non-functional storage tank gravity fed reticulation system]]</f>
        <v>0</v>
      </c>
      <c r="CK73" s="971">
        <f>(WWWW[[#This Row],['#_Water_Liters_supplied_by_Water boating or water trucking]]/90)/15</f>
        <v>0</v>
      </c>
      <c r="CL73" s="971">
        <f>WWWW[[#This Row],['#_Water_Liters_from_Constructed/Existing water distribution system from river or natural spring]]/90/15</f>
        <v>0</v>
      </c>
      <c r="CM73" s="421">
        <f>IF(WWWW[[#This Row],['#_of water points in TLS/CFS]]*500&gt;WWWW[[#This Row],[Total PoP ]],WWWW[[#This Row],[Total PoP ]],WWWW[[#This Row],['#_of water points in TLS/CFS]]*500)</f>
        <v>0</v>
      </c>
      <c r="CN73" s="421">
        <f>IF(WWWW[[#This Row],['#_of water points in THF]]*500&gt;WWWW[[#This Row],[Total PoP ]],WWWW[[#This Row],[Total PoP ]],WWWW[[#This Row],['#_of water points in THF]]*500)</f>
        <v>0</v>
      </c>
      <c r="CO73" s="421"/>
      <c r="CP7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7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73" s="970">
        <f>IF(WWWW[[#This Row],[Location Type 1]]="Village",WWWW[[#This Row],[Access to safe drinking water for Village]],WWWW[[#This Row],[Access to safe drinking water for Camp]])</f>
        <v>0</v>
      </c>
      <c r="CS73" s="968">
        <f>WWWW[[#This Row],[%Equitable and continuous access to sufficient quantity of safe drinking water]]*WWWW[[#This Row],[Total PoP ]]</f>
        <v>0</v>
      </c>
      <c r="CT73" s="970">
        <f>IF((WWWW[[#This Row],['#_Constructed/Existing protected/fenced ponds]]*250)/WWWW[[#This Row],[Total PoP ]]&gt;1,1,(WWWW[[#This Row],['#_Constructed/Existing protected/fenced ponds]]*250)/WWWW[[#This Row],[Total PoP ]])</f>
        <v>0</v>
      </c>
      <c r="CU73" s="968">
        <f>WWWW[[#This Row],[% Access to unimproved water points]]*WWWW[[#This Row],[Total PoP ]]</f>
        <v>0</v>
      </c>
      <c r="CV7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7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73" s="968">
        <f>WWWW[[#This Row],[HRP1]]/500</f>
        <v>0</v>
      </c>
      <c r="CY73" s="973">
        <f>1-WWWW[[#This Row],[% Equitable and continuous access to sufficient quantity of domestic water]]</f>
        <v>1</v>
      </c>
      <c r="CZ73" s="968">
        <f>WWWW[[#This Row],[%equitable and continuous access to sufficient quantity of safe drinking and domestic water''s GAP]]*WWWW[[#This Row],[Total PoP ]]</f>
        <v>130</v>
      </c>
      <c r="DA73" s="971">
        <f>IF(WWWW[[#This Row],[Total required water points]]-WWWW[[#This Row],['#Water points coverage]]&lt;0,0,WWWW[[#This Row],[Total required water points]]-WWWW[[#This Row],['#Water points coverage]])</f>
        <v>1</v>
      </c>
      <c r="DB73" s="971">
        <f>ROUND(IF(WWWW[[#This Row],[Total PoP ]]&lt;500,1,WWWW[[#This Row],[Total PoP ]]/500),0)</f>
        <v>1</v>
      </c>
      <c r="DC73" s="971">
        <f>(WWWW[[#This Row],['#_Constructed latrines_by_WASHAgencies]]+WWWW[[#This Row],['#_Non Cluster partner latrines]])-WWWW[[#This Row],['#_Non-functional latrines]]</f>
        <v>0</v>
      </c>
      <c r="DD73" s="619">
        <f>WWWW[[#This Row],[HRP2]]/WWWW[[#This Row],[Total PoP ]]</f>
        <v>0</v>
      </c>
      <c r="DE7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7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3" s="421">
        <f>IF(WWWW[[#This Row],['# of functional latrines in THF supported by WASH partners during the reporting period2]]="",0,WWWW[[#This Row],['# of functional latrines in THF supported by WASH partners during the reporting period2]]*50)</f>
        <v>0</v>
      </c>
      <c r="DI73" s="971">
        <f>ROUND(IF(WWWW[[#This Row],[Location Type 1]]="camp",WWWW[[#This Row],[Total PoP ]]/20,IF(WWWW[[#This Row],[Location Type 1]]="Temporary Location",WWWW[[#This Row],[Total PoP ]]/50,(WWWW[[#This Row],[Total PoP ]]/6))),0)</f>
        <v>7</v>
      </c>
      <c r="DJ73" s="971">
        <f>IF(WWWW[[#This Row],[Total required Latrines]]-(WWWW[[#This Row],['#_Constructed latrines_by_WASHAgencies]]+WWWW[[#This Row],['#_Non Cluster partner latrines]])&lt;0,0,WWWW[[#This Row],[Total required Latrines]]-(WWWW[[#This Row],['#_Constructed latrines_by_WASHAgencies]]+WWWW[[#This Row],['#_Non Cluster partner latrines]]))</f>
        <v>7</v>
      </c>
      <c r="DK73" s="973">
        <f>1-WWWW[[#This Row],[% people access to functioning Latrine]]</f>
        <v>1</v>
      </c>
      <c r="DL73" s="972">
        <f>IF(OR(WWWW[[#This Row],['#_Non-functional latrines]]="",WWWW[[#This Row],['#_Non-functional latrines]]=0),0,WWWW[[#This Row],['#_Non-functional latrines]]/(WWWW[[#This Row],['#_Constructed latrines_by_WASHAgencies]]+WWWW[[#This Row],['#_Non Cluster partner latrines]]))</f>
        <v>0</v>
      </c>
      <c r="DM73" s="968">
        <f>IF(500*(WWWW[[#This Row],['#_male hygiene promoters]]+WWWW[[#This Row],['#_female hygiene promoters]])&gt;WWWW[[#This Row],[Total PoP ]],WWWW[[#This Row],[Total PoP ]],500*(WWWW[[#This Row],['#_male hygiene promoters]]+WWWW[[#This Row],['#_female hygiene promoters]]))</f>
        <v>0</v>
      </c>
      <c r="DN7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3" s="971">
        <f>IF(WWWW[[#This Row],['# People with access to soap]]&gt;WWWW[[#This Row],['# People with access to Sanity Pads]],WWWW[[#This Row],['# People with access to soap]],WWWW[[#This Row],['# People with access to Sanity Pads]])</f>
        <v>0</v>
      </c>
      <c r="DQ7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3" s="973">
        <f>IF(WWWW[[#This Row],[HRP3]]/WWWW[[#This Row],[Total PoP ]]&gt;1,1,WWWW[[#This Row],[HRP3]]/WWWW[[#This Row],[Total PoP ]])</f>
        <v>0</v>
      </c>
      <c r="DS73" s="972">
        <f>1-WWWW[[#This Row],[Hygiene Coverage%]]</f>
        <v>1</v>
      </c>
      <c r="DT73" s="970">
        <f>WWWW[[#This Row],['# people reached by regular dedicated hygiene promotion_5]]/WWWW[[#This Row],[Total PoP ]]</f>
        <v>0</v>
      </c>
      <c r="DU7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3" s="971">
        <f>WWWW[[#This Row],['#_Constructed/Existing hand washing stations]]-WWWW[[#This Row],['#_Non-Functional_hand_washing_stations]]</f>
        <v>0</v>
      </c>
      <c r="DX73" s="968">
        <f>IF(WWWW[[#This Row],['# Functional hand washing stations during reporting period]]*20&gt;WWWW[[#This Row],[Total HH]],WWWW[[#This Row],[Total HH]],WWWW[[#This Row],['# Functional hand washing stations during reporting period]]*20)</f>
        <v>0</v>
      </c>
      <c r="DY73" s="968">
        <f>IF(WWWW[[#This Row],[Is sufficient soap available for TLS? (Yes/No)]]="yes",WWWW[[#This Row],['#_Constructed/Existing hand washing stations at TLS/CFS/THF]],0)</f>
        <v>0</v>
      </c>
      <c r="DZ73" s="425">
        <f>IF(WWWW[[#This Row],['# Functional hand washing stations during reporting period]]*100&gt;WWWW[[#This Row],[Total PoP ]],WWWW[[#This Row],[Total PoP ]],WWWW[[#This Row],['# Functional hand washing stations during reporting period]]*100)</f>
        <v>0</v>
      </c>
      <c r="EA73" s="425" t="str">
        <f>IF(OR(WWWW[[#This Row],['#_students at TLS_CFS]]="",WWWW[[#This Row],['#_students at TLS_CFS]]=0),"No","Yes")</f>
        <v>No</v>
      </c>
      <c r="EB7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3" s="570">
        <f>WWWW[[#This Row],[%_of_affected_people_surveyed_who_report_feeling_satistfied_with_the_latrine_design_and_sanitation_service]]*WWWW[[#This Row],[Total PoP ]]</f>
        <v>0</v>
      </c>
      <c r="ED73" s="570">
        <f>WWWW[[#This Row],[%_of_affected_people_surveyed_who_report_feeling_satistfied_with_the_water_point_design_and_water_service]]*WWWW[[#This Row],[Total PoP ]]</f>
        <v>0</v>
      </c>
      <c r="EE73" s="570">
        <f>WWWW[[#This Row],[%_of_complaints_received_that_result_in_timely_corrective_action_and_feedback_to_the_community]]*WWWW[[#This Row],[Total PoP ]]</f>
        <v>0</v>
      </c>
      <c r="EF7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3" s="964">
        <f>VLOOKUP(WWWW[[#This Row],[Site Name]],SiteDB6[[Site Name]:[CCCM Management]],6,FALSE)</f>
        <v>0</v>
      </c>
      <c r="EJ73" s="964" t="str">
        <f>VLOOKUP(WWWW[[#This Row],[Site Name]],SiteDB6[[Site Name]:[CCCM Focal Agency]],7,FALSE)</f>
        <v>DFSS</v>
      </c>
      <c r="EK73" s="964" t="str">
        <f>VLOOKUP(WWWW[[#This Row],[Site Name]],SiteDB6[[Site Name]:[Location Type 1]],9,FALSE)</f>
        <v>Camp</v>
      </c>
      <c r="EL73" s="964" t="str">
        <f>VLOOKUP(WWWW[[#This Row],[Site Name]],SiteDB6[[Site Name]:[Type of Accommodation]],10,FALSE)</f>
        <v>Camp like setting</v>
      </c>
      <c r="EM73" s="964" t="str">
        <f>VLOOKUP(WWWW[[#This Row],[Site Name]],SiteDB6[[Site Name]:[Ethnic or GCA/NGCA]],11,FALSE)</f>
        <v>GCA</v>
      </c>
      <c r="EN73" s="964">
        <f>VLOOKUP(WWWW[[#This Row],[Site Name]],SiteDB6[[Site Name]:[Lat]],12,FALSE)</f>
        <v>0</v>
      </c>
      <c r="EO73" s="964">
        <f>VLOOKUP(WWWW[[#This Row],[Site Name]],SiteDB6[[Site Name]:[Long]],13,FALSE)</f>
        <v>0</v>
      </c>
      <c r="EP73" s="964" t="str">
        <f>VLOOKUP(WWWW[[#This Row],[Site Name]],SiteDB6[[Site Name]:[Pcode]],3,FALSE)</f>
        <v>MMR001CMP303</v>
      </c>
      <c r="EQ73" s="969" t="str">
        <f t="shared" si="1"/>
        <v>Notcovered</v>
      </c>
      <c r="ER73" s="969"/>
      <c r="ES73" s="964">
        <f>VLOOKUP(WWWW[[#This Row],[Site Name]],SiteDB6[[Site Name]:[Pop
(Kachin/Shan-CCCM as of March 2023)]],16,FALSE)</f>
        <v>24</v>
      </c>
      <c r="ET73" s="964">
        <f>VLOOKUP(WWWW[[#This Row],[Site Name]],SiteDB6[[Site Name]:[Pop
(Kachin/Shan-CCCM as of March 2023)]],17,FALSE)</f>
        <v>130</v>
      </c>
    </row>
    <row r="74" spans="1:150" hidden="1">
      <c r="A74" s="962" t="s">
        <v>2977</v>
      </c>
      <c r="B74" s="962" t="s">
        <v>36</v>
      </c>
      <c r="C74" s="963" t="s">
        <v>36</v>
      </c>
      <c r="D74" s="963" t="s">
        <v>241</v>
      </c>
      <c r="E74" s="963" t="s">
        <v>37</v>
      </c>
      <c r="F74" s="963" t="s">
        <v>863</v>
      </c>
      <c r="G74" s="964" t="str">
        <f>VLOOKUP(WWWW[[#This Row],[Site Name]],SiteDB6[[Site Name]:[Location Type]],8,FALSE)</f>
        <v>Camp</v>
      </c>
      <c r="H74" s="963" t="s">
        <v>1717</v>
      </c>
      <c r="I74" s="965">
        <v>133</v>
      </c>
      <c r="J74" s="965">
        <v>628</v>
      </c>
      <c r="K74" s="966">
        <v>44973</v>
      </c>
      <c r="L74" s="967">
        <v>45337</v>
      </c>
      <c r="M74" s="965"/>
      <c r="N74" s="965">
        <v>3</v>
      </c>
      <c r="O74" s="965"/>
      <c r="P74" s="965"/>
      <c r="Q74" s="968" t="s">
        <v>41</v>
      </c>
      <c r="R74" s="965">
        <v>4</v>
      </c>
      <c r="S74" s="965">
        <v>2</v>
      </c>
      <c r="T74" s="445">
        <v>1</v>
      </c>
      <c r="U74" s="965"/>
      <c r="V74" s="965"/>
      <c r="W74" s="965">
        <v>1</v>
      </c>
      <c r="X74" s="965"/>
      <c r="Y74" s="965"/>
      <c r="Z74" s="965"/>
      <c r="AA74" s="965"/>
      <c r="AB74" s="965"/>
      <c r="AC74" s="965"/>
      <c r="AD74" s="965"/>
      <c r="AE74" s="965"/>
      <c r="AF74" s="965"/>
      <c r="AG74" s="965"/>
      <c r="AH74" s="965"/>
      <c r="AI74" s="965"/>
      <c r="AJ74" s="965"/>
      <c r="AK74" s="965"/>
      <c r="AL74" s="965"/>
      <c r="AM74" s="965">
        <v>5</v>
      </c>
      <c r="AN74" s="965"/>
      <c r="AO74" s="445"/>
      <c r="AP74" s="969"/>
      <c r="AQ74" s="965">
        <v>1</v>
      </c>
      <c r="AR74" s="965"/>
      <c r="AS74" s="970"/>
      <c r="AT74" s="965"/>
      <c r="AU74" s="965"/>
      <c r="AV74" s="965"/>
      <c r="AW74" s="965"/>
      <c r="AX74" s="965"/>
      <c r="AY74" s="964" t="s">
        <v>41</v>
      </c>
      <c r="AZ74" s="969" t="s">
        <v>137</v>
      </c>
      <c r="BA74" s="965"/>
      <c r="BB74" s="965"/>
      <c r="BC74" s="965"/>
      <c r="BD74" s="445"/>
      <c r="BE74" s="445"/>
      <c r="BF74" s="964"/>
      <c r="BG74" s="965">
        <v>5</v>
      </c>
      <c r="BH74" s="965"/>
      <c r="BI74" s="965"/>
      <c r="BJ74" s="965">
        <v>7</v>
      </c>
      <c r="BK74" s="965"/>
      <c r="BL74" s="965"/>
      <c r="BM74" s="965">
        <v>1</v>
      </c>
      <c r="BN74" s="965"/>
      <c r="BO74" s="965"/>
      <c r="BP74" s="964" t="s">
        <v>41</v>
      </c>
      <c r="BQ74" s="971">
        <v>1</v>
      </c>
      <c r="BR74" s="970"/>
      <c r="BS74" s="1013" t="s">
        <v>3153</v>
      </c>
      <c r="BT74" s="420"/>
      <c r="BU74" s="420"/>
      <c r="BV74" s="422"/>
      <c r="BW74" s="420"/>
      <c r="BX74" s="445"/>
      <c r="BY74" s="445"/>
      <c r="BZ74" s="445"/>
      <c r="CA74" s="445"/>
      <c r="CB74" s="445"/>
      <c r="CC74" s="702"/>
      <c r="CD74" s="445"/>
      <c r="CE74" s="972" t="str">
        <f>IFERROR(WWWW[[#This Row],['#_Water sources passed]]/WWWW[[#This Row],['#_Water sources tested for fecal coliform ]],"no test")</f>
        <v>no test</v>
      </c>
      <c r="CF74" s="970" t="str">
        <f>IFERROR(WWWW[[#This Row],['#_Household passed]]/WWWW[[#This Row],['#_Household water samples tested for fecal coliform]],"no test")</f>
        <v>no test</v>
      </c>
      <c r="CG74" s="971" t="str">
        <f>IF(AND(WWWW[[#This Row],[% of water sources passed]]="no test",WWWW[[#This Row],[% Household passed]]="no test"),"No Test","Tested")</f>
        <v>No Test</v>
      </c>
      <c r="CH74" s="971">
        <f>WWWW[[#This Row],['#_Constructed/existing protected hand dug well]]-WWWW[[#This Row],['#_Non-functional protected hand dug well]]</f>
        <v>1</v>
      </c>
      <c r="CI74" s="971">
        <f>(WWWW[[#This Row],['#_Constructed/Existing tube wells/boreholes/handpumps_WASH_agency]]+WWWW[[#This Row],['#_Non-Cluster partner water tube-wells/boreholes/handpumps]])-WWWW[[#This Row],['#_Non-functional tube wells/boreholes/handpumps]]</f>
        <v>1</v>
      </c>
      <c r="CJ74" s="971">
        <f>WWWW[[#This Row],['#_Constructed/Existingwater storage tank with gravity fed reticulation system]]-WWWW[[#This Row],['#_Non-functional storage tank gravity fed reticulation system]]</f>
        <v>0</v>
      </c>
      <c r="CK74" s="971">
        <f>(WWWW[[#This Row],['#_Water_Liters_supplied_by_Water boating or water trucking]]/90)/15</f>
        <v>0</v>
      </c>
      <c r="CL74" s="971">
        <f>WWWW[[#This Row],['#_Water_Liters_from_Constructed/Existing water distribution system from river or natural spring]]/90/15</f>
        <v>0</v>
      </c>
      <c r="CM74" s="421">
        <f>IF(WWWW[[#This Row],['#_of water points in TLS/CFS]]*500&gt;WWWW[[#This Row],[Total PoP ]],WWWW[[#This Row],[Total PoP ]],WWWW[[#This Row],['#_of water points in TLS/CFS]]*500)</f>
        <v>0</v>
      </c>
      <c r="CN74" s="421">
        <f>IF(WWWW[[#This Row],['#_of water points in THF]]*500&gt;WWWW[[#This Row],[Total PoP ]],WWWW[[#This Row],[Total PoP ]],WWWW[[#This Row],['#_of water points in THF]]*500)</f>
        <v>0</v>
      </c>
      <c r="CO74" s="421"/>
      <c r="CP7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0.79617834394904463</v>
      </c>
      <c r="CR74" s="970">
        <f>IF(WWWW[[#This Row],[Location Type 1]]="Village",WWWW[[#This Row],[Access to safe drinking water for Village]],WWWW[[#This Row],[Access to safe drinking water for Camp]])</f>
        <v>1</v>
      </c>
      <c r="CS74" s="968">
        <f>WWWW[[#This Row],[%Equitable and continuous access to sufficient quantity of safe drinking water]]*WWWW[[#This Row],[Total PoP ]]</f>
        <v>628</v>
      </c>
      <c r="CT74" s="970">
        <f>IF((WWWW[[#This Row],['#_Constructed/Existing protected/fenced ponds]]*250)/WWWW[[#This Row],[Total PoP ]]&gt;1,1,(WWWW[[#This Row],['#_Constructed/Existing protected/fenced ponds]]*250)/WWWW[[#This Row],[Total PoP ]])</f>
        <v>0</v>
      </c>
      <c r="CU74" s="968">
        <f>WWWW[[#This Row],[% Access to unimproved water points]]*WWWW[[#This Row],[Total PoP ]]</f>
        <v>0</v>
      </c>
      <c r="CV7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628</v>
      </c>
      <c r="CX74" s="968">
        <f>WWWW[[#This Row],[HRP1]]/500</f>
        <v>1.256</v>
      </c>
      <c r="CY74" s="973">
        <f>1-WWWW[[#This Row],[% Equitable and continuous access to sufficient quantity of domestic water]]</f>
        <v>0</v>
      </c>
      <c r="CZ74" s="968">
        <f>WWWW[[#This Row],[%equitable and continuous access to sufficient quantity of safe drinking and domestic water''s GAP]]*WWWW[[#This Row],[Total PoP ]]</f>
        <v>0</v>
      </c>
      <c r="DA74" s="971">
        <f>IF(WWWW[[#This Row],[Total required water points]]-WWWW[[#This Row],['#Water points coverage]]&lt;0,0,WWWW[[#This Row],[Total required water points]]-WWWW[[#This Row],['#Water points coverage]])</f>
        <v>0</v>
      </c>
      <c r="DB74" s="971">
        <f>ROUND(IF(WWWW[[#This Row],[Total PoP ]]&lt;500,1,WWWW[[#This Row],[Total PoP ]]/500),0)</f>
        <v>1</v>
      </c>
      <c r="DC74" s="971">
        <f>(WWWW[[#This Row],['#_Constructed latrines_by_WASHAgencies]]+WWWW[[#This Row],['#_Non Cluster partner latrines]])-WWWW[[#This Row],['#_Non-functional latrines]]</f>
        <v>1</v>
      </c>
      <c r="DD74" s="619">
        <f>WWWW[[#This Row],[HRP2]]/WWWW[[#This Row],[Total PoP ]]</f>
        <v>3.1847133757961783E-2</v>
      </c>
      <c r="DE7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v>
      </c>
      <c r="DF7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4" s="421">
        <f>IF(WWWW[[#This Row],['# of functional latrines in THF supported by WASH partners during the reporting period2]]="",0,WWWW[[#This Row],['# of functional latrines in THF supported by WASH partners during the reporting period2]]*50)</f>
        <v>0</v>
      </c>
      <c r="DI74" s="971">
        <f>ROUND(IF(WWWW[[#This Row],[Location Type 1]]="camp",WWWW[[#This Row],[Total PoP ]]/20,IF(WWWW[[#This Row],[Location Type 1]]="Temporary Location",WWWW[[#This Row],[Total PoP ]]/50,(WWWW[[#This Row],[Total PoP ]]/6))),0)</f>
        <v>31</v>
      </c>
      <c r="DJ74" s="971">
        <f>IF(WWWW[[#This Row],[Total required Latrines]]-(WWWW[[#This Row],['#_Constructed latrines_by_WASHAgencies]]+WWWW[[#This Row],['#_Non Cluster partner latrines]])&lt;0,0,WWWW[[#This Row],[Total required Latrines]]-(WWWW[[#This Row],['#_Constructed latrines_by_WASHAgencies]]+WWWW[[#This Row],['#_Non Cluster partner latrines]]))</f>
        <v>30</v>
      </c>
      <c r="DK74" s="973">
        <f>1-WWWW[[#This Row],[% people access to functioning Latrine]]</f>
        <v>0.96815286624203822</v>
      </c>
      <c r="DL74" s="972">
        <f>IF(OR(WWWW[[#This Row],['#_Non-functional latrines]]="",WWWW[[#This Row],['#_Non-functional latrines]]=0),0,WWWW[[#This Row],['#_Non-functional latrines]]/(WWWW[[#This Row],['#_Constructed latrines_by_WASHAgencies]]+WWWW[[#This Row],['#_Non Cluster partner latrines]]))</f>
        <v>0</v>
      </c>
      <c r="DM74" s="968">
        <f>IF(500*(WWWW[[#This Row],['#_male hygiene promoters]]+WWWW[[#This Row],['#_female hygiene promoters]])&gt;WWWW[[#This Row],[Total PoP ]],WWWW[[#This Row],[Total PoP ]],500*(WWWW[[#This Row],['#_male hygiene promoters]]+WWWW[[#This Row],['#_female hygiene promoters]]))</f>
        <v>500</v>
      </c>
      <c r="DN7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4" s="971">
        <f>IF(WWWW[[#This Row],['# People with access to soap]]&gt;WWWW[[#This Row],['# People with access to Sanity Pads]],WWWW[[#This Row],['# People with access to soap]],WWWW[[#This Row],['# People with access to Sanity Pads]])</f>
        <v>0</v>
      </c>
      <c r="DQ74"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74" s="973">
        <f>IF(WWWW[[#This Row],[HRP3]]/WWWW[[#This Row],[Total PoP ]]&gt;1,1,WWWW[[#This Row],[HRP3]]/WWWW[[#This Row],[Total PoP ]])</f>
        <v>0.79617834394904463</v>
      </c>
      <c r="DS74" s="972">
        <f>1-WWWW[[#This Row],[Hygiene Coverage%]]</f>
        <v>0.20382165605095537</v>
      </c>
      <c r="DT74" s="970">
        <f>WWWW[[#This Row],['# people reached by regular dedicated hygiene promotion_5]]/WWWW[[#This Row],[Total PoP ]]</f>
        <v>0.79617834394904463</v>
      </c>
      <c r="DU7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4" s="971">
        <f>WWWW[[#This Row],['#_Constructed/Existing hand washing stations]]-WWWW[[#This Row],['#_Non-Functional_hand_washing_stations]]</f>
        <v>5</v>
      </c>
      <c r="DX74" s="968">
        <f>IF(WWWW[[#This Row],['# Functional hand washing stations during reporting period]]*20&gt;WWWW[[#This Row],[Total HH]],WWWW[[#This Row],[Total HH]],WWWW[[#This Row],['# Functional hand washing stations during reporting period]]*20)</f>
        <v>100</v>
      </c>
      <c r="DY74" s="968">
        <f>IF(WWWW[[#This Row],[Is sufficient soap available for TLS? (Yes/No)]]="yes",WWWW[[#This Row],['#_Constructed/Existing hand washing stations at TLS/CFS/THF]],0)</f>
        <v>5</v>
      </c>
      <c r="DZ74" s="425">
        <f>IF(WWWW[[#This Row],['# Functional hand washing stations during reporting period]]*100&gt;WWWW[[#This Row],[Total PoP ]],WWWW[[#This Row],[Total PoP ]],WWWW[[#This Row],['# Functional hand washing stations during reporting period]]*100)</f>
        <v>500</v>
      </c>
      <c r="EA74" s="425" t="str">
        <f>IF(OR(WWWW[[#This Row],['#_students at TLS_CFS]]="",WWWW[[#This Row],['#_students at TLS_CFS]]=0),"No","Yes")</f>
        <v>No</v>
      </c>
      <c r="EB7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4" s="570">
        <f>WWWW[[#This Row],[%_of_affected_people_surveyed_who_report_feeling_satistfied_with_the_latrine_design_and_sanitation_service]]*WWWW[[#This Row],[Total PoP ]]</f>
        <v>0</v>
      </c>
      <c r="ED74" s="570">
        <f>WWWW[[#This Row],[%_of_affected_people_surveyed_who_report_feeling_satistfied_with_the_water_point_design_and_water_service]]*WWWW[[#This Row],[Total PoP ]]</f>
        <v>0</v>
      </c>
      <c r="EE74" s="570">
        <f>WWWW[[#This Row],[%_of_complaints_received_that_result_in_timely_corrective_action_and_feedback_to_the_community]]*WWWW[[#This Row],[Total PoP ]]</f>
        <v>0</v>
      </c>
      <c r="EF7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4" s="964" t="str">
        <f>VLOOKUP(WWWW[[#This Row],[Site Name]],SiteDB6[[Site Name]:[CCCM Management]],6,FALSE)</f>
        <v>Yes</v>
      </c>
      <c r="EJ74" s="964" t="str">
        <f>VLOOKUP(WWWW[[#This Row],[Site Name]],SiteDB6[[Site Name]:[CCCM Focal Agency]],7,FALSE)</f>
        <v>KMSS-MYT</v>
      </c>
      <c r="EK74" s="964" t="str">
        <f>VLOOKUP(WWWW[[#This Row],[Site Name]],SiteDB6[[Site Name]:[Location Type 1]],9,FALSE)</f>
        <v>Camp</v>
      </c>
      <c r="EL74" s="964" t="str">
        <f>VLOOKUP(WWWW[[#This Row],[Site Name]],SiteDB6[[Site Name]:[Type of Accommodation]],10,FALSE)</f>
        <v>Camp</v>
      </c>
      <c r="EM74" s="964" t="str">
        <f>VLOOKUP(WWWW[[#This Row],[Site Name]],SiteDB6[[Site Name]:[Ethnic or GCA/NGCA]],11,FALSE)</f>
        <v>GCA</v>
      </c>
      <c r="EN74" s="964">
        <f>VLOOKUP(WWWW[[#This Row],[Site Name]],SiteDB6[[Site Name]:[Lat]],12,FALSE)</f>
        <v>26.350176000000001</v>
      </c>
      <c r="EO74" s="964">
        <f>VLOOKUP(WWWW[[#This Row],[Site Name]],SiteDB6[[Site Name]:[Long]],13,FALSE)</f>
        <v>96.711387999999999</v>
      </c>
      <c r="EP74" s="964" t="str">
        <f>VLOOKUP(WWWW[[#This Row],[Site Name]],SiteDB6[[Site Name]:[Pcode]],3,FALSE)</f>
        <v>MMR001CMP251</v>
      </c>
      <c r="EQ74" s="969" t="str">
        <f t="shared" si="1"/>
        <v>Covered</v>
      </c>
      <c r="ER74" s="969" t="s">
        <v>3147</v>
      </c>
      <c r="ES74" s="964">
        <f>VLOOKUP(WWWW[[#This Row],[Site Name]],SiteDB6[[Site Name]:[Pop
(Kachin/Shan-CCCM as of March 2023)]],16,FALSE)</f>
        <v>133</v>
      </c>
      <c r="ET74" s="964">
        <f>VLOOKUP(WWWW[[#This Row],[Site Name]],SiteDB6[[Site Name]:[Pop
(Kachin/Shan-CCCM as of March 2023)]],17,FALSE)</f>
        <v>629</v>
      </c>
    </row>
    <row r="75" spans="1:150" hidden="1">
      <c r="A75" s="962" t="s">
        <v>2977</v>
      </c>
      <c r="B75" s="962" t="s">
        <v>36</v>
      </c>
      <c r="C75" s="963" t="s">
        <v>36</v>
      </c>
      <c r="D75" s="963" t="s">
        <v>241</v>
      </c>
      <c r="E75" s="963" t="s">
        <v>37</v>
      </c>
      <c r="F75" s="963" t="s">
        <v>863</v>
      </c>
      <c r="G75" s="964" t="str">
        <f>VLOOKUP(WWWW[[#This Row],[Site Name]],SiteDB6[[Site Name]:[Location Type]],8,FALSE)</f>
        <v>Camp</v>
      </c>
      <c r="H75" s="963" t="s">
        <v>865</v>
      </c>
      <c r="I75" s="965">
        <v>36</v>
      </c>
      <c r="J75" s="965">
        <v>174</v>
      </c>
      <c r="K75" s="966">
        <v>44973</v>
      </c>
      <c r="L75" s="967">
        <v>45337</v>
      </c>
      <c r="M75" s="965"/>
      <c r="N75" s="965">
        <v>1</v>
      </c>
      <c r="O75" s="965"/>
      <c r="P75" s="965"/>
      <c r="Q75" s="968" t="s">
        <v>41</v>
      </c>
      <c r="R75" s="965">
        <v>4</v>
      </c>
      <c r="S75" s="965">
        <v>1</v>
      </c>
      <c r="T75" s="445"/>
      <c r="U75" s="965"/>
      <c r="V75" s="965"/>
      <c r="W75" s="965">
        <v>2</v>
      </c>
      <c r="X75" s="965"/>
      <c r="Y75" s="965"/>
      <c r="Z75" s="965"/>
      <c r="AA75" s="965"/>
      <c r="AB75" s="965"/>
      <c r="AC75" s="965"/>
      <c r="AD75" s="965"/>
      <c r="AE75" s="965"/>
      <c r="AF75" s="965"/>
      <c r="AG75" s="965"/>
      <c r="AH75" s="965"/>
      <c r="AI75" s="965"/>
      <c r="AJ75" s="965"/>
      <c r="AK75" s="965"/>
      <c r="AL75" s="965"/>
      <c r="AM75" s="965">
        <v>5</v>
      </c>
      <c r="AN75" s="965"/>
      <c r="AO75" s="445"/>
      <c r="AP75" s="969"/>
      <c r="AQ75" s="965">
        <v>2</v>
      </c>
      <c r="AR75" s="965"/>
      <c r="AS75" s="970"/>
      <c r="AT75" s="965"/>
      <c r="AU75" s="965"/>
      <c r="AV75" s="965"/>
      <c r="AW75" s="965"/>
      <c r="AX75" s="965"/>
      <c r="AY75" s="964" t="s">
        <v>41</v>
      </c>
      <c r="AZ75" s="969" t="s">
        <v>136</v>
      </c>
      <c r="BA75" s="965"/>
      <c r="BB75" s="965"/>
      <c r="BC75" s="965"/>
      <c r="BD75" s="445"/>
      <c r="BE75" s="445"/>
      <c r="BF75" s="964"/>
      <c r="BG75" s="965">
        <v>7</v>
      </c>
      <c r="BH75" s="965"/>
      <c r="BI75" s="965">
        <v>2</v>
      </c>
      <c r="BJ75" s="965">
        <v>2</v>
      </c>
      <c r="BK75" s="965"/>
      <c r="BL75" s="965"/>
      <c r="BM75" s="965">
        <v>1</v>
      </c>
      <c r="BN75" s="965"/>
      <c r="BO75" s="965"/>
      <c r="BP75" s="964" t="s">
        <v>41</v>
      </c>
      <c r="BQ75" s="971">
        <v>1</v>
      </c>
      <c r="BR75" s="970"/>
      <c r="BS75" s="1013" t="s">
        <v>3153</v>
      </c>
      <c r="BT75" s="420"/>
      <c r="BU75" s="420"/>
      <c r="BV75" s="422"/>
      <c r="BW75" s="420"/>
      <c r="BX75" s="445"/>
      <c r="BY75" s="445"/>
      <c r="BZ75" s="445"/>
      <c r="CA75" s="445"/>
      <c r="CB75" s="445"/>
      <c r="CC75" s="702"/>
      <c r="CD75" s="445"/>
      <c r="CE75" s="972" t="str">
        <f>IFERROR(WWWW[[#This Row],['#_Water sources passed]]/WWWW[[#This Row],['#_Water sources tested for fecal coliform ]],"no test")</f>
        <v>no test</v>
      </c>
      <c r="CF75" s="970" t="str">
        <f>IFERROR(WWWW[[#This Row],['#_Household passed]]/WWWW[[#This Row],['#_Household water samples tested for fecal coliform]],"no test")</f>
        <v>no test</v>
      </c>
      <c r="CG75" s="971" t="str">
        <f>IF(AND(WWWW[[#This Row],[% of water sources passed]]="no test",WWWW[[#This Row],[% Household passed]]="no test"),"No Test","Tested")</f>
        <v>No Test</v>
      </c>
      <c r="CH75" s="971">
        <f>WWWW[[#This Row],['#_Constructed/existing protected hand dug well]]-WWWW[[#This Row],['#_Non-functional protected hand dug well]]</f>
        <v>0</v>
      </c>
      <c r="CI75" s="971">
        <f>(WWWW[[#This Row],['#_Constructed/Existing tube wells/boreholes/handpumps_WASH_agency]]+WWWW[[#This Row],['#_Non-Cluster partner water tube-wells/boreholes/handpumps]])-WWWW[[#This Row],['#_Non-functional tube wells/boreholes/handpumps]]</f>
        <v>2</v>
      </c>
      <c r="CJ75" s="971">
        <f>WWWW[[#This Row],['#_Constructed/Existingwater storage tank with gravity fed reticulation system]]-WWWW[[#This Row],['#_Non-functional storage tank gravity fed reticulation system]]</f>
        <v>0</v>
      </c>
      <c r="CK75" s="971">
        <f>(WWWW[[#This Row],['#_Water_Liters_supplied_by_Water boating or water trucking]]/90)/15</f>
        <v>0</v>
      </c>
      <c r="CL75" s="971">
        <f>WWWW[[#This Row],['#_Water_Liters_from_Constructed/Existing water distribution system from river or natural spring]]/90/15</f>
        <v>0</v>
      </c>
      <c r="CM75" s="421">
        <f>IF(WWWW[[#This Row],['#_of water points in TLS/CFS]]*500&gt;WWWW[[#This Row],[Total PoP ]],WWWW[[#This Row],[Total PoP ]],WWWW[[#This Row],['#_of water points in TLS/CFS]]*500)</f>
        <v>0</v>
      </c>
      <c r="CN75" s="421">
        <f>IF(WWWW[[#This Row],['#_of water points in THF]]*500&gt;WWWW[[#This Row],[Total PoP ]],WWWW[[#This Row],[Total PoP ]],WWWW[[#This Row],['#_of water points in THF]]*500)</f>
        <v>0</v>
      </c>
      <c r="CO75" s="421"/>
      <c r="CP7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5" s="970">
        <f>IF(WWWW[[#This Row],[Location Type 1]]="Village",WWWW[[#This Row],[Access to safe drinking water for Village]],WWWW[[#This Row],[Access to safe drinking water for Camp]])</f>
        <v>1</v>
      </c>
      <c r="CS75" s="968">
        <f>WWWW[[#This Row],[%Equitable and continuous access to sufficient quantity of safe drinking water]]*WWWW[[#This Row],[Total PoP ]]</f>
        <v>174</v>
      </c>
      <c r="CT75" s="970">
        <f>IF((WWWW[[#This Row],['#_Constructed/Existing protected/fenced ponds]]*250)/WWWW[[#This Row],[Total PoP ]]&gt;1,1,(WWWW[[#This Row],['#_Constructed/Existing protected/fenced ponds]]*250)/WWWW[[#This Row],[Total PoP ]])</f>
        <v>0</v>
      </c>
      <c r="CU75" s="968">
        <f>WWWW[[#This Row],[% Access to unimproved water points]]*WWWW[[#This Row],[Total PoP ]]</f>
        <v>0</v>
      </c>
      <c r="CV7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X75" s="968">
        <f>WWWW[[#This Row],[HRP1]]/500</f>
        <v>0.34799999999999998</v>
      </c>
      <c r="CY75" s="973">
        <f>1-WWWW[[#This Row],[% Equitable and continuous access to sufficient quantity of domestic water]]</f>
        <v>0</v>
      </c>
      <c r="CZ75" s="968">
        <f>WWWW[[#This Row],[%equitable and continuous access to sufficient quantity of safe drinking and domestic water''s GAP]]*WWWW[[#This Row],[Total PoP ]]</f>
        <v>0</v>
      </c>
      <c r="DA75" s="971">
        <f>IF(WWWW[[#This Row],[Total required water points]]-WWWW[[#This Row],['#Water points coverage]]&lt;0,0,WWWW[[#This Row],[Total required water points]]-WWWW[[#This Row],['#Water points coverage]])</f>
        <v>0.65200000000000002</v>
      </c>
      <c r="DB75" s="971">
        <f>ROUND(IF(WWWW[[#This Row],[Total PoP ]]&lt;500,1,WWWW[[#This Row],[Total PoP ]]/500),0)</f>
        <v>1</v>
      </c>
      <c r="DC75" s="971">
        <f>(WWWW[[#This Row],['#_Constructed latrines_by_WASHAgencies]]+WWWW[[#This Row],['#_Non Cluster partner latrines]])-WWWW[[#This Row],['#_Non-functional latrines]]</f>
        <v>2</v>
      </c>
      <c r="DD75" s="619">
        <f>WWWW[[#This Row],[HRP2]]/WWWW[[#This Row],[Total PoP ]]</f>
        <v>0.22988505747126436</v>
      </c>
      <c r="DE7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7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5" s="421">
        <f>IF(WWWW[[#This Row],['# of functional latrines in THF supported by WASH partners during the reporting period2]]="",0,WWWW[[#This Row],['# of functional latrines in THF supported by WASH partners during the reporting period2]]*50)</f>
        <v>0</v>
      </c>
      <c r="DI75" s="971">
        <f>ROUND(IF(WWWW[[#This Row],[Location Type 1]]="camp",WWWW[[#This Row],[Total PoP ]]/20,IF(WWWW[[#This Row],[Location Type 1]]="Temporary Location",WWWW[[#This Row],[Total PoP ]]/50,(WWWW[[#This Row],[Total PoP ]]/6))),0)</f>
        <v>9</v>
      </c>
      <c r="DJ75" s="971">
        <f>IF(WWWW[[#This Row],[Total required Latrines]]-(WWWW[[#This Row],['#_Constructed latrines_by_WASHAgencies]]+WWWW[[#This Row],['#_Non Cluster partner latrines]])&lt;0,0,WWWW[[#This Row],[Total required Latrines]]-(WWWW[[#This Row],['#_Constructed latrines_by_WASHAgencies]]+WWWW[[#This Row],['#_Non Cluster partner latrines]]))</f>
        <v>7</v>
      </c>
      <c r="DK75" s="973">
        <f>1-WWWW[[#This Row],[% people access to functioning Latrine]]</f>
        <v>0.77011494252873569</v>
      </c>
      <c r="DL75" s="972">
        <f>IF(OR(WWWW[[#This Row],['#_Non-functional latrines]]="",WWWW[[#This Row],['#_Non-functional latrines]]=0),0,WWWW[[#This Row],['#_Non-functional latrines]]/(WWWW[[#This Row],['#_Constructed latrines_by_WASHAgencies]]+WWWW[[#This Row],['#_Non Cluster partner latrines]]))</f>
        <v>0</v>
      </c>
      <c r="DM75" s="968">
        <f>IF(500*(WWWW[[#This Row],['#_male hygiene promoters]]+WWWW[[#This Row],['#_female hygiene promoters]])&gt;WWWW[[#This Row],[Total PoP ]],WWWW[[#This Row],[Total PoP ]],500*(WWWW[[#This Row],['#_male hygiene promoters]]+WWWW[[#This Row],['#_female hygiene promoters]]))</f>
        <v>174</v>
      </c>
      <c r="DN7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5" s="971">
        <f>IF(WWWW[[#This Row],['# People with access to soap]]&gt;WWWW[[#This Row],['# People with access to Sanity Pads]],WWWW[[#This Row],['# People with access to soap]],WWWW[[#This Row],['# People with access to Sanity Pads]])</f>
        <v>0</v>
      </c>
      <c r="DQ75" s="971">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R75" s="973">
        <f>IF(WWWW[[#This Row],[HRP3]]/WWWW[[#This Row],[Total PoP ]]&gt;1,1,WWWW[[#This Row],[HRP3]]/WWWW[[#This Row],[Total PoP ]])</f>
        <v>1</v>
      </c>
      <c r="DS75" s="972">
        <f>1-WWWW[[#This Row],[Hygiene Coverage%]]</f>
        <v>0</v>
      </c>
      <c r="DT75" s="970">
        <f>WWWW[[#This Row],['# people reached by regular dedicated hygiene promotion_5]]/WWWW[[#This Row],[Total PoP ]]</f>
        <v>1</v>
      </c>
      <c r="DU7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5" s="971">
        <f>WWWW[[#This Row],['#_Constructed/Existing hand washing stations]]-WWWW[[#This Row],['#_Non-Functional_hand_washing_stations]]</f>
        <v>7</v>
      </c>
      <c r="DX75" s="968">
        <f>IF(WWWW[[#This Row],['# Functional hand washing stations during reporting period]]*20&gt;WWWW[[#This Row],[Total HH]],WWWW[[#This Row],[Total HH]],WWWW[[#This Row],['# Functional hand washing stations during reporting period]]*20)</f>
        <v>36</v>
      </c>
      <c r="DY75" s="968">
        <f>IF(WWWW[[#This Row],[Is sufficient soap available for TLS? (Yes/No)]]="yes",WWWW[[#This Row],['#_Constructed/Existing hand washing stations at TLS/CFS/THF]],0)</f>
        <v>5</v>
      </c>
      <c r="DZ75" s="425">
        <f>IF(WWWW[[#This Row],['# Functional hand washing stations during reporting period]]*100&gt;WWWW[[#This Row],[Total PoP ]],WWWW[[#This Row],[Total PoP ]],WWWW[[#This Row],['# Functional hand washing stations during reporting period]]*100)</f>
        <v>174</v>
      </c>
      <c r="EA75" s="425" t="str">
        <f>IF(OR(WWWW[[#This Row],['#_students at TLS_CFS]]="",WWWW[[#This Row],['#_students at TLS_CFS]]=0),"No","Yes")</f>
        <v>No</v>
      </c>
      <c r="EB7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5" s="570">
        <f>WWWW[[#This Row],[%_of_affected_people_surveyed_who_report_feeling_satistfied_with_the_latrine_design_and_sanitation_service]]*WWWW[[#This Row],[Total PoP ]]</f>
        <v>0</v>
      </c>
      <c r="ED75" s="570">
        <f>WWWW[[#This Row],[%_of_affected_people_surveyed_who_report_feeling_satistfied_with_the_water_point_design_and_water_service]]*WWWW[[#This Row],[Total PoP ]]</f>
        <v>0</v>
      </c>
      <c r="EE75" s="570">
        <f>WWWW[[#This Row],[%_of_complaints_received_that_result_in_timely_corrective_action_and_feedback_to_the_community]]*WWWW[[#This Row],[Total PoP ]]</f>
        <v>0</v>
      </c>
      <c r="EF7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5" s="964" t="str">
        <f>VLOOKUP(WWWW[[#This Row],[Site Name]],SiteDB6[[Site Name]:[CCCM Management]],6,FALSE)</f>
        <v>Yes</v>
      </c>
      <c r="EJ75" s="964" t="str">
        <f>VLOOKUP(WWWW[[#This Row],[Site Name]],SiteDB6[[Site Name]:[CCCM Focal Agency]],7,FALSE)</f>
        <v>KMSS-MYT</v>
      </c>
      <c r="EK75" s="964" t="str">
        <f>VLOOKUP(WWWW[[#This Row],[Site Name]],SiteDB6[[Site Name]:[Location Type 1]],9,FALSE)</f>
        <v>Camp</v>
      </c>
      <c r="EL75" s="964" t="str">
        <f>VLOOKUP(WWWW[[#This Row],[Site Name]],SiteDB6[[Site Name]:[Type of Accommodation]],10,FALSE)</f>
        <v>Camp</v>
      </c>
      <c r="EM75" s="964" t="str">
        <f>VLOOKUP(WWWW[[#This Row],[Site Name]],SiteDB6[[Site Name]:[Ethnic or GCA/NGCA]],11,FALSE)</f>
        <v>GCA</v>
      </c>
      <c r="EN75" s="964">
        <f>VLOOKUP(WWWW[[#This Row],[Site Name]],SiteDB6[[Site Name]:[Lat]],12,FALSE)</f>
        <v>26.351690999999999</v>
      </c>
      <c r="EO75" s="964">
        <f>VLOOKUP(WWWW[[#This Row],[Site Name]],SiteDB6[[Site Name]:[Long]],13,FALSE)</f>
        <v>96.690871999999999</v>
      </c>
      <c r="EP75" s="964" t="str">
        <f>VLOOKUP(WWWW[[#This Row],[Site Name]],SiteDB6[[Site Name]:[Pcode]],3,FALSE)</f>
        <v>MMR001CMP254</v>
      </c>
      <c r="EQ75" s="969" t="str">
        <f t="shared" si="1"/>
        <v>Covered</v>
      </c>
      <c r="ER75" s="969" t="s">
        <v>3147</v>
      </c>
      <c r="ES75" s="964">
        <f>VLOOKUP(WWWW[[#This Row],[Site Name]],SiteDB6[[Site Name]:[Pop
(Kachin/Shan-CCCM as of March 2023)]],16,FALSE)</f>
        <v>37</v>
      </c>
      <c r="ET75" s="964">
        <f>VLOOKUP(WWWW[[#This Row],[Site Name]],SiteDB6[[Site Name]:[Pop
(Kachin/Shan-CCCM as of March 2023)]],17,FALSE)</f>
        <v>171</v>
      </c>
    </row>
    <row r="76" spans="1:150" hidden="1">
      <c r="A76" s="962" t="s">
        <v>2977</v>
      </c>
      <c r="B76" s="963" t="s">
        <v>141</v>
      </c>
      <c r="C76" s="963" t="s">
        <v>141</v>
      </c>
      <c r="D76" s="963" t="s">
        <v>241</v>
      </c>
      <c r="E76" s="963" t="s">
        <v>37</v>
      </c>
      <c r="F76" s="963" t="s">
        <v>159</v>
      </c>
      <c r="G76" s="964" t="str">
        <f>VLOOKUP(WWWW[[#This Row],[Site Name]],SiteDB6[[Site Name]:[Location Type]],8,FALSE)</f>
        <v>Camp</v>
      </c>
      <c r="H76" s="963" t="s">
        <v>160</v>
      </c>
      <c r="I76" s="965">
        <v>43</v>
      </c>
      <c r="J76" s="965">
        <v>198</v>
      </c>
      <c r="K76" s="966">
        <v>44811</v>
      </c>
      <c r="L76" s="967">
        <v>45175</v>
      </c>
      <c r="M76" s="965"/>
      <c r="N76" s="965">
        <v>1</v>
      </c>
      <c r="O76" s="965"/>
      <c r="P76" s="965"/>
      <c r="Q76" s="968" t="s">
        <v>41</v>
      </c>
      <c r="R76" s="965">
        <v>2</v>
      </c>
      <c r="S76" s="965">
        <v>2</v>
      </c>
      <c r="T76" s="445">
        <v>3</v>
      </c>
      <c r="U76" s="965"/>
      <c r="V76" s="965"/>
      <c r="W76" s="965">
        <v>3</v>
      </c>
      <c r="X76" s="965"/>
      <c r="Y76" s="965"/>
      <c r="Z76" s="965"/>
      <c r="AA76" s="965"/>
      <c r="AB76" s="965"/>
      <c r="AC76" s="965"/>
      <c r="AD76" s="965"/>
      <c r="AE76" s="965">
        <v>3</v>
      </c>
      <c r="AF76" s="965"/>
      <c r="AG76" s="965"/>
      <c r="AH76" s="965">
        <v>3</v>
      </c>
      <c r="AI76" s="965"/>
      <c r="AJ76" s="965"/>
      <c r="AK76" s="965"/>
      <c r="AL76" s="965"/>
      <c r="AM76" s="965"/>
      <c r="AN76" s="965"/>
      <c r="AO76" s="445"/>
      <c r="AP76" s="969"/>
      <c r="AQ76" s="965">
        <v>6</v>
      </c>
      <c r="AR76" s="965"/>
      <c r="AS76" s="970"/>
      <c r="AT76" s="965"/>
      <c r="AU76" s="965"/>
      <c r="AV76" s="965"/>
      <c r="AW76" s="965"/>
      <c r="AX76" s="965">
        <v>6</v>
      </c>
      <c r="AY76" s="964" t="s">
        <v>41</v>
      </c>
      <c r="AZ76" s="969" t="s">
        <v>137</v>
      </c>
      <c r="BA76" s="965"/>
      <c r="BB76" s="965"/>
      <c r="BC76" s="965"/>
      <c r="BD76" s="445"/>
      <c r="BE76" s="445"/>
      <c r="BF76" s="964"/>
      <c r="BG76" s="965">
        <v>5</v>
      </c>
      <c r="BH76" s="965"/>
      <c r="BI76" s="965"/>
      <c r="BJ76" s="965">
        <v>3</v>
      </c>
      <c r="BK76" s="965"/>
      <c r="BL76" s="965">
        <v>1</v>
      </c>
      <c r="BM76" s="965"/>
      <c r="BN76" s="965"/>
      <c r="BO76" s="965"/>
      <c r="BP76" s="964"/>
      <c r="BQ76" s="971"/>
      <c r="BR76" s="970"/>
      <c r="BS76" s="964"/>
      <c r="BT76" s="420"/>
      <c r="BU76" s="420"/>
      <c r="BV76" s="422"/>
      <c r="BW76" s="420"/>
      <c r="BX76" s="445"/>
      <c r="BY76" s="445"/>
      <c r="BZ76" s="445"/>
      <c r="CA76" s="445"/>
      <c r="CB76" s="445"/>
      <c r="CC76" s="702"/>
      <c r="CD76" s="445"/>
      <c r="CE76" s="972" t="str">
        <f>IFERROR(WWWW[[#This Row],['#_Water sources passed]]/WWWW[[#This Row],['#_Water sources tested for fecal coliform ]],"no test")</f>
        <v>no test</v>
      </c>
      <c r="CF76" s="970" t="str">
        <f>IFERROR(WWWW[[#This Row],['#_Household passed]]/WWWW[[#This Row],['#_Household water samples tested for fecal coliform]],"no test")</f>
        <v>no test</v>
      </c>
      <c r="CG76" s="971" t="str">
        <f>IF(AND(WWWW[[#This Row],[% of water sources passed]]="no test",WWWW[[#This Row],[% Household passed]]="no test"),"No Test","Tested")</f>
        <v>No Test</v>
      </c>
      <c r="CH76" s="971">
        <f>WWWW[[#This Row],['#_Constructed/existing protected hand dug well]]-WWWW[[#This Row],['#_Non-functional protected hand dug well]]</f>
        <v>3</v>
      </c>
      <c r="CI76" s="971">
        <f>(WWWW[[#This Row],['#_Constructed/Existing tube wells/boreholes/handpumps_WASH_agency]]+WWWW[[#This Row],['#_Non-Cluster partner water tube-wells/boreholes/handpumps]])-WWWW[[#This Row],['#_Non-functional tube wells/boreholes/handpumps]]</f>
        <v>3</v>
      </c>
      <c r="CJ76" s="971">
        <f>WWWW[[#This Row],['#_Constructed/Existingwater storage tank with gravity fed reticulation system]]-WWWW[[#This Row],['#_Non-functional storage tank gravity fed reticulation system]]</f>
        <v>0</v>
      </c>
      <c r="CK76" s="971">
        <f>(WWWW[[#This Row],['#_Water_Liters_supplied_by_Water boating or water trucking]]/90)/15</f>
        <v>0</v>
      </c>
      <c r="CL76" s="971">
        <f>WWWW[[#This Row],['#_Water_Liters_from_Constructed/Existing water distribution system from river or natural spring]]/90/15</f>
        <v>0</v>
      </c>
      <c r="CM76" s="421">
        <f>IF(WWWW[[#This Row],['#_of water points in TLS/CFS]]*500&gt;WWWW[[#This Row],[Total PoP ]],WWWW[[#This Row],[Total PoP ]],WWWW[[#This Row],['#_of water points in TLS/CFS]]*500)</f>
        <v>0</v>
      </c>
      <c r="CN76" s="421">
        <f>IF(WWWW[[#This Row],['#_of water points in THF]]*500&gt;WWWW[[#This Row],[Total PoP ]],WWWW[[#This Row],[Total PoP ]],WWWW[[#This Row],['#_of water points in THF]]*500)</f>
        <v>0</v>
      </c>
      <c r="CO76" s="421"/>
      <c r="CP7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6" s="970">
        <f>IF(WWWW[[#This Row],[Location Type 1]]="Village",WWWW[[#This Row],[Access to safe drinking water for Village]],WWWW[[#This Row],[Access to safe drinking water for Camp]])</f>
        <v>1</v>
      </c>
      <c r="CS76" s="968">
        <f>WWWW[[#This Row],[%Equitable and continuous access to sufficient quantity of safe drinking water]]*WWWW[[#This Row],[Total PoP ]]</f>
        <v>198</v>
      </c>
      <c r="CT76" s="970">
        <f>IF((WWWW[[#This Row],['#_Constructed/Existing protected/fenced ponds]]*250)/WWWW[[#This Row],[Total PoP ]]&gt;1,1,(WWWW[[#This Row],['#_Constructed/Existing protected/fenced ponds]]*250)/WWWW[[#This Row],[Total PoP ]])</f>
        <v>1</v>
      </c>
      <c r="CU76" s="968">
        <f>WWWW[[#This Row],[% Access to unimproved water points]]*WWWW[[#This Row],[Total PoP ]]</f>
        <v>198</v>
      </c>
      <c r="CV7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CX76" s="968">
        <f>WWWW[[#This Row],[HRP1]]/500</f>
        <v>0.39600000000000002</v>
      </c>
      <c r="CY76" s="973">
        <f>1-WWWW[[#This Row],[% Equitable and continuous access to sufficient quantity of domestic water]]</f>
        <v>0</v>
      </c>
      <c r="CZ76" s="968">
        <f>WWWW[[#This Row],[%equitable and continuous access to sufficient quantity of safe drinking and domestic water''s GAP]]*WWWW[[#This Row],[Total PoP ]]</f>
        <v>0</v>
      </c>
      <c r="DA76" s="971">
        <f>IF(WWWW[[#This Row],[Total required water points]]-WWWW[[#This Row],['#Water points coverage]]&lt;0,0,WWWW[[#This Row],[Total required water points]]-WWWW[[#This Row],['#Water points coverage]])</f>
        <v>0.60399999999999998</v>
      </c>
      <c r="DB76" s="971">
        <f>ROUND(IF(WWWW[[#This Row],[Total PoP ]]&lt;500,1,WWWW[[#This Row],[Total PoP ]]/500),0)</f>
        <v>1</v>
      </c>
      <c r="DC76" s="971">
        <f>(WWWW[[#This Row],['#_Constructed latrines_by_WASHAgencies]]+WWWW[[#This Row],['#_Non Cluster partner latrines]])-WWWW[[#This Row],['#_Non-functional latrines]]</f>
        <v>6</v>
      </c>
      <c r="DD76" s="619">
        <f>WWWW[[#This Row],[HRP2]]/WWWW[[#This Row],[Total PoP ]]</f>
        <v>0.60606060606060608</v>
      </c>
      <c r="DE7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7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6" s="421">
        <f>IF(WWWW[[#This Row],['# of functional latrines in THF supported by WASH partners during the reporting period2]]="",0,WWWW[[#This Row],['# of functional latrines in THF supported by WASH partners during the reporting period2]]*50)</f>
        <v>0</v>
      </c>
      <c r="DI76" s="971">
        <f>ROUND(IF(WWWW[[#This Row],[Location Type 1]]="camp",WWWW[[#This Row],[Total PoP ]]/20,IF(WWWW[[#This Row],[Location Type 1]]="Temporary Location",WWWW[[#This Row],[Total PoP ]]/50,(WWWW[[#This Row],[Total PoP ]]/6))),0)</f>
        <v>10</v>
      </c>
      <c r="DJ76" s="971">
        <f>IF(WWWW[[#This Row],[Total required Latrines]]-(WWWW[[#This Row],['#_Constructed latrines_by_WASHAgencies]]+WWWW[[#This Row],['#_Non Cluster partner latrines]])&lt;0,0,WWWW[[#This Row],[Total required Latrines]]-(WWWW[[#This Row],['#_Constructed latrines_by_WASHAgencies]]+WWWW[[#This Row],['#_Non Cluster partner latrines]]))</f>
        <v>4</v>
      </c>
      <c r="DK76" s="973">
        <f>1-WWWW[[#This Row],[% people access to functioning Latrine]]</f>
        <v>0.39393939393939392</v>
      </c>
      <c r="DL76" s="972">
        <f>IF(OR(WWWW[[#This Row],['#_Non-functional latrines]]="",WWWW[[#This Row],['#_Non-functional latrines]]=0),0,WWWW[[#This Row],['#_Non-functional latrines]]/(WWWW[[#This Row],['#_Constructed latrines_by_WASHAgencies]]+WWWW[[#This Row],['#_Non Cluster partner latrines]]))</f>
        <v>0</v>
      </c>
      <c r="DM76" s="968">
        <f>IF(500*(WWWW[[#This Row],['#_male hygiene promoters]]+WWWW[[#This Row],['#_female hygiene promoters]])&gt;WWWW[[#This Row],[Total PoP ]],WWWW[[#This Row],[Total PoP ]],500*(WWWW[[#This Row],['#_male hygiene promoters]]+WWWW[[#This Row],['#_female hygiene promoters]]))</f>
        <v>198</v>
      </c>
      <c r="DN7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6" s="971">
        <f>IF(WWWW[[#This Row],['# People with access to soap]]&gt;WWWW[[#This Row],['# People with access to Sanity Pads]],WWWW[[#This Row],['# People with access to soap]],WWWW[[#This Row],['# People with access to Sanity Pads]])</f>
        <v>0</v>
      </c>
      <c r="DQ76" s="971">
        <f>IF(WWWW[[#This Row],['# people reached by regular dedicated hygiene promotion_5]]&gt;WWWW[[#This Row],['# People received regular supply of hygiene items_6]],WWWW[[#This Row],['# people reached by regular dedicated hygiene promotion_5]],WWWW[[#This Row],['# People received regular supply of hygiene items_6]])</f>
        <v>198</v>
      </c>
      <c r="DR76" s="973">
        <f>IF(WWWW[[#This Row],[HRP3]]/WWWW[[#This Row],[Total PoP ]]&gt;1,1,WWWW[[#This Row],[HRP3]]/WWWW[[#This Row],[Total PoP ]])</f>
        <v>1</v>
      </c>
      <c r="DS76" s="972">
        <f>1-WWWW[[#This Row],[Hygiene Coverage%]]</f>
        <v>0</v>
      </c>
      <c r="DT76" s="970">
        <f>WWWW[[#This Row],['# people reached by regular dedicated hygiene promotion_5]]/WWWW[[#This Row],[Total PoP ]]</f>
        <v>1</v>
      </c>
      <c r="DU7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6" s="971">
        <f>WWWW[[#This Row],['#_Constructed/Existing hand washing stations]]-WWWW[[#This Row],['#_Non-Functional_hand_washing_stations]]</f>
        <v>5</v>
      </c>
      <c r="DX76" s="968">
        <f>IF(WWWW[[#This Row],['# Functional hand washing stations during reporting period]]*20&gt;WWWW[[#This Row],[Total HH]],WWWW[[#This Row],[Total HH]],WWWW[[#This Row],['# Functional hand washing stations during reporting period]]*20)</f>
        <v>43</v>
      </c>
      <c r="DY76" s="968">
        <f>IF(WWWW[[#This Row],[Is sufficient soap available for TLS? (Yes/No)]]="yes",WWWW[[#This Row],['#_Constructed/Existing hand washing stations at TLS/CFS/THF]],0)</f>
        <v>0</v>
      </c>
      <c r="DZ76" s="425">
        <f>IF(WWWW[[#This Row],['# Functional hand washing stations during reporting period]]*100&gt;WWWW[[#This Row],[Total PoP ]],WWWW[[#This Row],[Total PoP ]],WWWW[[#This Row],['# Functional hand washing stations during reporting period]]*100)</f>
        <v>198</v>
      </c>
      <c r="EA76" s="425" t="str">
        <f>IF(OR(WWWW[[#This Row],['#_students at TLS_CFS]]="",WWWW[[#This Row],['#_students at TLS_CFS]]=0),"No","Yes")</f>
        <v>No</v>
      </c>
      <c r="EB7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6" s="570">
        <f>WWWW[[#This Row],[%_of_affected_people_surveyed_who_report_feeling_satistfied_with_the_latrine_design_and_sanitation_service]]*WWWW[[#This Row],[Total PoP ]]</f>
        <v>0</v>
      </c>
      <c r="ED76" s="570">
        <f>WWWW[[#This Row],[%_of_affected_people_surveyed_who_report_feeling_satistfied_with_the_water_point_design_and_water_service]]*WWWW[[#This Row],[Total PoP ]]</f>
        <v>0</v>
      </c>
      <c r="EE76" s="570">
        <f>WWWW[[#This Row],[%_of_complaints_received_that_result_in_timely_corrective_action_and_feedback_to_the_community]]*WWWW[[#This Row],[Total PoP ]]</f>
        <v>0</v>
      </c>
      <c r="EF7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6" s="964" t="str">
        <f>VLOOKUP(WWWW[[#This Row],[Site Name]],SiteDB6[[Site Name]:[CCCM Management]],6,FALSE)</f>
        <v>Yes</v>
      </c>
      <c r="EJ76" s="964" t="str">
        <f>VLOOKUP(WWWW[[#This Row],[Site Name]],SiteDB6[[Site Name]:[CCCM Focal Agency]],7,FALSE)</f>
        <v>KBC-MYT</v>
      </c>
      <c r="EK76" s="964" t="str">
        <f>VLOOKUP(WWWW[[#This Row],[Site Name]],SiteDB6[[Site Name]:[Location Type 1]],9,FALSE)</f>
        <v>Camp</v>
      </c>
      <c r="EL76" s="964" t="str">
        <f>VLOOKUP(WWWW[[#This Row],[Site Name]],SiteDB6[[Site Name]:[Type of Accommodation]],10,FALSE)</f>
        <v>Camp</v>
      </c>
      <c r="EM76" s="964" t="str">
        <f>VLOOKUP(WWWW[[#This Row],[Site Name]],SiteDB6[[Site Name]:[Ethnic or GCA/NGCA]],11,FALSE)</f>
        <v>GCA</v>
      </c>
      <c r="EN76" s="964">
        <f>VLOOKUP(WWWW[[#This Row],[Site Name]],SiteDB6[[Site Name]:[Lat]],12,FALSE)</f>
        <v>25.3959740909091</v>
      </c>
      <c r="EO76" s="964">
        <f>VLOOKUP(WWWW[[#This Row],[Site Name]],SiteDB6[[Site Name]:[Long]],13,FALSE)</f>
        <v>97.382997575757599</v>
      </c>
      <c r="EP76" s="964" t="str">
        <f>VLOOKUP(WWWW[[#This Row],[Site Name]],SiteDB6[[Site Name]:[Pcode]],3,FALSE)</f>
        <v>MMR001CMP010</v>
      </c>
      <c r="EQ76" s="969" t="str">
        <f t="shared" ref="EQ76:EQ88" si="2">IF(C76="none","Notcovered","Covered")</f>
        <v>Covered</v>
      </c>
      <c r="ER76" s="969" t="s">
        <v>3147</v>
      </c>
      <c r="ES76" s="964">
        <f>VLOOKUP(WWWW[[#This Row],[Site Name]],SiteDB6[[Site Name]:[Pop
(Kachin/Shan-CCCM as of March 2023)]],16,FALSE)</f>
        <v>45</v>
      </c>
      <c r="ET76" s="964">
        <f>VLOOKUP(WWWW[[#This Row],[Site Name]],SiteDB6[[Site Name]:[Pop
(Kachin/Shan-CCCM as of March 2023)]],17,FALSE)</f>
        <v>197</v>
      </c>
    </row>
    <row r="77" spans="1:150" hidden="1">
      <c r="A77" s="962" t="s">
        <v>2977</v>
      </c>
      <c r="B77" s="962" t="s">
        <v>36</v>
      </c>
      <c r="C77" s="963" t="s">
        <v>36</v>
      </c>
      <c r="D77" s="963" t="s">
        <v>241</v>
      </c>
      <c r="E77" s="963" t="s">
        <v>37</v>
      </c>
      <c r="F77" s="963" t="s">
        <v>152</v>
      </c>
      <c r="G77" s="964" t="str">
        <f>VLOOKUP(WWWW[[#This Row],[Site Name]],SiteDB6[[Site Name]:[Location Type]],8,FALSE)</f>
        <v>Camp</v>
      </c>
      <c r="H77" s="963" t="s">
        <v>2893</v>
      </c>
      <c r="I77" s="965">
        <v>48</v>
      </c>
      <c r="J77" s="965">
        <v>275</v>
      </c>
      <c r="K77" s="966">
        <v>44973</v>
      </c>
      <c r="L77" s="967">
        <v>45337</v>
      </c>
      <c r="M77" s="965"/>
      <c r="N77" s="965">
        <v>3</v>
      </c>
      <c r="O77" s="965"/>
      <c r="P77" s="965"/>
      <c r="Q77" s="968" t="s">
        <v>41</v>
      </c>
      <c r="R77" s="965">
        <v>3</v>
      </c>
      <c r="S77" s="965">
        <v>1</v>
      </c>
      <c r="T77" s="445">
        <v>2</v>
      </c>
      <c r="U77" s="965"/>
      <c r="V77" s="965"/>
      <c r="W77" s="965"/>
      <c r="X77" s="965"/>
      <c r="Y77" s="965"/>
      <c r="Z77" s="965"/>
      <c r="AA77" s="965"/>
      <c r="AB77" s="965"/>
      <c r="AC77" s="965"/>
      <c r="AD77" s="965"/>
      <c r="AE77" s="965"/>
      <c r="AF77" s="965"/>
      <c r="AG77" s="965"/>
      <c r="AH77" s="965"/>
      <c r="AI77" s="965"/>
      <c r="AJ77" s="965"/>
      <c r="AK77" s="965"/>
      <c r="AL77" s="965"/>
      <c r="AM77" s="965">
        <v>5</v>
      </c>
      <c r="AN77" s="965"/>
      <c r="AO77" s="445"/>
      <c r="AP77" s="969"/>
      <c r="AQ77" s="965">
        <v>18</v>
      </c>
      <c r="AR77" s="965"/>
      <c r="AS77" s="970"/>
      <c r="AT77" s="965"/>
      <c r="AU77" s="965"/>
      <c r="AV77" s="965"/>
      <c r="AW77" s="965"/>
      <c r="AX77" s="965"/>
      <c r="AY77" s="964" t="s">
        <v>41</v>
      </c>
      <c r="AZ77" s="969" t="s">
        <v>904</v>
      </c>
      <c r="BA77" s="965"/>
      <c r="BB77" s="965"/>
      <c r="BC77" s="965"/>
      <c r="BD77" s="445"/>
      <c r="BE77" s="445"/>
      <c r="BF77" s="964"/>
      <c r="BG77" s="965">
        <v>5</v>
      </c>
      <c r="BH77" s="965"/>
      <c r="BI77" s="965">
        <v>2</v>
      </c>
      <c r="BJ77" s="965">
        <v>2</v>
      </c>
      <c r="BK77" s="965"/>
      <c r="BL77" s="965"/>
      <c r="BM77" s="965">
        <v>1</v>
      </c>
      <c r="BN77" s="965"/>
      <c r="BO77" s="965"/>
      <c r="BP77" s="964" t="s">
        <v>41</v>
      </c>
      <c r="BQ77" s="971">
        <v>1</v>
      </c>
      <c r="BR77" s="970"/>
      <c r="BS77" s="1013" t="s">
        <v>3153</v>
      </c>
      <c r="BT77" s="420"/>
      <c r="BU77" s="420"/>
      <c r="BV77" s="422"/>
      <c r="BW77" s="420"/>
      <c r="BX77" s="445"/>
      <c r="BY77" s="445"/>
      <c r="BZ77" s="445"/>
      <c r="CA77" s="445"/>
      <c r="CB77" s="445"/>
      <c r="CC77" s="702"/>
      <c r="CD77" s="445"/>
      <c r="CE77" s="972" t="str">
        <f>IFERROR(WWWW[[#This Row],['#_Water sources passed]]/WWWW[[#This Row],['#_Water sources tested for fecal coliform ]],"no test")</f>
        <v>no test</v>
      </c>
      <c r="CF77" s="970" t="str">
        <f>IFERROR(WWWW[[#This Row],['#_Household passed]]/WWWW[[#This Row],['#_Household water samples tested for fecal coliform]],"no test")</f>
        <v>no test</v>
      </c>
      <c r="CG77" s="971" t="str">
        <f>IF(AND(WWWW[[#This Row],[% of water sources passed]]="no test",WWWW[[#This Row],[% Household passed]]="no test"),"No Test","Tested")</f>
        <v>No Test</v>
      </c>
      <c r="CH77" s="971">
        <f>WWWW[[#This Row],['#_Constructed/existing protected hand dug well]]-WWWW[[#This Row],['#_Non-functional protected hand dug well]]</f>
        <v>2</v>
      </c>
      <c r="CI77" s="971">
        <f>(WWWW[[#This Row],['#_Constructed/Existing tube wells/boreholes/handpumps_WASH_agency]]+WWWW[[#This Row],['#_Non-Cluster partner water tube-wells/boreholes/handpumps]])-WWWW[[#This Row],['#_Non-functional tube wells/boreholes/handpumps]]</f>
        <v>0</v>
      </c>
      <c r="CJ77" s="971">
        <f>WWWW[[#This Row],['#_Constructed/Existingwater storage tank with gravity fed reticulation system]]-WWWW[[#This Row],['#_Non-functional storage tank gravity fed reticulation system]]</f>
        <v>0</v>
      </c>
      <c r="CK77" s="971">
        <f>(WWWW[[#This Row],['#_Water_Liters_supplied_by_Water boating or water trucking]]/90)/15</f>
        <v>0</v>
      </c>
      <c r="CL77" s="971">
        <f>WWWW[[#This Row],['#_Water_Liters_from_Constructed/Existing water distribution system from river or natural spring]]/90/15</f>
        <v>0</v>
      </c>
      <c r="CM77" s="421">
        <f>IF(WWWW[[#This Row],['#_of water points in TLS/CFS]]*500&gt;WWWW[[#This Row],[Total PoP ]],WWWW[[#This Row],[Total PoP ]],WWWW[[#This Row],['#_of water points in TLS/CFS]]*500)</f>
        <v>0</v>
      </c>
      <c r="CN77" s="421">
        <f>IF(WWWW[[#This Row],['#_of water points in THF]]*500&gt;WWWW[[#This Row],[Total PoP ]],WWWW[[#This Row],[Total PoP ]],WWWW[[#This Row],['#_of water points in THF]]*500)</f>
        <v>0</v>
      </c>
      <c r="CO77" s="421"/>
      <c r="CP7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7" s="970">
        <f>IF(WWWW[[#This Row],[Location Type 1]]="Village",WWWW[[#This Row],[Access to safe drinking water for Village]],WWWW[[#This Row],[Access to safe drinking water for Camp]])</f>
        <v>1</v>
      </c>
      <c r="CS77" s="968">
        <f>WWWW[[#This Row],[%Equitable and continuous access to sufficient quantity of safe drinking water]]*WWWW[[#This Row],[Total PoP ]]</f>
        <v>275</v>
      </c>
      <c r="CT77" s="970">
        <f>IF((WWWW[[#This Row],['#_Constructed/Existing protected/fenced ponds]]*250)/WWWW[[#This Row],[Total PoP ]]&gt;1,1,(WWWW[[#This Row],['#_Constructed/Existing protected/fenced ponds]]*250)/WWWW[[#This Row],[Total PoP ]])</f>
        <v>0</v>
      </c>
      <c r="CU77" s="968">
        <f>WWWW[[#This Row],[% Access to unimproved water points]]*WWWW[[#This Row],[Total PoP ]]</f>
        <v>0</v>
      </c>
      <c r="CV7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v>
      </c>
      <c r="CX77" s="968">
        <f>WWWW[[#This Row],[HRP1]]/500</f>
        <v>0.55000000000000004</v>
      </c>
      <c r="CY77" s="973">
        <f>1-WWWW[[#This Row],[% Equitable and continuous access to sufficient quantity of domestic water]]</f>
        <v>0</v>
      </c>
      <c r="CZ77" s="968">
        <f>WWWW[[#This Row],[%equitable and continuous access to sufficient quantity of safe drinking and domestic water''s GAP]]*WWWW[[#This Row],[Total PoP ]]</f>
        <v>0</v>
      </c>
      <c r="DA77" s="971">
        <f>IF(WWWW[[#This Row],[Total required water points]]-WWWW[[#This Row],['#Water points coverage]]&lt;0,0,WWWW[[#This Row],[Total required water points]]-WWWW[[#This Row],['#Water points coverage]])</f>
        <v>0.44999999999999996</v>
      </c>
      <c r="DB77" s="971">
        <f>ROUND(IF(WWWW[[#This Row],[Total PoP ]]&lt;500,1,WWWW[[#This Row],[Total PoP ]]/500),0)</f>
        <v>1</v>
      </c>
      <c r="DC77" s="971">
        <f>(WWWW[[#This Row],['#_Constructed latrines_by_WASHAgencies]]+WWWW[[#This Row],['#_Non Cluster partner latrines]])-WWWW[[#This Row],['#_Non-functional latrines]]</f>
        <v>18</v>
      </c>
      <c r="DD77" s="619">
        <f>WWWW[[#This Row],[HRP2]]/WWWW[[#This Row],[Total PoP ]]</f>
        <v>1</v>
      </c>
      <c r="DE7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275</v>
      </c>
      <c r="DF7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7" s="421">
        <f>IF(WWWW[[#This Row],['# of functional latrines in THF supported by WASH partners during the reporting period2]]="",0,WWWW[[#This Row],['# of functional latrines in THF supported by WASH partners during the reporting period2]]*50)</f>
        <v>0</v>
      </c>
      <c r="DI77" s="971">
        <f>ROUND(IF(WWWW[[#This Row],[Location Type 1]]="camp",WWWW[[#This Row],[Total PoP ]]/20,IF(WWWW[[#This Row],[Location Type 1]]="Temporary Location",WWWW[[#This Row],[Total PoP ]]/50,(WWWW[[#This Row],[Total PoP ]]/6))),0)</f>
        <v>14</v>
      </c>
      <c r="DJ77" s="971">
        <f>IF(WWWW[[#This Row],[Total required Latrines]]-(WWWW[[#This Row],['#_Constructed latrines_by_WASHAgencies]]+WWWW[[#This Row],['#_Non Cluster partner latrines]])&lt;0,0,WWWW[[#This Row],[Total required Latrines]]-(WWWW[[#This Row],['#_Constructed latrines_by_WASHAgencies]]+WWWW[[#This Row],['#_Non Cluster partner latrines]]))</f>
        <v>0</v>
      </c>
      <c r="DK77" s="973">
        <f>1-WWWW[[#This Row],[% people access to functioning Latrine]]</f>
        <v>0</v>
      </c>
      <c r="DL77" s="972">
        <f>IF(OR(WWWW[[#This Row],['#_Non-functional latrines]]="",WWWW[[#This Row],['#_Non-functional latrines]]=0),0,WWWW[[#This Row],['#_Non-functional latrines]]/(WWWW[[#This Row],['#_Constructed latrines_by_WASHAgencies]]+WWWW[[#This Row],['#_Non Cluster partner latrines]]))</f>
        <v>0</v>
      </c>
      <c r="DM77" s="968">
        <f>IF(500*(WWWW[[#This Row],['#_male hygiene promoters]]+WWWW[[#This Row],['#_female hygiene promoters]])&gt;WWWW[[#This Row],[Total PoP ]],WWWW[[#This Row],[Total PoP ]],500*(WWWW[[#This Row],['#_male hygiene promoters]]+WWWW[[#This Row],['#_female hygiene promoters]]))</f>
        <v>275</v>
      </c>
      <c r="DN7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7" s="971">
        <f>IF(WWWW[[#This Row],['# People with access to soap]]&gt;WWWW[[#This Row],['# People with access to Sanity Pads]],WWWW[[#This Row],['# People with access to soap]],WWWW[[#This Row],['# People with access to Sanity Pads]])</f>
        <v>0</v>
      </c>
      <c r="DQ77" s="971">
        <f>IF(WWWW[[#This Row],['# people reached by regular dedicated hygiene promotion_5]]&gt;WWWW[[#This Row],['# People received regular supply of hygiene items_6]],WWWW[[#This Row],['# people reached by regular dedicated hygiene promotion_5]],WWWW[[#This Row],['# People received regular supply of hygiene items_6]])</f>
        <v>275</v>
      </c>
      <c r="DR77" s="973">
        <f>IF(WWWW[[#This Row],[HRP3]]/WWWW[[#This Row],[Total PoP ]]&gt;1,1,WWWW[[#This Row],[HRP3]]/WWWW[[#This Row],[Total PoP ]])</f>
        <v>1</v>
      </c>
      <c r="DS77" s="972">
        <f>1-WWWW[[#This Row],[Hygiene Coverage%]]</f>
        <v>0</v>
      </c>
      <c r="DT77" s="970">
        <f>WWWW[[#This Row],['# people reached by regular dedicated hygiene promotion_5]]/WWWW[[#This Row],[Total PoP ]]</f>
        <v>1</v>
      </c>
      <c r="DU7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7" s="971">
        <f>WWWW[[#This Row],['#_Constructed/Existing hand washing stations]]-WWWW[[#This Row],['#_Non-Functional_hand_washing_stations]]</f>
        <v>5</v>
      </c>
      <c r="DX77" s="968">
        <f>IF(WWWW[[#This Row],['# Functional hand washing stations during reporting period]]*20&gt;WWWW[[#This Row],[Total HH]],WWWW[[#This Row],[Total HH]],WWWW[[#This Row],['# Functional hand washing stations during reporting period]]*20)</f>
        <v>48</v>
      </c>
      <c r="DY77" s="968">
        <f>IF(WWWW[[#This Row],[Is sufficient soap available for TLS? (Yes/No)]]="yes",WWWW[[#This Row],['#_Constructed/Existing hand washing stations at TLS/CFS/THF]],0)</f>
        <v>5</v>
      </c>
      <c r="DZ77" s="425">
        <f>IF(WWWW[[#This Row],['# Functional hand washing stations during reporting period]]*100&gt;WWWW[[#This Row],[Total PoP ]],WWWW[[#This Row],[Total PoP ]],WWWW[[#This Row],['# Functional hand washing stations during reporting period]]*100)</f>
        <v>275</v>
      </c>
      <c r="EA77" s="425" t="str">
        <f>IF(OR(WWWW[[#This Row],['#_students at TLS_CFS]]="",WWWW[[#This Row],['#_students at TLS_CFS]]=0),"No","Yes")</f>
        <v>No</v>
      </c>
      <c r="EB7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7" s="570">
        <f>WWWW[[#This Row],[%_of_affected_people_surveyed_who_report_feeling_satistfied_with_the_latrine_design_and_sanitation_service]]*WWWW[[#This Row],[Total PoP ]]</f>
        <v>0</v>
      </c>
      <c r="ED77" s="570">
        <f>WWWW[[#This Row],[%_of_affected_people_surveyed_who_report_feeling_satistfied_with_the_water_point_design_and_water_service]]*WWWW[[#This Row],[Total PoP ]]</f>
        <v>0</v>
      </c>
      <c r="EE77" s="570">
        <f>WWWW[[#This Row],[%_of_complaints_received_that_result_in_timely_corrective_action_and_feedback_to_the_community]]*WWWW[[#This Row],[Total PoP ]]</f>
        <v>0</v>
      </c>
      <c r="EF7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7" s="964">
        <f>VLOOKUP(WWWW[[#This Row],[Site Name]],SiteDB6[[Site Name]:[CCCM Management]],6,FALSE)</f>
        <v>0</v>
      </c>
      <c r="EJ77" s="964" t="str">
        <f>VLOOKUP(WWWW[[#This Row],[Site Name]],SiteDB6[[Site Name]:[CCCM Focal Agency]],7,FALSE)</f>
        <v>KMSS-MYT</v>
      </c>
      <c r="EK77" s="964" t="str">
        <f>VLOOKUP(WWWW[[#This Row],[Site Name]],SiteDB6[[Site Name]:[Location Type 1]],9,FALSE)</f>
        <v>Camp</v>
      </c>
      <c r="EL77" s="964" t="str">
        <f>VLOOKUP(WWWW[[#This Row],[Site Name]],SiteDB6[[Site Name]:[Type of Accommodation]],10,FALSE)</f>
        <v>Camp</v>
      </c>
      <c r="EM77" s="964" t="str">
        <f>VLOOKUP(WWWW[[#This Row],[Site Name]],SiteDB6[[Site Name]:[Ethnic or GCA/NGCA]],11,FALSE)</f>
        <v>GCA</v>
      </c>
      <c r="EN77" s="964">
        <f>VLOOKUP(WWWW[[#This Row],[Site Name]],SiteDB6[[Site Name]:[Lat]],12,FALSE)</f>
        <v>25.383058999999999</v>
      </c>
      <c r="EO77" s="964">
        <f>VLOOKUP(WWWW[[#This Row],[Site Name]],SiteDB6[[Site Name]:[Long]],13,FALSE)</f>
        <v>97.014313000000001</v>
      </c>
      <c r="EP77" s="964" t="str">
        <f>VLOOKUP(WWWW[[#This Row],[Site Name]],SiteDB6[[Site Name]:[Pcode]],3,FALSE)</f>
        <v>MMR001CMP259</v>
      </c>
      <c r="EQ77" s="969" t="str">
        <f t="shared" si="2"/>
        <v>Covered</v>
      </c>
      <c r="ER77" s="969" t="s">
        <v>3147</v>
      </c>
      <c r="ES77" s="964">
        <f>VLOOKUP(WWWW[[#This Row],[Site Name]],SiteDB6[[Site Name]:[Pop
(Kachin/Shan-CCCM as of March 2023)]],16,FALSE)</f>
        <v>48</v>
      </c>
      <c r="ET77" s="964">
        <f>VLOOKUP(WWWW[[#This Row],[Site Name]],SiteDB6[[Site Name]:[Pop
(Kachin/Shan-CCCM as of March 2023)]],17,FALSE)</f>
        <v>275</v>
      </c>
    </row>
    <row r="78" spans="1:150" hidden="1">
      <c r="A78" s="962" t="s">
        <v>2977</v>
      </c>
      <c r="B78" s="962" t="s">
        <v>36</v>
      </c>
      <c r="C78" s="963" t="s">
        <v>36</v>
      </c>
      <c r="D78" s="963" t="s">
        <v>241</v>
      </c>
      <c r="E78" s="963" t="s">
        <v>37</v>
      </c>
      <c r="F78" s="963" t="s">
        <v>152</v>
      </c>
      <c r="G78" s="964" t="str">
        <f>VLOOKUP(WWWW[[#This Row],[Site Name]],SiteDB6[[Site Name]:[Location Type]],8,FALSE)</f>
        <v>Camp</v>
      </c>
      <c r="H78" s="963" t="s">
        <v>2894</v>
      </c>
      <c r="I78" s="965">
        <v>83</v>
      </c>
      <c r="J78" s="965">
        <v>430</v>
      </c>
      <c r="K78" s="966">
        <v>44973</v>
      </c>
      <c r="L78" s="967">
        <v>45337</v>
      </c>
      <c r="M78" s="965"/>
      <c r="N78" s="965">
        <v>2</v>
      </c>
      <c r="O78" s="965"/>
      <c r="P78" s="965"/>
      <c r="Q78" s="968" t="s">
        <v>41</v>
      </c>
      <c r="R78" s="965">
        <v>2</v>
      </c>
      <c r="S78" s="965">
        <v>3</v>
      </c>
      <c r="T78" s="445">
        <v>3</v>
      </c>
      <c r="U78" s="965"/>
      <c r="V78" s="965"/>
      <c r="W78" s="965"/>
      <c r="X78" s="965"/>
      <c r="Y78" s="965"/>
      <c r="Z78" s="965"/>
      <c r="AA78" s="965"/>
      <c r="AB78" s="965"/>
      <c r="AC78" s="965"/>
      <c r="AD78" s="965"/>
      <c r="AE78" s="965"/>
      <c r="AF78" s="965"/>
      <c r="AG78" s="965"/>
      <c r="AH78" s="965"/>
      <c r="AI78" s="965"/>
      <c r="AJ78" s="965"/>
      <c r="AK78" s="965"/>
      <c r="AL78" s="965"/>
      <c r="AM78" s="965">
        <v>10</v>
      </c>
      <c r="AN78" s="965"/>
      <c r="AO78" s="445"/>
      <c r="AP78" s="969"/>
      <c r="AQ78" s="965">
        <v>14</v>
      </c>
      <c r="AR78" s="965"/>
      <c r="AS78" s="970"/>
      <c r="AT78" s="965"/>
      <c r="AU78" s="965"/>
      <c r="AV78" s="965"/>
      <c r="AW78" s="965"/>
      <c r="AX78" s="965"/>
      <c r="AY78" s="964" t="s">
        <v>41</v>
      </c>
      <c r="AZ78" s="969" t="s">
        <v>136</v>
      </c>
      <c r="BA78" s="965">
        <v>1</v>
      </c>
      <c r="BB78" s="965"/>
      <c r="BC78" s="965"/>
      <c r="BD78" s="445"/>
      <c r="BE78" s="445"/>
      <c r="BF78" s="964"/>
      <c r="BG78" s="965">
        <v>10</v>
      </c>
      <c r="BH78" s="965"/>
      <c r="BI78" s="965">
        <v>2</v>
      </c>
      <c r="BJ78" s="965">
        <v>2</v>
      </c>
      <c r="BK78" s="965"/>
      <c r="BL78" s="965"/>
      <c r="BM78" s="965">
        <v>1</v>
      </c>
      <c r="BN78" s="965"/>
      <c r="BO78" s="965"/>
      <c r="BP78" s="964" t="s">
        <v>41</v>
      </c>
      <c r="BQ78" s="971">
        <v>1</v>
      </c>
      <c r="BR78" s="970"/>
      <c r="BS78" s="1013" t="s">
        <v>3153</v>
      </c>
      <c r="BT78" s="420"/>
      <c r="BU78" s="420"/>
      <c r="BV78" s="422"/>
      <c r="BW78" s="420"/>
      <c r="BX78" s="445"/>
      <c r="BY78" s="445"/>
      <c r="BZ78" s="445"/>
      <c r="CA78" s="445"/>
      <c r="CB78" s="445"/>
      <c r="CC78" s="702"/>
      <c r="CD78" s="445"/>
      <c r="CE78" s="972" t="str">
        <f>IFERROR(WWWW[[#This Row],['#_Water sources passed]]/WWWW[[#This Row],['#_Water sources tested for fecal coliform ]],"no test")</f>
        <v>no test</v>
      </c>
      <c r="CF78" s="970" t="str">
        <f>IFERROR(WWWW[[#This Row],['#_Household passed]]/WWWW[[#This Row],['#_Household water samples tested for fecal coliform]],"no test")</f>
        <v>no test</v>
      </c>
      <c r="CG78" s="971" t="str">
        <f>IF(AND(WWWW[[#This Row],[% of water sources passed]]="no test",WWWW[[#This Row],[% Household passed]]="no test"),"No Test","Tested")</f>
        <v>No Test</v>
      </c>
      <c r="CH78" s="971">
        <f>WWWW[[#This Row],['#_Constructed/existing protected hand dug well]]-WWWW[[#This Row],['#_Non-functional protected hand dug well]]</f>
        <v>3</v>
      </c>
      <c r="CI78" s="971">
        <f>(WWWW[[#This Row],['#_Constructed/Existing tube wells/boreholes/handpumps_WASH_agency]]+WWWW[[#This Row],['#_Non-Cluster partner water tube-wells/boreholes/handpumps]])-WWWW[[#This Row],['#_Non-functional tube wells/boreholes/handpumps]]</f>
        <v>0</v>
      </c>
      <c r="CJ78" s="971">
        <f>WWWW[[#This Row],['#_Constructed/Existingwater storage tank with gravity fed reticulation system]]-WWWW[[#This Row],['#_Non-functional storage tank gravity fed reticulation system]]</f>
        <v>0</v>
      </c>
      <c r="CK78" s="971">
        <f>(WWWW[[#This Row],['#_Water_Liters_supplied_by_Water boating or water trucking]]/90)/15</f>
        <v>0</v>
      </c>
      <c r="CL78" s="971">
        <f>WWWW[[#This Row],['#_Water_Liters_from_Constructed/Existing water distribution system from river or natural spring]]/90/15</f>
        <v>0</v>
      </c>
      <c r="CM78" s="421">
        <f>IF(WWWW[[#This Row],['#_of water points in TLS/CFS]]*500&gt;WWWW[[#This Row],[Total PoP ]],WWWW[[#This Row],[Total PoP ]],WWWW[[#This Row],['#_of water points in TLS/CFS]]*500)</f>
        <v>0</v>
      </c>
      <c r="CN78" s="421">
        <f>IF(WWWW[[#This Row],['#_of water points in THF]]*500&gt;WWWW[[#This Row],[Total PoP ]],WWWW[[#This Row],[Total PoP ]],WWWW[[#This Row],['#_of water points in THF]]*500)</f>
        <v>0</v>
      </c>
      <c r="CO78" s="421"/>
      <c r="CP7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8" s="970">
        <f>IF(WWWW[[#This Row],[Location Type 1]]="Village",WWWW[[#This Row],[Access to safe drinking water for Village]],WWWW[[#This Row],[Access to safe drinking water for Camp]])</f>
        <v>1</v>
      </c>
      <c r="CS78" s="968">
        <f>WWWW[[#This Row],[%Equitable and continuous access to sufficient quantity of safe drinking water]]*WWWW[[#This Row],[Total PoP ]]</f>
        <v>430</v>
      </c>
      <c r="CT78" s="970">
        <f>IF((WWWW[[#This Row],['#_Constructed/Existing protected/fenced ponds]]*250)/WWWW[[#This Row],[Total PoP ]]&gt;1,1,(WWWW[[#This Row],['#_Constructed/Existing protected/fenced ponds]]*250)/WWWW[[#This Row],[Total PoP ]])</f>
        <v>0</v>
      </c>
      <c r="CU78" s="968">
        <f>WWWW[[#This Row],[% Access to unimproved water points]]*WWWW[[#This Row],[Total PoP ]]</f>
        <v>0</v>
      </c>
      <c r="CV7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430</v>
      </c>
      <c r="CX78" s="968">
        <f>WWWW[[#This Row],[HRP1]]/500</f>
        <v>0.86</v>
      </c>
      <c r="CY78" s="973">
        <f>1-WWWW[[#This Row],[% Equitable and continuous access to sufficient quantity of domestic water]]</f>
        <v>0</v>
      </c>
      <c r="CZ78" s="968">
        <f>WWWW[[#This Row],[%equitable and continuous access to sufficient quantity of safe drinking and domestic water''s GAP]]*WWWW[[#This Row],[Total PoP ]]</f>
        <v>0</v>
      </c>
      <c r="DA78" s="971">
        <f>IF(WWWW[[#This Row],[Total required water points]]-WWWW[[#This Row],['#Water points coverage]]&lt;0,0,WWWW[[#This Row],[Total required water points]]-WWWW[[#This Row],['#Water points coverage]])</f>
        <v>0.14000000000000001</v>
      </c>
      <c r="DB78" s="971">
        <f>ROUND(IF(WWWW[[#This Row],[Total PoP ]]&lt;500,1,WWWW[[#This Row],[Total PoP ]]/500),0)</f>
        <v>1</v>
      </c>
      <c r="DC78" s="971">
        <f>(WWWW[[#This Row],['#_Constructed latrines_by_WASHAgencies]]+WWWW[[#This Row],['#_Non Cluster partner latrines]])-WWWW[[#This Row],['#_Non-functional latrines]]</f>
        <v>14</v>
      </c>
      <c r="DD78" s="619">
        <f>WWWW[[#This Row],[HRP2]]/WWWW[[#This Row],[Total PoP ]]</f>
        <v>0.69767441860465118</v>
      </c>
      <c r="DE7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7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8" s="421">
        <f>IF(WWWW[[#This Row],['# of functional latrines in THF supported by WASH partners during the reporting period2]]="",0,WWWW[[#This Row],['# of functional latrines in THF supported by WASH partners during the reporting period2]]*50)</f>
        <v>0</v>
      </c>
      <c r="DI78" s="971">
        <f>ROUND(IF(WWWW[[#This Row],[Location Type 1]]="camp",WWWW[[#This Row],[Total PoP ]]/20,IF(WWWW[[#This Row],[Location Type 1]]="Temporary Location",WWWW[[#This Row],[Total PoP ]]/50,(WWWW[[#This Row],[Total PoP ]]/6))),0)</f>
        <v>22</v>
      </c>
      <c r="DJ78" s="971">
        <f>IF(WWWW[[#This Row],[Total required Latrines]]-(WWWW[[#This Row],['#_Constructed latrines_by_WASHAgencies]]+WWWW[[#This Row],['#_Non Cluster partner latrines]])&lt;0,0,WWWW[[#This Row],[Total required Latrines]]-(WWWW[[#This Row],['#_Constructed latrines_by_WASHAgencies]]+WWWW[[#This Row],['#_Non Cluster partner latrines]]))</f>
        <v>8</v>
      </c>
      <c r="DK78" s="973">
        <f>1-WWWW[[#This Row],[% people access to functioning Latrine]]</f>
        <v>0.30232558139534882</v>
      </c>
      <c r="DL78" s="972">
        <f>IF(OR(WWWW[[#This Row],['#_Non-functional latrines]]="",WWWW[[#This Row],['#_Non-functional latrines]]=0),0,WWWW[[#This Row],['#_Non-functional latrines]]/(WWWW[[#This Row],['#_Constructed latrines_by_WASHAgencies]]+WWWW[[#This Row],['#_Non Cluster partner latrines]]))</f>
        <v>0</v>
      </c>
      <c r="DM78" s="968">
        <f>IF(500*(WWWW[[#This Row],['#_male hygiene promoters]]+WWWW[[#This Row],['#_female hygiene promoters]])&gt;WWWW[[#This Row],[Total PoP ]],WWWW[[#This Row],[Total PoP ]],500*(WWWW[[#This Row],['#_male hygiene promoters]]+WWWW[[#This Row],['#_female hygiene promoters]]))</f>
        <v>430</v>
      </c>
      <c r="DN7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8" s="971">
        <f>IF(WWWW[[#This Row],['# People with access to soap]]&gt;WWWW[[#This Row],['# People with access to Sanity Pads]],WWWW[[#This Row],['# People with access to soap]],WWWW[[#This Row],['# People with access to Sanity Pads]])</f>
        <v>0</v>
      </c>
      <c r="DQ78" s="971">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R78" s="973">
        <f>IF(WWWW[[#This Row],[HRP3]]/WWWW[[#This Row],[Total PoP ]]&gt;1,1,WWWW[[#This Row],[HRP3]]/WWWW[[#This Row],[Total PoP ]])</f>
        <v>1</v>
      </c>
      <c r="DS78" s="972">
        <f>1-WWWW[[#This Row],[Hygiene Coverage%]]</f>
        <v>0</v>
      </c>
      <c r="DT78" s="970">
        <f>WWWW[[#This Row],['# people reached by regular dedicated hygiene promotion_5]]/WWWW[[#This Row],[Total PoP ]]</f>
        <v>1</v>
      </c>
      <c r="DU7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8" s="971">
        <f>WWWW[[#This Row],['#_Constructed/Existing hand washing stations]]-WWWW[[#This Row],['#_Non-Functional_hand_washing_stations]]</f>
        <v>10</v>
      </c>
      <c r="DX78" s="968">
        <f>IF(WWWW[[#This Row],['# Functional hand washing stations during reporting period]]*20&gt;WWWW[[#This Row],[Total HH]],WWWW[[#This Row],[Total HH]],WWWW[[#This Row],['# Functional hand washing stations during reporting period]]*20)</f>
        <v>83</v>
      </c>
      <c r="DY78" s="968">
        <f>IF(WWWW[[#This Row],[Is sufficient soap available for TLS? (Yes/No)]]="yes",WWWW[[#This Row],['#_Constructed/Existing hand washing stations at TLS/CFS/THF]],0)</f>
        <v>10</v>
      </c>
      <c r="DZ78" s="425">
        <f>IF(WWWW[[#This Row],['# Functional hand washing stations during reporting period]]*100&gt;WWWW[[#This Row],[Total PoP ]],WWWW[[#This Row],[Total PoP ]],WWWW[[#This Row],['# Functional hand washing stations during reporting period]]*100)</f>
        <v>430</v>
      </c>
      <c r="EA78" s="425" t="str">
        <f>IF(OR(WWWW[[#This Row],['#_students at TLS_CFS]]="",WWWW[[#This Row],['#_students at TLS_CFS]]=0),"No","Yes")</f>
        <v>No</v>
      </c>
      <c r="EB7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8" s="570">
        <f>WWWW[[#This Row],[%_of_affected_people_surveyed_who_report_feeling_satistfied_with_the_latrine_design_and_sanitation_service]]*WWWW[[#This Row],[Total PoP ]]</f>
        <v>0</v>
      </c>
      <c r="ED78" s="570">
        <f>WWWW[[#This Row],[%_of_affected_people_surveyed_who_report_feeling_satistfied_with_the_water_point_design_and_water_service]]*WWWW[[#This Row],[Total PoP ]]</f>
        <v>0</v>
      </c>
      <c r="EE78" s="570">
        <f>WWWW[[#This Row],[%_of_complaints_received_that_result_in_timely_corrective_action_and_feedback_to_the_community]]*WWWW[[#This Row],[Total PoP ]]</f>
        <v>0</v>
      </c>
      <c r="EF7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8" s="964">
        <f>VLOOKUP(WWWW[[#This Row],[Site Name]],SiteDB6[[Site Name]:[CCCM Management]],6,FALSE)</f>
        <v>0</v>
      </c>
      <c r="EJ78" s="964" t="str">
        <f>VLOOKUP(WWWW[[#This Row],[Site Name]],SiteDB6[[Site Name]:[CCCM Focal Agency]],7,FALSE)</f>
        <v>KMSS-MYT</v>
      </c>
      <c r="EK78" s="964" t="str">
        <f>VLOOKUP(WWWW[[#This Row],[Site Name]],SiteDB6[[Site Name]:[Location Type 1]],9,FALSE)</f>
        <v>Camp</v>
      </c>
      <c r="EL78" s="964" t="str">
        <f>VLOOKUP(WWWW[[#This Row],[Site Name]],SiteDB6[[Site Name]:[Type of Accommodation]],10,FALSE)</f>
        <v>Camp</v>
      </c>
      <c r="EM78" s="964" t="str">
        <f>VLOOKUP(WWWW[[#This Row],[Site Name]],SiteDB6[[Site Name]:[Ethnic or GCA/NGCA]],11,FALSE)</f>
        <v>GCA</v>
      </c>
      <c r="EN78" s="964">
        <f>VLOOKUP(WWWW[[#This Row],[Site Name]],SiteDB6[[Site Name]:[Lat]],12,FALSE)</f>
        <v>25.383058999999999</v>
      </c>
      <c r="EO78" s="964">
        <f>VLOOKUP(WWWW[[#This Row],[Site Name]],SiteDB6[[Site Name]:[Long]],13,FALSE)</f>
        <v>97.014313000000001</v>
      </c>
      <c r="EP78" s="964" t="str">
        <f>VLOOKUP(WWWW[[#This Row],[Site Name]],SiteDB6[[Site Name]:[Pcode]],3,FALSE)</f>
        <v>MMR001CMP260</v>
      </c>
      <c r="EQ78" s="969" t="str">
        <f t="shared" si="2"/>
        <v>Covered</v>
      </c>
      <c r="ER78" s="969" t="s">
        <v>3147</v>
      </c>
      <c r="ES78" s="964">
        <f>VLOOKUP(WWWW[[#This Row],[Site Name]],SiteDB6[[Site Name]:[Pop
(Kachin/Shan-CCCM as of March 2023)]],16,FALSE)</f>
        <v>83</v>
      </c>
      <c r="ET78" s="964">
        <f>VLOOKUP(WWWW[[#This Row],[Site Name]],SiteDB6[[Site Name]:[Pop
(Kachin/Shan-CCCM as of March 2023)]],17,FALSE)</f>
        <v>430</v>
      </c>
    </row>
    <row r="79" spans="1:150" hidden="1">
      <c r="A79" s="962" t="s">
        <v>2977</v>
      </c>
      <c r="B79" s="962" t="s">
        <v>309</v>
      </c>
      <c r="C79" s="963" t="s">
        <v>309</v>
      </c>
      <c r="D79" s="963"/>
      <c r="E79" s="963" t="s">
        <v>37</v>
      </c>
      <c r="F79" s="963" t="s">
        <v>152</v>
      </c>
      <c r="G79" s="964" t="str">
        <f>VLOOKUP(WWWW[[#This Row],[Site Name]],SiteDB6[[Site Name]:[Location Type]],8,FALSE)</f>
        <v>Camp</v>
      </c>
      <c r="H79" s="963" t="s">
        <v>1546</v>
      </c>
      <c r="I79" s="965">
        <v>6</v>
      </c>
      <c r="J79" s="965">
        <v>32</v>
      </c>
      <c r="K79" s="966"/>
      <c r="L79" s="967"/>
      <c r="M79" s="965"/>
      <c r="N79" s="965"/>
      <c r="O79" s="965"/>
      <c r="P79" s="965"/>
      <c r="Q79" s="968"/>
      <c r="R79" s="965"/>
      <c r="S79" s="965"/>
      <c r="T79" s="445"/>
      <c r="U79" s="965"/>
      <c r="V79" s="965"/>
      <c r="W79" s="965"/>
      <c r="X79" s="965"/>
      <c r="Y79" s="965"/>
      <c r="Z79" s="965"/>
      <c r="AA79" s="965"/>
      <c r="AB79" s="965"/>
      <c r="AC79" s="965"/>
      <c r="AD79" s="965"/>
      <c r="AE79" s="965"/>
      <c r="AF79" s="965"/>
      <c r="AG79" s="965"/>
      <c r="AH79" s="965"/>
      <c r="AI79" s="965"/>
      <c r="AJ79" s="965"/>
      <c r="AK79" s="965"/>
      <c r="AL79" s="965"/>
      <c r="AM79" s="965"/>
      <c r="AN79" s="965"/>
      <c r="AO79" s="445"/>
      <c r="AP79" s="969"/>
      <c r="AQ79" s="965"/>
      <c r="AR79" s="965"/>
      <c r="AS79" s="970"/>
      <c r="AT79" s="965"/>
      <c r="AU79" s="965"/>
      <c r="AV79" s="965"/>
      <c r="AW79" s="965"/>
      <c r="AX79" s="965"/>
      <c r="AY79" s="964" t="s">
        <v>140</v>
      </c>
      <c r="AZ79" s="969" t="s">
        <v>140</v>
      </c>
      <c r="BA79" s="965"/>
      <c r="BB79" s="965"/>
      <c r="BC79" s="965"/>
      <c r="BD79" s="445"/>
      <c r="BE79" s="445"/>
      <c r="BF79" s="964"/>
      <c r="BG79" s="965">
        <v>3</v>
      </c>
      <c r="BH79" s="965"/>
      <c r="BI79" s="965"/>
      <c r="BJ79" s="965">
        <v>2</v>
      </c>
      <c r="BK79" s="965"/>
      <c r="BL79" s="965"/>
      <c r="BM79" s="965"/>
      <c r="BN79" s="965"/>
      <c r="BO79" s="965"/>
      <c r="BP79" s="964"/>
      <c r="BQ79" s="971"/>
      <c r="BR79" s="970"/>
      <c r="BS79" s="964"/>
      <c r="BT79" s="420"/>
      <c r="BU79" s="420"/>
      <c r="BV79" s="422"/>
      <c r="BW79" s="420"/>
      <c r="BX79" s="445"/>
      <c r="BY79" s="445"/>
      <c r="BZ79" s="445"/>
      <c r="CA79" s="445"/>
      <c r="CB79" s="445"/>
      <c r="CC79" s="702"/>
      <c r="CD79" s="445"/>
      <c r="CE79" s="972" t="str">
        <f>IFERROR(WWWW[[#This Row],['#_Water sources passed]]/WWWW[[#This Row],['#_Water sources tested for fecal coliform ]],"no test")</f>
        <v>no test</v>
      </c>
      <c r="CF79" s="970" t="str">
        <f>IFERROR(WWWW[[#This Row],['#_Household passed]]/WWWW[[#This Row],['#_Household water samples tested for fecal coliform]],"no test")</f>
        <v>no test</v>
      </c>
      <c r="CG79" s="971" t="str">
        <f>IF(AND(WWWW[[#This Row],[% of water sources passed]]="no test",WWWW[[#This Row],[% Household passed]]="no test"),"No Test","Tested")</f>
        <v>No Test</v>
      </c>
      <c r="CH79" s="971">
        <f>WWWW[[#This Row],['#_Constructed/existing protected hand dug well]]-WWWW[[#This Row],['#_Non-functional protected hand dug well]]</f>
        <v>0</v>
      </c>
      <c r="CI79" s="971">
        <f>(WWWW[[#This Row],['#_Constructed/Existing tube wells/boreholes/handpumps_WASH_agency]]+WWWW[[#This Row],['#_Non-Cluster partner water tube-wells/boreholes/handpumps]])-WWWW[[#This Row],['#_Non-functional tube wells/boreholes/handpumps]]</f>
        <v>0</v>
      </c>
      <c r="CJ79" s="971">
        <f>WWWW[[#This Row],['#_Constructed/Existingwater storage tank with gravity fed reticulation system]]-WWWW[[#This Row],['#_Non-functional storage tank gravity fed reticulation system]]</f>
        <v>0</v>
      </c>
      <c r="CK79" s="971">
        <f>(WWWW[[#This Row],['#_Water_Liters_supplied_by_Water boating or water trucking]]/90)/15</f>
        <v>0</v>
      </c>
      <c r="CL79" s="971">
        <f>WWWW[[#This Row],['#_Water_Liters_from_Constructed/Existing water distribution system from river or natural spring]]/90/15</f>
        <v>0</v>
      </c>
      <c r="CM79" s="421">
        <f>IF(WWWW[[#This Row],['#_of water points in TLS/CFS]]*500&gt;WWWW[[#This Row],[Total PoP ]],WWWW[[#This Row],[Total PoP ]],WWWW[[#This Row],['#_of water points in TLS/CFS]]*500)</f>
        <v>0</v>
      </c>
      <c r="CN79" s="421">
        <f>IF(WWWW[[#This Row],['#_of water points in THF]]*500&gt;WWWW[[#This Row],[Total PoP ]],WWWW[[#This Row],[Total PoP ]],WWWW[[#This Row],['#_of water points in THF]]*500)</f>
        <v>0</v>
      </c>
      <c r="CO79" s="421"/>
      <c r="CP7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7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79" s="970">
        <f>IF(WWWW[[#This Row],[Location Type 1]]="Village",WWWW[[#This Row],[Access to safe drinking water for Village]],WWWW[[#This Row],[Access to safe drinking water for Camp]])</f>
        <v>0</v>
      </c>
      <c r="CS79" s="968">
        <f>WWWW[[#This Row],[%Equitable and continuous access to sufficient quantity of safe drinking water]]*WWWW[[#This Row],[Total PoP ]]</f>
        <v>0</v>
      </c>
      <c r="CT79" s="970">
        <f>IF((WWWW[[#This Row],['#_Constructed/Existing protected/fenced ponds]]*250)/WWWW[[#This Row],[Total PoP ]]&gt;1,1,(WWWW[[#This Row],['#_Constructed/Existing protected/fenced ponds]]*250)/WWWW[[#This Row],[Total PoP ]])</f>
        <v>0</v>
      </c>
      <c r="CU79" s="968">
        <f>WWWW[[#This Row],[% Access to unimproved water points]]*WWWW[[#This Row],[Total PoP ]]</f>
        <v>0</v>
      </c>
      <c r="CV7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7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79" s="968">
        <f>WWWW[[#This Row],[HRP1]]/500</f>
        <v>0</v>
      </c>
      <c r="CY79" s="973">
        <f>1-WWWW[[#This Row],[% Equitable and continuous access to sufficient quantity of domestic water]]</f>
        <v>1</v>
      </c>
      <c r="CZ79" s="968">
        <f>WWWW[[#This Row],[%equitable and continuous access to sufficient quantity of safe drinking and domestic water''s GAP]]*WWWW[[#This Row],[Total PoP ]]</f>
        <v>32</v>
      </c>
      <c r="DA79" s="971">
        <f>IF(WWWW[[#This Row],[Total required water points]]-WWWW[[#This Row],['#Water points coverage]]&lt;0,0,WWWW[[#This Row],[Total required water points]]-WWWW[[#This Row],['#Water points coverage]])</f>
        <v>1</v>
      </c>
      <c r="DB79" s="971">
        <f>ROUND(IF(WWWW[[#This Row],[Total PoP ]]&lt;500,1,WWWW[[#This Row],[Total PoP ]]/500),0)</f>
        <v>1</v>
      </c>
      <c r="DC79" s="971">
        <f>(WWWW[[#This Row],['#_Constructed latrines_by_WASHAgencies]]+WWWW[[#This Row],['#_Non Cluster partner latrines]])-WWWW[[#This Row],['#_Non-functional latrines]]</f>
        <v>0</v>
      </c>
      <c r="DD79" s="619">
        <f>WWWW[[#This Row],[HRP2]]/WWWW[[#This Row],[Total PoP ]]</f>
        <v>0</v>
      </c>
      <c r="DE7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7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9" s="421">
        <f>IF(WWWW[[#This Row],['# of functional latrines in THF supported by WASH partners during the reporting period2]]="",0,WWWW[[#This Row],['# of functional latrines in THF supported by WASH partners during the reporting period2]]*50)</f>
        <v>0</v>
      </c>
      <c r="DI79" s="971">
        <f>ROUND(IF(WWWW[[#This Row],[Location Type 1]]="camp",WWWW[[#This Row],[Total PoP ]]/20,IF(WWWW[[#This Row],[Location Type 1]]="Temporary Location",WWWW[[#This Row],[Total PoP ]]/50,(WWWW[[#This Row],[Total PoP ]]/6))),0)</f>
        <v>2</v>
      </c>
      <c r="DJ79" s="971">
        <f>IF(WWWW[[#This Row],[Total required Latrines]]-(WWWW[[#This Row],['#_Constructed latrines_by_WASHAgencies]]+WWWW[[#This Row],['#_Non Cluster partner latrines]])&lt;0,0,WWWW[[#This Row],[Total required Latrines]]-(WWWW[[#This Row],['#_Constructed latrines_by_WASHAgencies]]+WWWW[[#This Row],['#_Non Cluster partner latrines]]))</f>
        <v>2</v>
      </c>
      <c r="DK79" s="973">
        <f>1-WWWW[[#This Row],[% people access to functioning Latrine]]</f>
        <v>1</v>
      </c>
      <c r="DL79" s="972">
        <f>IF(OR(WWWW[[#This Row],['#_Non-functional latrines]]="",WWWW[[#This Row],['#_Non-functional latrines]]=0),0,WWWW[[#This Row],['#_Non-functional latrines]]/(WWWW[[#This Row],['#_Constructed latrines_by_WASHAgencies]]+WWWW[[#This Row],['#_Non Cluster partner latrines]]))</f>
        <v>0</v>
      </c>
      <c r="DM79" s="968">
        <f>IF(500*(WWWW[[#This Row],['#_male hygiene promoters]]+WWWW[[#This Row],['#_female hygiene promoters]])&gt;WWWW[[#This Row],[Total PoP ]],WWWW[[#This Row],[Total PoP ]],500*(WWWW[[#This Row],['#_male hygiene promoters]]+WWWW[[#This Row],['#_female hygiene promoters]]))</f>
        <v>0</v>
      </c>
      <c r="DN7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9" s="971">
        <f>IF(WWWW[[#This Row],['# People with access to soap]]&gt;WWWW[[#This Row],['# People with access to Sanity Pads]],WWWW[[#This Row],['# People with access to soap]],WWWW[[#This Row],['# People with access to Sanity Pads]])</f>
        <v>0</v>
      </c>
      <c r="DQ7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9" s="973">
        <f>IF(WWWW[[#This Row],[HRP3]]/WWWW[[#This Row],[Total PoP ]]&gt;1,1,WWWW[[#This Row],[HRP3]]/WWWW[[#This Row],[Total PoP ]])</f>
        <v>0</v>
      </c>
      <c r="DS79" s="972">
        <f>1-WWWW[[#This Row],[Hygiene Coverage%]]</f>
        <v>1</v>
      </c>
      <c r="DT79" s="970">
        <f>WWWW[[#This Row],['# people reached by regular dedicated hygiene promotion_5]]/WWWW[[#This Row],[Total PoP ]]</f>
        <v>0</v>
      </c>
      <c r="DU7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9" s="971">
        <f>WWWW[[#This Row],['#_Constructed/Existing hand washing stations]]-WWWW[[#This Row],['#_Non-Functional_hand_washing_stations]]</f>
        <v>3</v>
      </c>
      <c r="DX79" s="968">
        <f>IF(WWWW[[#This Row],['# Functional hand washing stations during reporting period]]*20&gt;WWWW[[#This Row],[Total HH]],WWWW[[#This Row],[Total HH]],WWWW[[#This Row],['# Functional hand washing stations during reporting period]]*20)</f>
        <v>6</v>
      </c>
      <c r="DY79" s="968">
        <f>IF(WWWW[[#This Row],[Is sufficient soap available for TLS? (Yes/No)]]="yes",WWWW[[#This Row],['#_Constructed/Existing hand washing stations at TLS/CFS/THF]],0)</f>
        <v>0</v>
      </c>
      <c r="DZ79" s="425">
        <f>IF(WWWW[[#This Row],['# Functional hand washing stations during reporting period]]*100&gt;WWWW[[#This Row],[Total PoP ]],WWWW[[#This Row],[Total PoP ]],WWWW[[#This Row],['# Functional hand washing stations during reporting period]]*100)</f>
        <v>32</v>
      </c>
      <c r="EA79" s="425" t="str">
        <f>IF(OR(WWWW[[#This Row],['#_students at TLS_CFS]]="",WWWW[[#This Row],['#_students at TLS_CFS]]=0),"No","Yes")</f>
        <v>No</v>
      </c>
      <c r="EB7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9" s="570">
        <f>WWWW[[#This Row],[%_of_affected_people_surveyed_who_report_feeling_satistfied_with_the_latrine_design_and_sanitation_service]]*WWWW[[#This Row],[Total PoP ]]</f>
        <v>0</v>
      </c>
      <c r="ED79" s="570">
        <f>WWWW[[#This Row],[%_of_affected_people_surveyed_who_report_feeling_satistfied_with_the_water_point_design_and_water_service]]*WWWW[[#This Row],[Total PoP ]]</f>
        <v>0</v>
      </c>
      <c r="EE79" s="570">
        <f>WWWW[[#This Row],[%_of_complaints_received_that_result_in_timely_corrective_action_and_feedback_to_the_community]]*WWWW[[#This Row],[Total PoP ]]</f>
        <v>0</v>
      </c>
      <c r="EF7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9" s="964">
        <f>VLOOKUP(WWWW[[#This Row],[Site Name]],SiteDB6[[Site Name]:[CCCM Management]],6,FALSE)</f>
        <v>0</v>
      </c>
      <c r="EJ79" s="964" t="str">
        <f>VLOOKUP(WWWW[[#This Row],[Site Name]],SiteDB6[[Site Name]:[CCCM Focal Agency]],7,FALSE)</f>
        <v>uncovered</v>
      </c>
      <c r="EK79" s="964" t="str">
        <f>VLOOKUP(WWWW[[#This Row],[Site Name]],SiteDB6[[Site Name]:[Location Type 1]],9,FALSE)</f>
        <v>Camp</v>
      </c>
      <c r="EL79" s="964" t="str">
        <f>VLOOKUP(WWWW[[#This Row],[Site Name]],SiteDB6[[Site Name]:[Type of Accommodation]],10,FALSE)</f>
        <v>Camp like setting</v>
      </c>
      <c r="EM79" s="964" t="str">
        <f>VLOOKUP(WWWW[[#This Row],[Site Name]],SiteDB6[[Site Name]:[Ethnic or GCA/NGCA]],11,FALSE)</f>
        <v>GCA</v>
      </c>
      <c r="EN79" s="964">
        <f>VLOOKUP(WWWW[[#This Row],[Site Name]],SiteDB6[[Site Name]:[Lat]],12,FALSE)</f>
        <v>25.30274</v>
      </c>
      <c r="EO79" s="964">
        <f>VLOOKUP(WWWW[[#This Row],[Site Name]],SiteDB6[[Site Name]:[Long]],13,FALSE)</f>
        <v>96.940380000000005</v>
      </c>
      <c r="EP79" s="964" t="str">
        <f>VLOOKUP(WWWW[[#This Row],[Site Name]],SiteDB6[[Site Name]:[Pcode]],3,FALSE)</f>
        <v>MMR001CMP262</v>
      </c>
      <c r="EQ79" s="969" t="str">
        <f t="shared" si="2"/>
        <v>Notcovered</v>
      </c>
      <c r="ER79" s="969"/>
      <c r="ES79" s="964">
        <f>VLOOKUP(WWWW[[#This Row],[Site Name]],SiteDB6[[Site Name]:[Pop
(Kachin/Shan-CCCM as of March 2023)]],16,FALSE)</f>
        <v>5</v>
      </c>
      <c r="ET79" s="964">
        <f>VLOOKUP(WWWW[[#This Row],[Site Name]],SiteDB6[[Site Name]:[Pop
(Kachin/Shan-CCCM as of March 2023)]],17,FALSE)</f>
        <v>32</v>
      </c>
    </row>
    <row r="80" spans="1:150" hidden="1">
      <c r="A80" s="962" t="s">
        <v>2977</v>
      </c>
      <c r="B80" s="963" t="s">
        <v>141</v>
      </c>
      <c r="C80" s="963" t="s">
        <v>141</v>
      </c>
      <c r="D80" s="963" t="s">
        <v>241</v>
      </c>
      <c r="E80" s="963" t="s">
        <v>37</v>
      </c>
      <c r="F80" s="963" t="s">
        <v>159</v>
      </c>
      <c r="G80" s="964" t="str">
        <f>VLOOKUP(WWWW[[#This Row],[Site Name]],SiteDB6[[Site Name]:[Location Type]],8,FALSE)</f>
        <v>Camp</v>
      </c>
      <c r="H80" s="963" t="s">
        <v>161</v>
      </c>
      <c r="I80" s="965">
        <v>136</v>
      </c>
      <c r="J80" s="965">
        <v>742</v>
      </c>
      <c r="K80" s="966">
        <v>44811</v>
      </c>
      <c r="L80" s="967">
        <v>45175</v>
      </c>
      <c r="M80" s="965"/>
      <c r="N80" s="965">
        <v>3</v>
      </c>
      <c r="O80" s="965"/>
      <c r="P80" s="965"/>
      <c r="Q80" s="968" t="s">
        <v>41</v>
      </c>
      <c r="R80" s="965">
        <v>1</v>
      </c>
      <c r="S80" s="965">
        <v>4</v>
      </c>
      <c r="T80" s="445">
        <v>7</v>
      </c>
      <c r="U80" s="965"/>
      <c r="V80" s="965"/>
      <c r="W80" s="965">
        <v>4</v>
      </c>
      <c r="X80" s="965"/>
      <c r="Y80" s="965"/>
      <c r="Z80" s="965"/>
      <c r="AA80" s="965"/>
      <c r="AB80" s="965"/>
      <c r="AC80" s="965"/>
      <c r="AD80" s="965"/>
      <c r="AE80" s="965"/>
      <c r="AF80" s="965"/>
      <c r="AG80" s="965"/>
      <c r="AH80" s="965">
        <v>5</v>
      </c>
      <c r="AI80" s="965"/>
      <c r="AJ80" s="965"/>
      <c r="AK80" s="965"/>
      <c r="AL80" s="965"/>
      <c r="AM80" s="965"/>
      <c r="AN80" s="965"/>
      <c r="AO80" s="445"/>
      <c r="AP80" s="969"/>
      <c r="AQ80" s="965">
        <v>45</v>
      </c>
      <c r="AR80" s="965"/>
      <c r="AS80" s="970"/>
      <c r="AT80" s="965"/>
      <c r="AU80" s="965"/>
      <c r="AV80" s="965"/>
      <c r="AW80" s="965"/>
      <c r="AX80" s="965">
        <v>45</v>
      </c>
      <c r="AY80" s="964" t="s">
        <v>41</v>
      </c>
      <c r="AZ80" s="969" t="s">
        <v>137</v>
      </c>
      <c r="BA80" s="965"/>
      <c r="BB80" s="965"/>
      <c r="BC80" s="965"/>
      <c r="BD80" s="445"/>
      <c r="BE80" s="445"/>
      <c r="BF80" s="964"/>
      <c r="BG80" s="965">
        <v>7</v>
      </c>
      <c r="BH80" s="965"/>
      <c r="BI80" s="965"/>
      <c r="BJ80" s="965">
        <v>7</v>
      </c>
      <c r="BK80" s="965"/>
      <c r="BL80" s="965">
        <v>1</v>
      </c>
      <c r="BM80" s="965"/>
      <c r="BN80" s="965"/>
      <c r="BO80" s="965"/>
      <c r="BP80" s="964"/>
      <c r="BQ80" s="971"/>
      <c r="BR80" s="970"/>
      <c r="BS80" s="964"/>
      <c r="BT80" s="420"/>
      <c r="BU80" s="420"/>
      <c r="BV80" s="422"/>
      <c r="BW80" s="420"/>
      <c r="BX80" s="445"/>
      <c r="BY80" s="445"/>
      <c r="BZ80" s="445"/>
      <c r="CA80" s="445"/>
      <c r="CB80" s="445"/>
      <c r="CC80" s="702"/>
      <c r="CD80" s="445"/>
      <c r="CE80" s="972" t="str">
        <f>IFERROR(WWWW[[#This Row],['#_Water sources passed]]/WWWW[[#This Row],['#_Water sources tested for fecal coliform ]],"no test")</f>
        <v>no test</v>
      </c>
      <c r="CF80" s="970" t="str">
        <f>IFERROR(WWWW[[#This Row],['#_Household passed]]/WWWW[[#This Row],['#_Household water samples tested for fecal coliform]],"no test")</f>
        <v>no test</v>
      </c>
      <c r="CG80" s="971" t="str">
        <f>IF(AND(WWWW[[#This Row],[% of water sources passed]]="no test",WWWW[[#This Row],[% Household passed]]="no test"),"No Test","Tested")</f>
        <v>No Test</v>
      </c>
      <c r="CH80" s="971">
        <f>WWWW[[#This Row],['#_Constructed/existing protected hand dug well]]-WWWW[[#This Row],['#_Non-functional protected hand dug well]]</f>
        <v>7</v>
      </c>
      <c r="CI80" s="971">
        <f>(WWWW[[#This Row],['#_Constructed/Existing tube wells/boreholes/handpumps_WASH_agency]]+WWWW[[#This Row],['#_Non-Cluster partner water tube-wells/boreholes/handpumps]])-WWWW[[#This Row],['#_Non-functional tube wells/boreholes/handpumps]]</f>
        <v>4</v>
      </c>
      <c r="CJ80" s="971">
        <f>WWWW[[#This Row],['#_Constructed/Existingwater storage tank with gravity fed reticulation system]]-WWWW[[#This Row],['#_Non-functional storage tank gravity fed reticulation system]]</f>
        <v>0</v>
      </c>
      <c r="CK80" s="971">
        <f>(WWWW[[#This Row],['#_Water_Liters_supplied_by_Water boating or water trucking]]/90)/15</f>
        <v>0</v>
      </c>
      <c r="CL80" s="971">
        <f>WWWW[[#This Row],['#_Water_Liters_from_Constructed/Existing water distribution system from river or natural spring]]/90/15</f>
        <v>0</v>
      </c>
      <c r="CM80" s="421">
        <f>IF(WWWW[[#This Row],['#_of water points in TLS/CFS]]*500&gt;WWWW[[#This Row],[Total PoP ]],WWWW[[#This Row],[Total PoP ]],WWWW[[#This Row],['#_of water points in TLS/CFS]]*500)</f>
        <v>0</v>
      </c>
      <c r="CN80" s="421">
        <f>IF(WWWW[[#This Row],['#_of water points in THF]]*500&gt;WWWW[[#This Row],[Total PoP ]],WWWW[[#This Row],[Total PoP ]],WWWW[[#This Row],['#_of water points in THF]]*500)</f>
        <v>0</v>
      </c>
      <c r="CO80" s="421"/>
      <c r="CP8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0" s="970">
        <f>IF(WWWW[[#This Row],[Location Type 1]]="Village",WWWW[[#This Row],[Access to safe drinking water for Village]],WWWW[[#This Row],[Access to safe drinking water for Camp]])</f>
        <v>1</v>
      </c>
      <c r="CS80" s="968">
        <f>WWWW[[#This Row],[%Equitable and continuous access to sufficient quantity of safe drinking water]]*WWWW[[#This Row],[Total PoP ]]</f>
        <v>742</v>
      </c>
      <c r="CT80" s="970">
        <f>IF((WWWW[[#This Row],['#_Constructed/Existing protected/fenced ponds]]*250)/WWWW[[#This Row],[Total PoP ]]&gt;1,1,(WWWW[[#This Row],['#_Constructed/Existing protected/fenced ponds]]*250)/WWWW[[#This Row],[Total PoP ]])</f>
        <v>0</v>
      </c>
      <c r="CU80" s="968">
        <f>WWWW[[#This Row],[% Access to unimproved water points]]*WWWW[[#This Row],[Total PoP ]]</f>
        <v>0</v>
      </c>
      <c r="CV8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742</v>
      </c>
      <c r="CX80" s="968">
        <f>WWWW[[#This Row],[HRP1]]/500</f>
        <v>1.484</v>
      </c>
      <c r="CY80" s="973">
        <f>1-WWWW[[#This Row],[% Equitable and continuous access to sufficient quantity of domestic water]]</f>
        <v>0</v>
      </c>
      <c r="CZ80" s="968">
        <f>WWWW[[#This Row],[%equitable and continuous access to sufficient quantity of safe drinking and domestic water''s GAP]]*WWWW[[#This Row],[Total PoP ]]</f>
        <v>0</v>
      </c>
      <c r="DA80" s="971">
        <f>IF(WWWW[[#This Row],[Total required water points]]-WWWW[[#This Row],['#Water points coverage]]&lt;0,0,WWWW[[#This Row],[Total required water points]]-WWWW[[#This Row],['#Water points coverage]])</f>
        <v>0</v>
      </c>
      <c r="DB80" s="971">
        <f>ROUND(IF(WWWW[[#This Row],[Total PoP ]]&lt;500,1,WWWW[[#This Row],[Total PoP ]]/500),0)</f>
        <v>1</v>
      </c>
      <c r="DC80" s="971">
        <f>(WWWW[[#This Row],['#_Constructed latrines_by_WASHAgencies]]+WWWW[[#This Row],['#_Non Cluster partner latrines]])-WWWW[[#This Row],['#_Non-functional latrines]]</f>
        <v>45</v>
      </c>
      <c r="DD80" s="619">
        <f>WWWW[[#This Row],[HRP2]]/WWWW[[#This Row],[Total PoP ]]</f>
        <v>1</v>
      </c>
      <c r="DE8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742</v>
      </c>
      <c r="DF8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0" s="421">
        <f>IF(WWWW[[#This Row],['# of functional latrines in THF supported by WASH partners during the reporting period2]]="",0,WWWW[[#This Row],['# of functional latrines in THF supported by WASH partners during the reporting period2]]*50)</f>
        <v>0</v>
      </c>
      <c r="DI80" s="971">
        <f>ROUND(IF(WWWW[[#This Row],[Location Type 1]]="camp",WWWW[[#This Row],[Total PoP ]]/20,IF(WWWW[[#This Row],[Location Type 1]]="Temporary Location",WWWW[[#This Row],[Total PoP ]]/50,(WWWW[[#This Row],[Total PoP ]]/6))),0)</f>
        <v>37</v>
      </c>
      <c r="DJ80" s="971">
        <f>IF(WWWW[[#This Row],[Total required Latrines]]-(WWWW[[#This Row],['#_Constructed latrines_by_WASHAgencies]]+WWWW[[#This Row],['#_Non Cluster partner latrines]])&lt;0,0,WWWW[[#This Row],[Total required Latrines]]-(WWWW[[#This Row],['#_Constructed latrines_by_WASHAgencies]]+WWWW[[#This Row],['#_Non Cluster partner latrines]]))</f>
        <v>0</v>
      </c>
      <c r="DK80" s="973">
        <f>1-WWWW[[#This Row],[% people access to functioning Latrine]]</f>
        <v>0</v>
      </c>
      <c r="DL80" s="972">
        <f>IF(OR(WWWW[[#This Row],['#_Non-functional latrines]]="",WWWW[[#This Row],['#_Non-functional latrines]]=0),0,WWWW[[#This Row],['#_Non-functional latrines]]/(WWWW[[#This Row],['#_Constructed latrines_by_WASHAgencies]]+WWWW[[#This Row],['#_Non Cluster partner latrines]]))</f>
        <v>0</v>
      </c>
      <c r="DM80" s="968">
        <f>IF(500*(WWWW[[#This Row],['#_male hygiene promoters]]+WWWW[[#This Row],['#_female hygiene promoters]])&gt;WWWW[[#This Row],[Total PoP ]],WWWW[[#This Row],[Total PoP ]],500*(WWWW[[#This Row],['#_male hygiene promoters]]+WWWW[[#This Row],['#_female hygiene promoters]]))</f>
        <v>500</v>
      </c>
      <c r="DN8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0" s="971">
        <f>IF(WWWW[[#This Row],['# People with access to soap]]&gt;WWWW[[#This Row],['# People with access to Sanity Pads]],WWWW[[#This Row],['# People with access to soap]],WWWW[[#This Row],['# People with access to Sanity Pads]])</f>
        <v>0</v>
      </c>
      <c r="DQ80"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80" s="973">
        <f>IF(WWWW[[#This Row],[HRP3]]/WWWW[[#This Row],[Total PoP ]]&gt;1,1,WWWW[[#This Row],[HRP3]]/WWWW[[#This Row],[Total PoP ]])</f>
        <v>0.67385444743935308</v>
      </c>
      <c r="DS80" s="972">
        <f>1-WWWW[[#This Row],[Hygiene Coverage%]]</f>
        <v>0.32614555256064692</v>
      </c>
      <c r="DT80" s="970">
        <f>WWWW[[#This Row],['# people reached by regular dedicated hygiene promotion_5]]/WWWW[[#This Row],[Total PoP ]]</f>
        <v>0.67385444743935308</v>
      </c>
      <c r="DU8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0" s="971">
        <f>WWWW[[#This Row],['#_Constructed/Existing hand washing stations]]-WWWW[[#This Row],['#_Non-Functional_hand_washing_stations]]</f>
        <v>7</v>
      </c>
      <c r="DX80" s="968">
        <f>IF(WWWW[[#This Row],['# Functional hand washing stations during reporting period]]*20&gt;WWWW[[#This Row],[Total HH]],WWWW[[#This Row],[Total HH]],WWWW[[#This Row],['# Functional hand washing stations during reporting period]]*20)</f>
        <v>136</v>
      </c>
      <c r="DY80" s="968">
        <f>IF(WWWW[[#This Row],[Is sufficient soap available for TLS? (Yes/No)]]="yes",WWWW[[#This Row],['#_Constructed/Existing hand washing stations at TLS/CFS/THF]],0)</f>
        <v>0</v>
      </c>
      <c r="DZ80" s="425">
        <f>IF(WWWW[[#This Row],['# Functional hand washing stations during reporting period]]*100&gt;WWWW[[#This Row],[Total PoP ]],WWWW[[#This Row],[Total PoP ]],WWWW[[#This Row],['# Functional hand washing stations during reporting period]]*100)</f>
        <v>700</v>
      </c>
      <c r="EA80" s="425" t="str">
        <f>IF(OR(WWWW[[#This Row],['#_students at TLS_CFS]]="",WWWW[[#This Row],['#_students at TLS_CFS]]=0),"No","Yes")</f>
        <v>No</v>
      </c>
      <c r="EB8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0" s="570">
        <f>WWWW[[#This Row],[%_of_affected_people_surveyed_who_report_feeling_satistfied_with_the_latrine_design_and_sanitation_service]]*WWWW[[#This Row],[Total PoP ]]</f>
        <v>0</v>
      </c>
      <c r="ED80" s="570">
        <f>WWWW[[#This Row],[%_of_affected_people_surveyed_who_report_feeling_satistfied_with_the_water_point_design_and_water_service]]*WWWW[[#This Row],[Total PoP ]]</f>
        <v>0</v>
      </c>
      <c r="EE80" s="570">
        <f>WWWW[[#This Row],[%_of_complaints_received_that_result_in_timely_corrective_action_and_feedback_to_the_community]]*WWWW[[#This Row],[Total PoP ]]</f>
        <v>0</v>
      </c>
      <c r="EF8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0" s="964" t="str">
        <f>VLOOKUP(WWWW[[#This Row],[Site Name]],SiteDB6[[Site Name]:[CCCM Management]],6,FALSE)</f>
        <v>Yes</v>
      </c>
      <c r="EJ80" s="964" t="str">
        <f>VLOOKUP(WWWW[[#This Row],[Site Name]],SiteDB6[[Site Name]:[CCCM Focal Agency]],7,FALSE)</f>
        <v>KBC-MYT</v>
      </c>
      <c r="EK80" s="964" t="str">
        <f>VLOOKUP(WWWW[[#This Row],[Site Name]],SiteDB6[[Site Name]:[Location Type 1]],9,FALSE)</f>
        <v>Camp</v>
      </c>
      <c r="EL80" s="964" t="str">
        <f>VLOOKUP(WWWW[[#This Row],[Site Name]],SiteDB6[[Site Name]:[Type of Accommodation]],10,FALSE)</f>
        <v>Camp</v>
      </c>
      <c r="EM80" s="964" t="str">
        <f>VLOOKUP(WWWW[[#This Row],[Site Name]],SiteDB6[[Site Name]:[Ethnic or GCA/NGCA]],11,FALSE)</f>
        <v>GCA</v>
      </c>
      <c r="EN80" s="964">
        <f>VLOOKUP(WWWW[[#This Row],[Site Name]],SiteDB6[[Site Name]:[Lat]],12,FALSE)</f>
        <v>25.397850999999999</v>
      </c>
      <c r="EO80" s="964">
        <f>VLOOKUP(WWWW[[#This Row],[Site Name]],SiteDB6[[Site Name]:[Long]],13,FALSE)</f>
        <v>97.370900000000006</v>
      </c>
      <c r="EP80" s="964" t="str">
        <f>VLOOKUP(WWWW[[#This Row],[Site Name]],SiteDB6[[Site Name]:[Pcode]],3,FALSE)</f>
        <v>MMR001CMP018</v>
      </c>
      <c r="EQ80" s="969" t="str">
        <f t="shared" si="2"/>
        <v>Covered</v>
      </c>
      <c r="ER80" s="969" t="s">
        <v>3147</v>
      </c>
      <c r="ES80" s="964">
        <f>VLOOKUP(WWWW[[#This Row],[Site Name]],SiteDB6[[Site Name]:[Pop
(Kachin/Shan-CCCM as of March 2023)]],16,FALSE)</f>
        <v>134</v>
      </c>
      <c r="ET80" s="964">
        <f>VLOOKUP(WWWW[[#This Row],[Site Name]],SiteDB6[[Site Name]:[Pop
(Kachin/Shan-CCCM as of March 2023)]],17,FALSE)</f>
        <v>732</v>
      </c>
    </row>
    <row r="81" spans="1:150" hidden="1">
      <c r="A81" s="962" t="s">
        <v>2977</v>
      </c>
      <c r="B81" s="962" t="s">
        <v>242</v>
      </c>
      <c r="C81" s="963" t="s">
        <v>242</v>
      </c>
      <c r="D81" s="963" t="s">
        <v>3207</v>
      </c>
      <c r="E81" s="963" t="s">
        <v>37</v>
      </c>
      <c r="F81" s="963" t="s">
        <v>142</v>
      </c>
      <c r="G81" s="964" t="str">
        <f>VLOOKUP(WWWW[[#This Row],[Site Name]],SiteDB6[[Site Name]:[Location Type]],8,FALSE)</f>
        <v>Camp</v>
      </c>
      <c r="H81" s="963" t="s">
        <v>269</v>
      </c>
      <c r="I81" s="965">
        <v>353</v>
      </c>
      <c r="J81" s="965">
        <v>2139</v>
      </c>
      <c r="K81" s="966">
        <v>44927</v>
      </c>
      <c r="L81" s="967">
        <v>45291</v>
      </c>
      <c r="M81" s="965"/>
      <c r="N81" s="965"/>
      <c r="O81" s="965">
        <v>1</v>
      </c>
      <c r="P81" s="965"/>
      <c r="Q81" s="968" t="s">
        <v>41</v>
      </c>
      <c r="R81" s="965">
        <v>1</v>
      </c>
      <c r="S81" s="965">
        <v>8</v>
      </c>
      <c r="T81" s="445">
        <v>2</v>
      </c>
      <c r="U81" s="965">
        <v>1</v>
      </c>
      <c r="V81" s="965"/>
      <c r="W81" s="965">
        <v>3</v>
      </c>
      <c r="X81" s="965"/>
      <c r="Y81" s="965"/>
      <c r="Z81" s="965"/>
      <c r="AA81" s="965"/>
      <c r="AB81" s="965"/>
      <c r="AC81" s="965"/>
      <c r="AD81" s="965"/>
      <c r="AE81" s="965"/>
      <c r="AF81" s="965"/>
      <c r="AG81" s="965"/>
      <c r="AH81" s="965"/>
      <c r="AI81" s="965"/>
      <c r="AJ81" s="965"/>
      <c r="AK81" s="965"/>
      <c r="AL81" s="965"/>
      <c r="AM81" s="965"/>
      <c r="AN81" s="965">
        <v>23</v>
      </c>
      <c r="AO81" s="445"/>
      <c r="AP81" s="969"/>
      <c r="AQ81" s="965">
        <v>28</v>
      </c>
      <c r="AR81" s="965"/>
      <c r="AS81" s="970" t="s">
        <v>3216</v>
      </c>
      <c r="AT81" s="965"/>
      <c r="AU81" s="965"/>
      <c r="AV81" s="965">
        <v>6</v>
      </c>
      <c r="AW81" s="965"/>
      <c r="AX81" s="965"/>
      <c r="AY81" s="964" t="s">
        <v>41</v>
      </c>
      <c r="AZ81" s="969" t="s">
        <v>137</v>
      </c>
      <c r="BA81" s="965"/>
      <c r="BB81" s="965">
        <v>16</v>
      </c>
      <c r="BC81" s="965">
        <v>16</v>
      </c>
      <c r="BD81" s="445"/>
      <c r="BE81" s="445"/>
      <c r="BF81" s="964" t="s">
        <v>3217</v>
      </c>
      <c r="BG81" s="965">
        <v>13</v>
      </c>
      <c r="BH81" s="965">
        <v>3</v>
      </c>
      <c r="BI81" s="965"/>
      <c r="BJ81" s="965">
        <v>7</v>
      </c>
      <c r="BK81" s="965"/>
      <c r="BL81" s="965"/>
      <c r="BM81" s="965">
        <v>1</v>
      </c>
      <c r="BN81" s="965"/>
      <c r="BO81" s="965"/>
      <c r="BP81" s="964"/>
      <c r="BQ81" s="971">
        <v>1</v>
      </c>
      <c r="BR81" s="970">
        <v>0.7</v>
      </c>
      <c r="BS81" s="964"/>
      <c r="BT81" s="420">
        <v>1</v>
      </c>
      <c r="BU81" s="420">
        <v>1</v>
      </c>
      <c r="BV81" s="422">
        <v>5</v>
      </c>
      <c r="BW81" s="420">
        <v>0.9</v>
      </c>
      <c r="BX81" s="445"/>
      <c r="BY81" s="445"/>
      <c r="BZ81" s="445"/>
      <c r="CA81" s="445"/>
      <c r="CB81" s="445"/>
      <c r="CC81" s="702"/>
      <c r="CD81" s="445"/>
      <c r="CE81" s="972" t="str">
        <f>IFERROR(WWWW[[#This Row],['#_Water sources passed]]/WWWW[[#This Row],['#_Water sources tested for fecal coliform ]],"no test")</f>
        <v>no test</v>
      </c>
      <c r="CF81" s="970" t="str">
        <f>IFERROR(WWWW[[#This Row],['#_Household passed]]/WWWW[[#This Row],['#_Household water samples tested for fecal coliform]],"no test")</f>
        <v>no test</v>
      </c>
      <c r="CG81" s="971" t="str">
        <f>IF(AND(WWWW[[#This Row],[% of water sources passed]]="no test",WWWW[[#This Row],[% Household passed]]="no test"),"No Test","Tested")</f>
        <v>No Test</v>
      </c>
      <c r="CH81" s="971">
        <f>WWWW[[#This Row],['#_Constructed/existing protected hand dug well]]-WWWW[[#This Row],['#_Non-functional protected hand dug well]]</f>
        <v>1</v>
      </c>
      <c r="CI81" s="971">
        <f>(WWWW[[#This Row],['#_Constructed/Existing tube wells/boreholes/handpumps_WASH_agency]]+WWWW[[#This Row],['#_Non-Cluster partner water tube-wells/boreholes/handpumps]])-WWWW[[#This Row],['#_Non-functional tube wells/boreholes/handpumps]]</f>
        <v>3</v>
      </c>
      <c r="CJ81" s="971">
        <f>WWWW[[#This Row],['#_Constructed/Existingwater storage tank with gravity fed reticulation system]]-WWWW[[#This Row],['#_Non-functional storage tank gravity fed reticulation system]]</f>
        <v>0</v>
      </c>
      <c r="CK81" s="971">
        <f>(WWWW[[#This Row],['#_Water_Liters_supplied_by_Water boating or water trucking]]/90)/15</f>
        <v>0</v>
      </c>
      <c r="CL81" s="971">
        <f>WWWW[[#This Row],['#_Water_Liters_from_Constructed/Existing water distribution system from river or natural spring]]/90/15</f>
        <v>0</v>
      </c>
      <c r="CM81" s="421">
        <f>IF(WWWW[[#This Row],['#_of water points in TLS/CFS]]*500&gt;WWWW[[#This Row],[Total PoP ]],WWWW[[#This Row],[Total PoP ]],WWWW[[#This Row],['#_of water points in TLS/CFS]]*500)</f>
        <v>2139</v>
      </c>
      <c r="CN81" s="421">
        <f>IF(WWWW[[#This Row],['#_of water points in THF]]*500&gt;WWWW[[#This Row],[Total PoP ]],WWWW[[#This Row],[Total PoP ]],WWWW[[#This Row],['#_of water points in THF]]*500)</f>
        <v>0</v>
      </c>
      <c r="CO81" s="421"/>
      <c r="CP8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0.88826554464703134</v>
      </c>
      <c r="CQ8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0.4675081813931744</v>
      </c>
      <c r="CR81" s="970">
        <f>IF(WWWW[[#This Row],[Location Type 1]]="Village",WWWW[[#This Row],[Access to safe drinking water for Village]],WWWW[[#This Row],[Access to safe drinking water for Camp]])</f>
        <v>0.88826554464703134</v>
      </c>
      <c r="CS81" s="968">
        <f>WWWW[[#This Row],[%Equitable and continuous access to sufficient quantity of safe drinking water]]*WWWW[[#This Row],[Total PoP ]]</f>
        <v>1900</v>
      </c>
      <c r="CT81" s="970">
        <f>IF((WWWW[[#This Row],['#_Constructed/Existing protected/fenced ponds]]*250)/WWWW[[#This Row],[Total PoP ]]&gt;1,1,(WWWW[[#This Row],['#_Constructed/Existing protected/fenced ponds]]*250)/WWWW[[#This Row],[Total PoP ]])</f>
        <v>0</v>
      </c>
      <c r="CU81" s="968">
        <f>WWWW[[#This Row],[% Access to unimproved water points]]*WWWW[[#This Row],[Total PoP ]]</f>
        <v>0</v>
      </c>
      <c r="CV8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0.88826554464703134</v>
      </c>
      <c r="CW8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81" s="968">
        <f>WWWW[[#This Row],[HRP1]]/500</f>
        <v>3.8</v>
      </c>
      <c r="CY81" s="973">
        <f>1-WWWW[[#This Row],[% Equitable and continuous access to sufficient quantity of domestic water]]</f>
        <v>0.11173445535296866</v>
      </c>
      <c r="CZ81" s="968">
        <f>WWWW[[#This Row],[%equitable and continuous access to sufficient quantity of safe drinking and domestic water''s GAP]]*WWWW[[#This Row],[Total PoP ]]</f>
        <v>238.99999999999997</v>
      </c>
      <c r="DA81" s="971">
        <f>IF(WWWW[[#This Row],[Total required water points]]-WWWW[[#This Row],['#Water points coverage]]&lt;0,0,WWWW[[#This Row],[Total required water points]]-WWWW[[#This Row],['#Water points coverage]])</f>
        <v>0.20000000000000018</v>
      </c>
      <c r="DB81" s="971">
        <f>ROUND(IF(WWWW[[#This Row],[Total PoP ]]&lt;500,1,WWWW[[#This Row],[Total PoP ]]/500),0)</f>
        <v>4</v>
      </c>
      <c r="DC81" s="971">
        <f>(WWWW[[#This Row],['#_Constructed latrines_by_WASHAgencies]]+WWWW[[#This Row],['#_Non Cluster partner latrines]])-WWWW[[#This Row],['#_Non-functional latrines]]</f>
        <v>28</v>
      </c>
      <c r="DD81" s="619">
        <f>WWWW[[#This Row],[HRP2]]/WWWW[[#This Row],[Total PoP ]]</f>
        <v>0.26180458158017766</v>
      </c>
      <c r="DE8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8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8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1" s="421">
        <f>IF(WWWW[[#This Row],['# of functional latrines in THF supported by WASH partners during the reporting period2]]="",0,WWWW[[#This Row],['# of functional latrines in THF supported by WASH partners during the reporting period2]]*50)</f>
        <v>0</v>
      </c>
      <c r="DI81" s="971">
        <f>ROUND(IF(WWWW[[#This Row],[Location Type 1]]="camp",WWWW[[#This Row],[Total PoP ]]/20,IF(WWWW[[#This Row],[Location Type 1]]="Temporary Location",WWWW[[#This Row],[Total PoP ]]/50,(WWWW[[#This Row],[Total PoP ]]/6))),0)</f>
        <v>107</v>
      </c>
      <c r="DJ81" s="971">
        <f>IF(WWWW[[#This Row],[Total required Latrines]]-(WWWW[[#This Row],['#_Constructed latrines_by_WASHAgencies]]+WWWW[[#This Row],['#_Non Cluster partner latrines]])&lt;0,0,WWWW[[#This Row],[Total required Latrines]]-(WWWW[[#This Row],['#_Constructed latrines_by_WASHAgencies]]+WWWW[[#This Row],['#_Non Cluster partner latrines]]))</f>
        <v>79</v>
      </c>
      <c r="DK81" s="973">
        <f>1-WWWW[[#This Row],[% people access to functioning Latrine]]</f>
        <v>0.73819541841982228</v>
      </c>
      <c r="DL81" s="972">
        <f>IF(OR(WWWW[[#This Row],['#_Non-functional latrines]]="",WWWW[[#This Row],['#_Non-functional latrines]]=0),0,WWWW[[#This Row],['#_Non-functional latrines]]/(WWWW[[#This Row],['#_Constructed latrines_by_WASHAgencies]]+WWWW[[#This Row],['#_Non Cluster partner latrines]]))</f>
        <v>0</v>
      </c>
      <c r="DM81" s="968">
        <f>IF(500*(WWWW[[#This Row],['#_male hygiene promoters]]+WWWW[[#This Row],['#_female hygiene promoters]])&gt;WWWW[[#This Row],[Total PoP ]],WWWW[[#This Row],[Total PoP ]],500*(WWWW[[#This Row],['#_male hygiene promoters]]+WWWW[[#This Row],['#_female hygiene promoters]]))</f>
        <v>500</v>
      </c>
      <c r="DN8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1" s="971">
        <f>IF(WWWW[[#This Row],['# People with access to soap]]&gt;WWWW[[#This Row],['# People with access to Sanity Pads]],WWWW[[#This Row],['# People with access to soap]],WWWW[[#This Row],['# People with access to Sanity Pads]])</f>
        <v>0</v>
      </c>
      <c r="DQ81"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81" s="973">
        <f>IF(WWWW[[#This Row],[HRP3]]/WWWW[[#This Row],[Total PoP ]]&gt;1,1,WWWW[[#This Row],[HRP3]]/WWWW[[#This Row],[Total PoP ]])</f>
        <v>0.2337540906965872</v>
      </c>
      <c r="DS81" s="972">
        <f>1-WWWW[[#This Row],[Hygiene Coverage%]]</f>
        <v>0.76624590930341285</v>
      </c>
      <c r="DT81" s="970">
        <f>WWWW[[#This Row],['# people reached by regular dedicated hygiene promotion_5]]/WWWW[[#This Row],[Total PoP ]]</f>
        <v>0.2337540906965872</v>
      </c>
      <c r="DU8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1" s="971">
        <f>WWWW[[#This Row],['#_Constructed/Existing hand washing stations]]-WWWW[[#This Row],['#_Non-Functional_hand_washing_stations]]</f>
        <v>10</v>
      </c>
      <c r="DX81" s="968">
        <f>IF(WWWW[[#This Row],['# Functional hand washing stations during reporting period]]*20&gt;WWWW[[#This Row],[Total HH]],WWWW[[#This Row],[Total HH]],WWWW[[#This Row],['# Functional hand washing stations during reporting period]]*20)</f>
        <v>200</v>
      </c>
      <c r="DY81" s="968">
        <f>IF(WWWW[[#This Row],[Is sufficient soap available for TLS? (Yes/No)]]="yes",WWWW[[#This Row],['#_Constructed/Existing hand washing stations at TLS/CFS/THF]],0)</f>
        <v>0</v>
      </c>
      <c r="DZ81" s="425">
        <f>IF(WWWW[[#This Row],['# Functional hand washing stations during reporting period]]*100&gt;WWWW[[#This Row],[Total PoP ]],WWWW[[#This Row],[Total PoP ]],WWWW[[#This Row],['# Functional hand washing stations during reporting period]]*100)</f>
        <v>1000</v>
      </c>
      <c r="EA81" s="425" t="str">
        <f>IF(OR(WWWW[[#This Row],['#_students at TLS_CFS]]="",WWWW[[#This Row],['#_students at TLS_CFS]]=0),"No","Yes")</f>
        <v>No</v>
      </c>
      <c r="EB81" s="619">
        <f>IF(WWWW[[#This Row],['#_of_affected_people_surveyed_who_report_feeling_informed_about_the_different_WASH_services_available_to_them]]="","",WWWW[[#This Row],['#_of_affected_people_surveyed_who_report_feeling_informed_about_the_different_WASH_services_available_to_them]]/WWWW[[#This Row],[Total PoP ]])</f>
        <v>2.3375409069658717E-3</v>
      </c>
      <c r="EC81" s="570">
        <f>WWWW[[#This Row],[%_of_affected_people_surveyed_who_report_feeling_satistfied_with_the_latrine_design_and_sanitation_service]]*WWWW[[#This Row],[Total PoP ]]</f>
        <v>2139</v>
      </c>
      <c r="ED81" s="570">
        <f>WWWW[[#This Row],[%_of_affected_people_surveyed_who_report_feeling_satistfied_with_the_water_point_design_and_water_service]]*WWWW[[#This Row],[Total PoP ]]</f>
        <v>2139</v>
      </c>
      <c r="EE81" s="570">
        <f>WWWW[[#This Row],[%_of_complaints_received_that_result_in_timely_corrective_action_and_feedback_to_the_community]]*WWWW[[#This Row],[Total PoP ]]</f>
        <v>1925.1000000000001</v>
      </c>
      <c r="EF8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2139</v>
      </c>
      <c r="EG8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2139</v>
      </c>
      <c r="EH8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1" s="964" t="str">
        <f>VLOOKUP(WWWW[[#This Row],[Site Name]],SiteDB6[[Site Name]:[CCCM Management]],6,FALSE)</f>
        <v>Yes</v>
      </c>
      <c r="EJ81" s="964" t="str">
        <f>VLOOKUP(WWWW[[#This Row],[Site Name]],SiteDB6[[Site Name]:[CCCM Focal Agency]],7,FALSE)</f>
        <v>Shalom</v>
      </c>
      <c r="EK81" s="964" t="str">
        <f>VLOOKUP(WWWW[[#This Row],[Site Name]],SiteDB6[[Site Name]:[Location Type 1]],9,FALSE)</f>
        <v>Camp</v>
      </c>
      <c r="EL81" s="964" t="str">
        <f>VLOOKUP(WWWW[[#This Row],[Site Name]],SiteDB6[[Site Name]:[Type of Accommodation]],10,FALSE)</f>
        <v>Camp</v>
      </c>
      <c r="EM81" s="964" t="str">
        <f>VLOOKUP(WWWW[[#This Row],[Site Name]],SiteDB6[[Site Name]:[Ethnic or GCA/NGCA]],11,FALSE)</f>
        <v>GCA</v>
      </c>
      <c r="EN81" s="964">
        <f>VLOOKUP(WWWW[[#This Row],[Site Name]],SiteDB6[[Site Name]:[Lat]],12,FALSE)</f>
        <v>25.424529444444399</v>
      </c>
      <c r="EO81" s="964">
        <f>VLOOKUP(WWWW[[#This Row],[Site Name]],SiteDB6[[Site Name]:[Long]],13,FALSE)</f>
        <v>97.433419259259296</v>
      </c>
      <c r="EP81" s="964" t="str">
        <f>VLOOKUP(WWWW[[#This Row],[Site Name]],SiteDB6[[Site Name]:[Pcode]],3,FALSE)</f>
        <v>MMR001CMP031</v>
      </c>
      <c r="EQ81" s="969" t="str">
        <f t="shared" si="2"/>
        <v>Covered</v>
      </c>
      <c r="ER81" s="969" t="s">
        <v>3147</v>
      </c>
      <c r="ES81" s="964">
        <f>VLOOKUP(WWWW[[#This Row],[Site Name]],SiteDB6[[Site Name]:[Pop
(Kachin/Shan-CCCM as of March 2023)]],16,FALSE)</f>
        <v>353</v>
      </c>
      <c r="ET81" s="964">
        <f>VLOOKUP(WWWW[[#This Row],[Site Name]],SiteDB6[[Site Name]:[Pop
(Kachin/Shan-CCCM as of March 2023)]],17,FALSE)</f>
        <v>2136</v>
      </c>
    </row>
    <row r="82" spans="1:150" hidden="1">
      <c r="A82" s="962" t="s">
        <v>2977</v>
      </c>
      <c r="B82" s="962" t="s">
        <v>36</v>
      </c>
      <c r="C82" s="963" t="s">
        <v>36</v>
      </c>
      <c r="D82" s="963" t="s">
        <v>241</v>
      </c>
      <c r="E82" s="963" t="s">
        <v>37</v>
      </c>
      <c r="F82" s="963" t="s">
        <v>148</v>
      </c>
      <c r="G82" s="964" t="str">
        <f>VLOOKUP(WWWW[[#This Row],[Site Name]],SiteDB6[[Site Name]:[Location Type]],8,FALSE)</f>
        <v>Camp</v>
      </c>
      <c r="H82" s="963" t="s">
        <v>1563</v>
      </c>
      <c r="I82" s="965">
        <v>14</v>
      </c>
      <c r="J82" s="965">
        <v>52</v>
      </c>
      <c r="K82" s="966">
        <v>44973</v>
      </c>
      <c r="L82" s="967">
        <v>45337</v>
      </c>
      <c r="M82" s="965">
        <v>155</v>
      </c>
      <c r="N82" s="965">
        <v>3</v>
      </c>
      <c r="O82" s="965"/>
      <c r="P82" s="965"/>
      <c r="Q82" s="968" t="s">
        <v>41</v>
      </c>
      <c r="R82" s="965">
        <v>3</v>
      </c>
      <c r="S82" s="965">
        <v>2</v>
      </c>
      <c r="T82" s="445">
        <v>1</v>
      </c>
      <c r="U82" s="965"/>
      <c r="V82" s="965"/>
      <c r="W82" s="965">
        <v>1</v>
      </c>
      <c r="X82" s="965"/>
      <c r="Y82" s="965"/>
      <c r="Z82" s="965"/>
      <c r="AA82" s="965">
        <v>1</v>
      </c>
      <c r="AB82" s="965"/>
      <c r="AC82" s="965"/>
      <c r="AD82" s="965"/>
      <c r="AE82" s="965"/>
      <c r="AF82" s="965"/>
      <c r="AG82" s="965"/>
      <c r="AH82" s="965">
        <v>7</v>
      </c>
      <c r="AI82" s="965"/>
      <c r="AJ82" s="965"/>
      <c r="AK82" s="965"/>
      <c r="AL82" s="965"/>
      <c r="AM82" s="965">
        <v>2</v>
      </c>
      <c r="AN82" s="965">
        <v>1</v>
      </c>
      <c r="AO82" s="445"/>
      <c r="AP82" s="969"/>
      <c r="AQ82" s="965">
        <v>4</v>
      </c>
      <c r="AR82" s="965"/>
      <c r="AS82" s="970"/>
      <c r="AT82" s="965"/>
      <c r="AU82" s="965"/>
      <c r="AV82" s="965"/>
      <c r="AW82" s="965"/>
      <c r="AX82" s="965"/>
      <c r="AY82" s="964" t="s">
        <v>41</v>
      </c>
      <c r="AZ82" s="969" t="s">
        <v>136</v>
      </c>
      <c r="BA82" s="965">
        <v>2</v>
      </c>
      <c r="BB82" s="965"/>
      <c r="BC82" s="965"/>
      <c r="BD82" s="445"/>
      <c r="BE82" s="445"/>
      <c r="BF82" s="964"/>
      <c r="BG82" s="965">
        <v>2</v>
      </c>
      <c r="BH82" s="965"/>
      <c r="BI82" s="965"/>
      <c r="BJ82" s="965">
        <v>2</v>
      </c>
      <c r="BK82" s="965"/>
      <c r="BL82" s="965"/>
      <c r="BM82" s="965">
        <v>1</v>
      </c>
      <c r="BN82" s="965"/>
      <c r="BO82" s="965"/>
      <c r="BP82" s="964" t="s">
        <v>41</v>
      </c>
      <c r="BQ82" s="971">
        <v>1</v>
      </c>
      <c r="BR82" s="970"/>
      <c r="BS82" s="964"/>
      <c r="BT82" s="420"/>
      <c r="BU82" s="420"/>
      <c r="BV82" s="422"/>
      <c r="BW82" s="420"/>
      <c r="BX82" s="445"/>
      <c r="BY82" s="445"/>
      <c r="BZ82" s="445"/>
      <c r="CA82" s="445"/>
      <c r="CB82" s="445"/>
      <c r="CC82" s="702"/>
      <c r="CD82" s="445"/>
      <c r="CE82" s="972" t="str">
        <f>IFERROR(WWWW[[#This Row],['#_Water sources passed]]/WWWW[[#This Row],['#_Water sources tested for fecal coliform ]],"no test")</f>
        <v>no test</v>
      </c>
      <c r="CF82" s="970" t="str">
        <f>IFERROR(WWWW[[#This Row],['#_Household passed]]/WWWW[[#This Row],['#_Household water samples tested for fecal coliform]],"no test")</f>
        <v>no test</v>
      </c>
      <c r="CG82" s="971" t="str">
        <f>IF(AND(WWWW[[#This Row],[% of water sources passed]]="no test",WWWW[[#This Row],[% Household passed]]="no test"),"No Test","Tested")</f>
        <v>No Test</v>
      </c>
      <c r="CH82" s="971">
        <f>WWWW[[#This Row],['#_Constructed/existing protected hand dug well]]-WWWW[[#This Row],['#_Non-functional protected hand dug well]]</f>
        <v>1</v>
      </c>
      <c r="CI82" s="971">
        <f>(WWWW[[#This Row],['#_Constructed/Existing tube wells/boreholes/handpumps_WASH_agency]]+WWWW[[#This Row],['#_Non-Cluster partner water tube-wells/boreholes/handpumps]])-WWWW[[#This Row],['#_Non-functional tube wells/boreholes/handpumps]]</f>
        <v>1</v>
      </c>
      <c r="CJ82" s="971">
        <f>WWWW[[#This Row],['#_Constructed/Existingwater storage tank with gravity fed reticulation system]]-WWWW[[#This Row],['#_Non-functional storage tank gravity fed reticulation system]]</f>
        <v>1</v>
      </c>
      <c r="CK82" s="971">
        <f>(WWWW[[#This Row],['#_Water_Liters_supplied_by_Water boating or water trucking]]/90)/15</f>
        <v>0</v>
      </c>
      <c r="CL82" s="971">
        <f>WWWW[[#This Row],['#_Water_Liters_from_Constructed/Existing water distribution system from river or natural spring]]/90/15</f>
        <v>0</v>
      </c>
      <c r="CM82" s="421">
        <f>IF(WWWW[[#This Row],['#_of water points in TLS/CFS]]*500&gt;WWWW[[#This Row],[Total PoP ]],WWWW[[#This Row],[Total PoP ]],WWWW[[#This Row],['#_of water points in TLS/CFS]]*500)</f>
        <v>52</v>
      </c>
      <c r="CN82" s="421">
        <f>IF(WWWW[[#This Row],['#_of water points in THF]]*500&gt;WWWW[[#This Row],[Total PoP ]],WWWW[[#This Row],[Total PoP ]],WWWW[[#This Row],['#_of water points in THF]]*500)</f>
        <v>0</v>
      </c>
      <c r="CO82" s="421"/>
      <c r="CP8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2" s="970">
        <f>IF(WWWW[[#This Row],[Location Type 1]]="Village",WWWW[[#This Row],[Access to safe drinking water for Village]],WWWW[[#This Row],[Access to safe drinking water for Camp]])</f>
        <v>1</v>
      </c>
      <c r="CS82" s="968">
        <f>WWWW[[#This Row],[%Equitable and continuous access to sufficient quantity of safe drinking water]]*WWWW[[#This Row],[Total PoP ]]</f>
        <v>52</v>
      </c>
      <c r="CT82" s="970">
        <f>IF((WWWW[[#This Row],['#_Constructed/Existing protected/fenced ponds]]*250)/WWWW[[#This Row],[Total PoP ]]&gt;1,1,(WWWW[[#This Row],['#_Constructed/Existing protected/fenced ponds]]*250)/WWWW[[#This Row],[Total PoP ]])</f>
        <v>0</v>
      </c>
      <c r="CU82" s="968">
        <f>WWWW[[#This Row],[% Access to unimproved water points]]*WWWW[[#This Row],[Total PoP ]]</f>
        <v>0</v>
      </c>
      <c r="CV8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X82" s="968">
        <f>WWWW[[#This Row],[HRP1]]/500</f>
        <v>0.104</v>
      </c>
      <c r="CY82" s="973">
        <f>1-WWWW[[#This Row],[% Equitable and continuous access to sufficient quantity of domestic water]]</f>
        <v>0</v>
      </c>
      <c r="CZ82" s="968">
        <f>WWWW[[#This Row],[%equitable and continuous access to sufficient quantity of safe drinking and domestic water''s GAP]]*WWWW[[#This Row],[Total PoP ]]</f>
        <v>0</v>
      </c>
      <c r="DA82" s="971">
        <f>IF(WWWW[[#This Row],[Total required water points]]-WWWW[[#This Row],['#Water points coverage]]&lt;0,0,WWWW[[#This Row],[Total required water points]]-WWWW[[#This Row],['#Water points coverage]])</f>
        <v>0.89600000000000002</v>
      </c>
      <c r="DB82" s="971">
        <f>ROUND(IF(WWWW[[#This Row],[Total PoP ]]&lt;500,1,WWWW[[#This Row],[Total PoP ]]/500),0)</f>
        <v>1</v>
      </c>
      <c r="DC82" s="971">
        <f>(WWWW[[#This Row],['#_Constructed latrines_by_WASHAgencies]]+WWWW[[#This Row],['#_Non Cluster partner latrines]])-WWWW[[#This Row],['#_Non-functional latrines]]</f>
        <v>4</v>
      </c>
      <c r="DD82" s="619">
        <f>WWWW[[#This Row],[HRP2]]/WWWW[[#This Row],[Total PoP ]]</f>
        <v>1</v>
      </c>
      <c r="DE8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v>
      </c>
      <c r="DF8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2" s="421">
        <f>IF(WWWW[[#This Row],['# of functional latrines in THF supported by WASH partners during the reporting period2]]="",0,WWWW[[#This Row],['# of functional latrines in THF supported by WASH partners during the reporting period2]]*50)</f>
        <v>0</v>
      </c>
      <c r="DI82" s="971">
        <f>ROUND(IF(WWWW[[#This Row],[Location Type 1]]="camp",WWWW[[#This Row],[Total PoP ]]/20,IF(WWWW[[#This Row],[Location Type 1]]="Temporary Location",WWWW[[#This Row],[Total PoP ]]/50,(WWWW[[#This Row],[Total PoP ]]/6))),0)</f>
        <v>3</v>
      </c>
      <c r="DJ82" s="971">
        <f>IF(WWWW[[#This Row],[Total required Latrines]]-(WWWW[[#This Row],['#_Constructed latrines_by_WASHAgencies]]+WWWW[[#This Row],['#_Non Cluster partner latrines]])&lt;0,0,WWWW[[#This Row],[Total required Latrines]]-(WWWW[[#This Row],['#_Constructed latrines_by_WASHAgencies]]+WWWW[[#This Row],['#_Non Cluster partner latrines]]))</f>
        <v>0</v>
      </c>
      <c r="DK82" s="973">
        <f>1-WWWW[[#This Row],[% people access to functioning Latrine]]</f>
        <v>0</v>
      </c>
      <c r="DL82" s="972">
        <f>IF(OR(WWWW[[#This Row],['#_Non-functional latrines]]="",WWWW[[#This Row],['#_Non-functional latrines]]=0),0,WWWW[[#This Row],['#_Non-functional latrines]]/(WWWW[[#This Row],['#_Constructed latrines_by_WASHAgencies]]+WWWW[[#This Row],['#_Non Cluster partner latrines]]))</f>
        <v>0</v>
      </c>
      <c r="DM82" s="968">
        <f>IF(500*(WWWW[[#This Row],['#_male hygiene promoters]]+WWWW[[#This Row],['#_female hygiene promoters]])&gt;WWWW[[#This Row],[Total PoP ]],WWWW[[#This Row],[Total PoP ]],500*(WWWW[[#This Row],['#_male hygiene promoters]]+WWWW[[#This Row],['#_female hygiene promoters]]))</f>
        <v>52</v>
      </c>
      <c r="DN8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2" s="971">
        <f>IF(WWWW[[#This Row],['# People with access to soap]]&gt;WWWW[[#This Row],['# People with access to Sanity Pads]],WWWW[[#This Row],['# People with access to soap]],WWWW[[#This Row],['# People with access to Sanity Pads]])</f>
        <v>0</v>
      </c>
      <c r="DQ82" s="971">
        <f>IF(WWWW[[#This Row],['# people reached by regular dedicated hygiene promotion_5]]&gt;WWWW[[#This Row],['# People received regular supply of hygiene items_6]],WWWW[[#This Row],['# people reached by regular dedicated hygiene promotion_5]],WWWW[[#This Row],['# People received regular supply of hygiene items_6]])</f>
        <v>52</v>
      </c>
      <c r="DR82" s="973">
        <f>IF(WWWW[[#This Row],[HRP3]]/WWWW[[#This Row],[Total PoP ]]&gt;1,1,WWWW[[#This Row],[HRP3]]/WWWW[[#This Row],[Total PoP ]])</f>
        <v>1</v>
      </c>
      <c r="DS82" s="972">
        <f>1-WWWW[[#This Row],[Hygiene Coverage%]]</f>
        <v>0</v>
      </c>
      <c r="DT82" s="970">
        <f>WWWW[[#This Row],['# people reached by regular dedicated hygiene promotion_5]]/WWWW[[#This Row],[Total PoP ]]</f>
        <v>1</v>
      </c>
      <c r="DU8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2" s="971">
        <f>WWWW[[#This Row],['#_Constructed/Existing hand washing stations]]-WWWW[[#This Row],['#_Non-Functional_hand_washing_stations]]</f>
        <v>2</v>
      </c>
      <c r="DX82" s="968">
        <f>IF(WWWW[[#This Row],['# Functional hand washing stations during reporting period]]*20&gt;WWWW[[#This Row],[Total HH]],WWWW[[#This Row],[Total HH]],WWWW[[#This Row],['# Functional hand washing stations during reporting period]]*20)</f>
        <v>14</v>
      </c>
      <c r="DY82" s="968">
        <f>IF(WWWW[[#This Row],[Is sufficient soap available for TLS? (Yes/No)]]="yes",WWWW[[#This Row],['#_Constructed/Existing hand washing stations at TLS/CFS/THF]],0)</f>
        <v>2</v>
      </c>
      <c r="DZ82" s="425">
        <f>IF(WWWW[[#This Row],['# Functional hand washing stations during reporting period]]*100&gt;WWWW[[#This Row],[Total PoP ]],WWWW[[#This Row],[Total PoP ]],WWWW[[#This Row],['# Functional hand washing stations during reporting period]]*100)</f>
        <v>52</v>
      </c>
      <c r="EA82" s="425" t="str">
        <f>IF(OR(WWWW[[#This Row],['#_students at TLS_CFS]]="",WWWW[[#This Row],['#_students at TLS_CFS]]=0),"No","Yes")</f>
        <v>Yes</v>
      </c>
      <c r="EB8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2" s="570">
        <f>WWWW[[#This Row],[%_of_affected_people_surveyed_who_report_feeling_satistfied_with_the_latrine_design_and_sanitation_service]]*WWWW[[#This Row],[Total PoP ]]</f>
        <v>0</v>
      </c>
      <c r="ED82" s="570">
        <f>WWWW[[#This Row],[%_of_affected_people_surveyed_who_report_feeling_satistfied_with_the_water_point_design_and_water_service]]*WWWW[[#This Row],[Total PoP ]]</f>
        <v>0</v>
      </c>
      <c r="EE82" s="570">
        <f>WWWW[[#This Row],[%_of_complaints_received_that_result_in_timely_corrective_action_and_feedback_to_the_community]]*WWWW[[#This Row],[Total PoP ]]</f>
        <v>0</v>
      </c>
      <c r="EF8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H8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2" s="964">
        <f>VLOOKUP(WWWW[[#This Row],[Site Name]],SiteDB6[[Site Name]:[CCCM Management]],6,FALSE)</f>
        <v>0</v>
      </c>
      <c r="EJ82" s="964" t="str">
        <f>VLOOKUP(WWWW[[#This Row],[Site Name]],SiteDB6[[Site Name]:[CCCM Focal Agency]],7,FALSE)</f>
        <v>KMSS-MYT</v>
      </c>
      <c r="EK82" s="964" t="str">
        <f>VLOOKUP(WWWW[[#This Row],[Site Name]],SiteDB6[[Site Name]:[Location Type 1]],9,FALSE)</f>
        <v>Camp</v>
      </c>
      <c r="EL82" s="964" t="str">
        <f>VLOOKUP(WWWW[[#This Row],[Site Name]],SiteDB6[[Site Name]:[Type of Accommodation]],10,FALSE)</f>
        <v>Camp</v>
      </c>
      <c r="EM82" s="964" t="str">
        <f>VLOOKUP(WWWW[[#This Row],[Site Name]],SiteDB6[[Site Name]:[Ethnic or GCA/NGCA]],11,FALSE)</f>
        <v>GCA</v>
      </c>
      <c r="EN82" s="964">
        <f>VLOOKUP(WWWW[[#This Row],[Site Name]],SiteDB6[[Site Name]:[Lat]],12,FALSE)</f>
        <v>25.522594999999999</v>
      </c>
      <c r="EO82" s="964">
        <f>VLOOKUP(WWWW[[#This Row],[Site Name]],SiteDB6[[Site Name]:[Long]],13,FALSE)</f>
        <v>96.711534</v>
      </c>
      <c r="EP82" s="964" t="str">
        <f>VLOOKUP(WWWW[[#This Row],[Site Name]],SiteDB6[[Site Name]:[Pcode]],3,FALSE)</f>
        <v>MMR001CMP270</v>
      </c>
      <c r="EQ82" s="969" t="str">
        <f t="shared" si="2"/>
        <v>Covered</v>
      </c>
      <c r="ER82" s="969" t="s">
        <v>3147</v>
      </c>
      <c r="ES82" s="964">
        <f>VLOOKUP(WWWW[[#This Row],[Site Name]],SiteDB6[[Site Name]:[Pop
(Kachin/Shan-CCCM as of March 2023)]],16,FALSE)</f>
        <v>14</v>
      </c>
      <c r="ET82" s="964">
        <f>VLOOKUP(WWWW[[#This Row],[Site Name]],SiteDB6[[Site Name]:[Pop
(Kachin/Shan-CCCM as of March 2023)]],17,FALSE)</f>
        <v>52</v>
      </c>
    </row>
    <row r="83" spans="1:150" hidden="1">
      <c r="A83" s="962" t="s">
        <v>2977</v>
      </c>
      <c r="B83" s="962" t="s">
        <v>309</v>
      </c>
      <c r="C83" s="963" t="s">
        <v>309</v>
      </c>
      <c r="D83" s="963"/>
      <c r="E83" s="963" t="s">
        <v>37</v>
      </c>
      <c r="F83" s="963" t="s">
        <v>184</v>
      </c>
      <c r="G83" s="964" t="str">
        <f>VLOOKUP(WWWW[[#This Row],[Site Name]],SiteDB6[[Site Name]:[Location Type]],8,FALSE)</f>
        <v>Camp</v>
      </c>
      <c r="H83" s="963" t="s">
        <v>2114</v>
      </c>
      <c r="I83" s="965">
        <v>31</v>
      </c>
      <c r="J83" s="965">
        <v>171</v>
      </c>
      <c r="K83" s="966"/>
      <c r="L83" s="967"/>
      <c r="M83" s="965"/>
      <c r="N83" s="965"/>
      <c r="O83" s="965"/>
      <c r="P83" s="965"/>
      <c r="Q83" s="968"/>
      <c r="R83" s="965"/>
      <c r="S83" s="965">
        <v>4</v>
      </c>
      <c r="T83" s="445"/>
      <c r="U83" s="965"/>
      <c r="V83" s="965"/>
      <c r="W83" s="965"/>
      <c r="X83" s="965"/>
      <c r="Y83" s="965"/>
      <c r="Z83" s="965"/>
      <c r="AA83" s="965"/>
      <c r="AB83" s="965"/>
      <c r="AC83" s="965"/>
      <c r="AD83" s="965"/>
      <c r="AE83" s="965"/>
      <c r="AF83" s="965"/>
      <c r="AG83" s="965"/>
      <c r="AH83" s="965"/>
      <c r="AI83" s="965"/>
      <c r="AJ83" s="965"/>
      <c r="AK83" s="965"/>
      <c r="AL83" s="965"/>
      <c r="AM83" s="965"/>
      <c r="AN83" s="965"/>
      <c r="AO83" s="445"/>
      <c r="AP83" s="969"/>
      <c r="AQ83" s="965"/>
      <c r="AR83" s="965"/>
      <c r="AS83" s="970"/>
      <c r="AT83" s="965"/>
      <c r="AU83" s="965"/>
      <c r="AV83" s="965"/>
      <c r="AW83" s="965"/>
      <c r="AX83" s="965"/>
      <c r="AY83" s="964" t="s">
        <v>140</v>
      </c>
      <c r="AZ83" s="969" t="s">
        <v>140</v>
      </c>
      <c r="BA83" s="965"/>
      <c r="BB83" s="965"/>
      <c r="BC83" s="965"/>
      <c r="BD83" s="445"/>
      <c r="BE83" s="445"/>
      <c r="BF83" s="964"/>
      <c r="BG83" s="965">
        <v>1</v>
      </c>
      <c r="BH83" s="965"/>
      <c r="BI83" s="965"/>
      <c r="BJ83" s="965">
        <v>1</v>
      </c>
      <c r="BK83" s="965"/>
      <c r="BL83" s="965"/>
      <c r="BM83" s="965"/>
      <c r="BN83" s="965"/>
      <c r="BO83" s="965"/>
      <c r="BP83" s="964"/>
      <c r="BQ83" s="971"/>
      <c r="BR83" s="970"/>
      <c r="BS83" s="964"/>
      <c r="BT83" s="420"/>
      <c r="BU83" s="420"/>
      <c r="BV83" s="422"/>
      <c r="BW83" s="420"/>
      <c r="BX83" s="445"/>
      <c r="BY83" s="445"/>
      <c r="BZ83" s="445"/>
      <c r="CA83" s="445"/>
      <c r="CB83" s="445"/>
      <c r="CC83" s="702"/>
      <c r="CD83" s="445"/>
      <c r="CE83" s="972" t="str">
        <f>IFERROR(WWWW[[#This Row],['#_Water sources passed]]/WWWW[[#This Row],['#_Water sources tested for fecal coliform ]],"no test")</f>
        <v>no test</v>
      </c>
      <c r="CF83" s="970" t="str">
        <f>IFERROR(WWWW[[#This Row],['#_Household passed]]/WWWW[[#This Row],['#_Household water samples tested for fecal coliform]],"no test")</f>
        <v>no test</v>
      </c>
      <c r="CG83" s="971" t="str">
        <f>IF(AND(WWWW[[#This Row],[% of water sources passed]]="no test",WWWW[[#This Row],[% Household passed]]="no test"),"No Test","Tested")</f>
        <v>No Test</v>
      </c>
      <c r="CH83" s="971">
        <f>WWWW[[#This Row],['#_Constructed/existing protected hand dug well]]-WWWW[[#This Row],['#_Non-functional protected hand dug well]]</f>
        <v>0</v>
      </c>
      <c r="CI83" s="971">
        <f>(WWWW[[#This Row],['#_Constructed/Existing tube wells/boreholes/handpumps_WASH_agency]]+WWWW[[#This Row],['#_Non-Cluster partner water tube-wells/boreholes/handpumps]])-WWWW[[#This Row],['#_Non-functional tube wells/boreholes/handpumps]]</f>
        <v>0</v>
      </c>
      <c r="CJ83" s="971">
        <f>WWWW[[#This Row],['#_Constructed/Existingwater storage tank with gravity fed reticulation system]]-WWWW[[#This Row],['#_Non-functional storage tank gravity fed reticulation system]]</f>
        <v>0</v>
      </c>
      <c r="CK83" s="971">
        <f>(WWWW[[#This Row],['#_Water_Liters_supplied_by_Water boating or water trucking]]/90)/15</f>
        <v>0</v>
      </c>
      <c r="CL83" s="971">
        <f>WWWW[[#This Row],['#_Water_Liters_from_Constructed/Existing water distribution system from river or natural spring]]/90/15</f>
        <v>0</v>
      </c>
      <c r="CM83" s="421">
        <f>IF(WWWW[[#This Row],['#_of water points in TLS/CFS]]*500&gt;WWWW[[#This Row],[Total PoP ]],WWWW[[#This Row],[Total PoP ]],WWWW[[#This Row],['#_of water points in TLS/CFS]]*500)</f>
        <v>0</v>
      </c>
      <c r="CN83" s="421">
        <f>IF(WWWW[[#This Row],['#_of water points in THF]]*500&gt;WWWW[[#This Row],[Total PoP ]],WWWW[[#This Row],[Total PoP ]],WWWW[[#This Row],['#_of water points in THF]]*500)</f>
        <v>0</v>
      </c>
      <c r="CO83" s="421"/>
      <c r="CP8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8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83" s="970">
        <f>IF(WWWW[[#This Row],[Location Type 1]]="Village",WWWW[[#This Row],[Access to safe drinking water for Village]],WWWW[[#This Row],[Access to safe drinking water for Camp]])</f>
        <v>0</v>
      </c>
      <c r="CS83" s="968">
        <f>WWWW[[#This Row],[%Equitable and continuous access to sufficient quantity of safe drinking water]]*WWWW[[#This Row],[Total PoP ]]</f>
        <v>0</v>
      </c>
      <c r="CT83" s="970">
        <f>IF((WWWW[[#This Row],['#_Constructed/Existing protected/fenced ponds]]*250)/WWWW[[#This Row],[Total PoP ]]&gt;1,1,(WWWW[[#This Row],['#_Constructed/Existing protected/fenced ponds]]*250)/WWWW[[#This Row],[Total PoP ]])</f>
        <v>0</v>
      </c>
      <c r="CU83" s="968">
        <f>WWWW[[#This Row],[% Access to unimproved water points]]*WWWW[[#This Row],[Total PoP ]]</f>
        <v>0</v>
      </c>
      <c r="CV8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8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83" s="968">
        <f>WWWW[[#This Row],[HRP1]]/500</f>
        <v>0</v>
      </c>
      <c r="CY83" s="973">
        <f>1-WWWW[[#This Row],[% Equitable and continuous access to sufficient quantity of domestic water]]</f>
        <v>1</v>
      </c>
      <c r="CZ83" s="968">
        <f>WWWW[[#This Row],[%equitable and continuous access to sufficient quantity of safe drinking and domestic water''s GAP]]*WWWW[[#This Row],[Total PoP ]]</f>
        <v>171</v>
      </c>
      <c r="DA83" s="971">
        <f>IF(WWWW[[#This Row],[Total required water points]]-WWWW[[#This Row],['#Water points coverage]]&lt;0,0,WWWW[[#This Row],[Total required water points]]-WWWW[[#This Row],['#Water points coverage]])</f>
        <v>1</v>
      </c>
      <c r="DB83" s="971">
        <f>ROUND(IF(WWWW[[#This Row],[Total PoP ]]&lt;500,1,WWWW[[#This Row],[Total PoP ]]/500),0)</f>
        <v>1</v>
      </c>
      <c r="DC83" s="971">
        <f>(WWWW[[#This Row],['#_Constructed latrines_by_WASHAgencies]]+WWWW[[#This Row],['#_Non Cluster partner latrines]])-WWWW[[#This Row],['#_Non-functional latrines]]</f>
        <v>0</v>
      </c>
      <c r="DD83" s="619">
        <f>WWWW[[#This Row],[HRP2]]/WWWW[[#This Row],[Total PoP ]]</f>
        <v>0</v>
      </c>
      <c r="DE8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8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3" s="421">
        <f>IF(WWWW[[#This Row],['# of functional latrines in THF supported by WASH partners during the reporting period2]]="",0,WWWW[[#This Row],['# of functional latrines in THF supported by WASH partners during the reporting period2]]*50)</f>
        <v>0</v>
      </c>
      <c r="DI83" s="971">
        <f>ROUND(IF(WWWW[[#This Row],[Location Type 1]]="camp",WWWW[[#This Row],[Total PoP ]]/20,IF(WWWW[[#This Row],[Location Type 1]]="Temporary Location",WWWW[[#This Row],[Total PoP ]]/50,(WWWW[[#This Row],[Total PoP ]]/6))),0)</f>
        <v>9</v>
      </c>
      <c r="DJ83" s="971">
        <f>IF(WWWW[[#This Row],[Total required Latrines]]-(WWWW[[#This Row],['#_Constructed latrines_by_WASHAgencies]]+WWWW[[#This Row],['#_Non Cluster partner latrines]])&lt;0,0,WWWW[[#This Row],[Total required Latrines]]-(WWWW[[#This Row],['#_Constructed latrines_by_WASHAgencies]]+WWWW[[#This Row],['#_Non Cluster partner latrines]]))</f>
        <v>9</v>
      </c>
      <c r="DK83" s="973">
        <f>1-WWWW[[#This Row],[% people access to functioning Latrine]]</f>
        <v>1</v>
      </c>
      <c r="DL83" s="972">
        <f>IF(OR(WWWW[[#This Row],['#_Non-functional latrines]]="",WWWW[[#This Row],['#_Non-functional latrines]]=0),0,WWWW[[#This Row],['#_Non-functional latrines]]/(WWWW[[#This Row],['#_Constructed latrines_by_WASHAgencies]]+WWWW[[#This Row],['#_Non Cluster partner latrines]]))</f>
        <v>0</v>
      </c>
      <c r="DM83" s="968">
        <f>IF(500*(WWWW[[#This Row],['#_male hygiene promoters]]+WWWW[[#This Row],['#_female hygiene promoters]])&gt;WWWW[[#This Row],[Total PoP ]],WWWW[[#This Row],[Total PoP ]],500*(WWWW[[#This Row],['#_male hygiene promoters]]+WWWW[[#This Row],['#_female hygiene promoters]]))</f>
        <v>0</v>
      </c>
      <c r="DN8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3" s="971">
        <f>IF(WWWW[[#This Row],['# People with access to soap]]&gt;WWWW[[#This Row],['# People with access to Sanity Pads]],WWWW[[#This Row],['# People with access to soap]],WWWW[[#This Row],['# People with access to Sanity Pads]])</f>
        <v>0</v>
      </c>
      <c r="DQ8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3" s="973">
        <f>IF(WWWW[[#This Row],[HRP3]]/WWWW[[#This Row],[Total PoP ]]&gt;1,1,WWWW[[#This Row],[HRP3]]/WWWW[[#This Row],[Total PoP ]])</f>
        <v>0</v>
      </c>
      <c r="DS83" s="972">
        <f>1-WWWW[[#This Row],[Hygiene Coverage%]]</f>
        <v>1</v>
      </c>
      <c r="DT83" s="970">
        <f>WWWW[[#This Row],['# people reached by regular dedicated hygiene promotion_5]]/WWWW[[#This Row],[Total PoP ]]</f>
        <v>0</v>
      </c>
      <c r="DU8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3" s="971">
        <f>WWWW[[#This Row],['#_Constructed/Existing hand washing stations]]-WWWW[[#This Row],['#_Non-Functional_hand_washing_stations]]</f>
        <v>1</v>
      </c>
      <c r="DX83" s="968">
        <f>IF(WWWW[[#This Row],['# Functional hand washing stations during reporting period]]*20&gt;WWWW[[#This Row],[Total HH]],WWWW[[#This Row],[Total HH]],WWWW[[#This Row],['# Functional hand washing stations during reporting period]]*20)</f>
        <v>20</v>
      </c>
      <c r="DY83" s="968">
        <f>IF(WWWW[[#This Row],[Is sufficient soap available for TLS? (Yes/No)]]="yes",WWWW[[#This Row],['#_Constructed/Existing hand washing stations at TLS/CFS/THF]],0)</f>
        <v>0</v>
      </c>
      <c r="DZ83" s="425">
        <f>IF(WWWW[[#This Row],['# Functional hand washing stations during reporting period]]*100&gt;WWWW[[#This Row],[Total PoP ]],WWWW[[#This Row],[Total PoP ]],WWWW[[#This Row],['# Functional hand washing stations during reporting period]]*100)</f>
        <v>100</v>
      </c>
      <c r="EA83" s="425" t="str">
        <f>IF(OR(WWWW[[#This Row],['#_students at TLS_CFS]]="",WWWW[[#This Row],['#_students at TLS_CFS]]=0),"No","Yes")</f>
        <v>No</v>
      </c>
      <c r="EB8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3" s="570">
        <f>WWWW[[#This Row],[%_of_affected_people_surveyed_who_report_feeling_satistfied_with_the_latrine_design_and_sanitation_service]]*WWWW[[#This Row],[Total PoP ]]</f>
        <v>0</v>
      </c>
      <c r="ED83" s="570">
        <f>WWWW[[#This Row],[%_of_affected_people_surveyed_who_report_feeling_satistfied_with_the_water_point_design_and_water_service]]*WWWW[[#This Row],[Total PoP ]]</f>
        <v>0</v>
      </c>
      <c r="EE83" s="570">
        <f>WWWW[[#This Row],[%_of_complaints_received_that_result_in_timely_corrective_action_and_feedback_to_the_community]]*WWWW[[#This Row],[Total PoP ]]</f>
        <v>0</v>
      </c>
      <c r="EF8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3" s="964">
        <f>VLOOKUP(WWWW[[#This Row],[Site Name]],SiteDB6[[Site Name]:[CCCM Management]],6,FALSE)</f>
        <v>0</v>
      </c>
      <c r="EJ83" s="964" t="str">
        <f>VLOOKUP(WWWW[[#This Row],[Site Name]],SiteDB6[[Site Name]:[CCCM Focal Agency]],7,FALSE)</f>
        <v>uncovered</v>
      </c>
      <c r="EK83" s="964" t="str">
        <f>VLOOKUP(WWWW[[#This Row],[Site Name]],SiteDB6[[Site Name]:[Location Type 1]],9,FALSE)</f>
        <v>Camp</v>
      </c>
      <c r="EL83" s="964" t="str">
        <f>VLOOKUP(WWWW[[#This Row],[Site Name]],SiteDB6[[Site Name]:[Type of Accommodation]],10,FALSE)</f>
        <v>Camp like setting</v>
      </c>
      <c r="EM83" s="964" t="str">
        <f>VLOOKUP(WWWW[[#This Row],[Site Name]],SiteDB6[[Site Name]:[Ethnic or GCA/NGCA]],11,FALSE)</f>
        <v>GCA</v>
      </c>
      <c r="EN83" s="964">
        <f>VLOOKUP(WWWW[[#This Row],[Site Name]],SiteDB6[[Site Name]:[Lat]],12,FALSE)</f>
        <v>26.299828999999999</v>
      </c>
      <c r="EO83" s="964">
        <f>VLOOKUP(WWWW[[#This Row],[Site Name]],SiteDB6[[Site Name]:[Long]],13,FALSE)</f>
        <v>97.487258999999995</v>
      </c>
      <c r="EP83" s="964" t="str">
        <f>VLOOKUP(WWWW[[#This Row],[Site Name]],SiteDB6[[Site Name]:[Pcode]],3,FALSE)</f>
        <v>MMR001CMP272</v>
      </c>
      <c r="EQ83" s="969" t="str">
        <f t="shared" si="2"/>
        <v>Notcovered</v>
      </c>
      <c r="ER83" s="969"/>
      <c r="ES83" s="964">
        <f>VLOOKUP(WWWW[[#This Row],[Site Name]],SiteDB6[[Site Name]:[Pop
(Kachin/Shan-CCCM as of March 2023)]],16,FALSE)</f>
        <v>31</v>
      </c>
      <c r="ET83" s="964">
        <f>VLOOKUP(WWWW[[#This Row],[Site Name]],SiteDB6[[Site Name]:[Pop
(Kachin/Shan-CCCM as of March 2023)]],17,FALSE)</f>
        <v>171</v>
      </c>
    </row>
    <row r="84" spans="1:150" hidden="1">
      <c r="A84" s="962" t="s">
        <v>2977</v>
      </c>
      <c r="B84" s="1068" t="s">
        <v>3203</v>
      </c>
      <c r="C84" s="963" t="s">
        <v>141</v>
      </c>
      <c r="D84" s="963" t="s">
        <v>3112</v>
      </c>
      <c r="E84" s="963" t="s">
        <v>37</v>
      </c>
      <c r="F84" s="963" t="s">
        <v>159</v>
      </c>
      <c r="G84" s="964" t="str">
        <f>VLOOKUP(WWWW[[#This Row],[Site Name]],SiteDB6[[Site Name]:[Location Type]],8,FALSE)</f>
        <v>Camp</v>
      </c>
      <c r="H84" s="963" t="s">
        <v>1604</v>
      </c>
      <c r="I84" s="965">
        <v>126</v>
      </c>
      <c r="J84" s="965">
        <v>661</v>
      </c>
      <c r="K84" s="966" t="s">
        <v>3113</v>
      </c>
      <c r="L84" s="967">
        <v>45175</v>
      </c>
      <c r="M84" s="965"/>
      <c r="N84" s="965">
        <v>2</v>
      </c>
      <c r="O84" s="965"/>
      <c r="P84" s="965"/>
      <c r="Q84" s="968" t="s">
        <v>41</v>
      </c>
      <c r="R84" s="965">
        <v>2</v>
      </c>
      <c r="S84" s="965">
        <v>4</v>
      </c>
      <c r="T84" s="445">
        <v>9</v>
      </c>
      <c r="U84" s="965">
        <v>3</v>
      </c>
      <c r="V84" s="965"/>
      <c r="W84" s="965">
        <v>4</v>
      </c>
      <c r="X84" s="965"/>
      <c r="Y84" s="965"/>
      <c r="Z84" s="965"/>
      <c r="AA84" s="965"/>
      <c r="AB84" s="965"/>
      <c r="AC84" s="965"/>
      <c r="AD84" s="965"/>
      <c r="AE84" s="965"/>
      <c r="AF84" s="965"/>
      <c r="AG84" s="965"/>
      <c r="AH84" s="965">
        <v>6</v>
      </c>
      <c r="AI84" s="965"/>
      <c r="AJ84" s="965"/>
      <c r="AK84" s="965"/>
      <c r="AL84" s="965"/>
      <c r="AM84" s="965"/>
      <c r="AN84" s="965"/>
      <c r="AO84" s="445"/>
      <c r="AP84" s="969"/>
      <c r="AQ84" s="965">
        <v>16</v>
      </c>
      <c r="AR84" s="965"/>
      <c r="AS84" s="970"/>
      <c r="AT84" s="965"/>
      <c r="AU84" s="965"/>
      <c r="AV84" s="965"/>
      <c r="AW84" s="965"/>
      <c r="AX84" s="965">
        <v>8</v>
      </c>
      <c r="AY84" s="964" t="s">
        <v>41</v>
      </c>
      <c r="AZ84" s="969" t="s">
        <v>137</v>
      </c>
      <c r="BA84" s="965"/>
      <c r="BB84" s="965"/>
      <c r="BC84" s="965"/>
      <c r="BD84" s="445"/>
      <c r="BE84" s="445"/>
      <c r="BF84" s="964"/>
      <c r="BG84" s="965">
        <v>12</v>
      </c>
      <c r="BH84" s="965"/>
      <c r="BI84" s="965"/>
      <c r="BJ84" s="965">
        <v>8</v>
      </c>
      <c r="BK84" s="965"/>
      <c r="BL84" s="965">
        <v>1</v>
      </c>
      <c r="BM84" s="965"/>
      <c r="BN84" s="965"/>
      <c r="BO84" s="965"/>
      <c r="BP84" s="964"/>
      <c r="BQ84" s="971"/>
      <c r="BR84" s="970"/>
      <c r="BS84" s="964"/>
      <c r="BT84" s="420"/>
      <c r="BU84" s="420"/>
      <c r="BV84" s="422"/>
      <c r="BW84" s="420"/>
      <c r="BX84" s="445"/>
      <c r="BY84" s="445"/>
      <c r="BZ84" s="445"/>
      <c r="CA84" s="445"/>
      <c r="CB84" s="445"/>
      <c r="CC84" s="702"/>
      <c r="CD84" s="445"/>
      <c r="CE84" s="972" t="str">
        <f>IFERROR(WWWW[[#This Row],['#_Water sources passed]]/WWWW[[#This Row],['#_Water sources tested for fecal coliform ]],"no test")</f>
        <v>no test</v>
      </c>
      <c r="CF84" s="970" t="str">
        <f>IFERROR(WWWW[[#This Row],['#_Household passed]]/WWWW[[#This Row],['#_Household water samples tested for fecal coliform]],"no test")</f>
        <v>no test</v>
      </c>
      <c r="CG84" s="971" t="str">
        <f>IF(AND(WWWW[[#This Row],[% of water sources passed]]="no test",WWWW[[#This Row],[% Household passed]]="no test"),"No Test","Tested")</f>
        <v>No Test</v>
      </c>
      <c r="CH84" s="971">
        <f>WWWW[[#This Row],['#_Constructed/existing protected hand dug well]]-WWWW[[#This Row],['#_Non-functional protected hand dug well]]</f>
        <v>6</v>
      </c>
      <c r="CI84" s="971">
        <f>(WWWW[[#This Row],['#_Constructed/Existing tube wells/boreholes/handpumps_WASH_agency]]+WWWW[[#This Row],['#_Non-Cluster partner water tube-wells/boreholes/handpumps]])-WWWW[[#This Row],['#_Non-functional tube wells/boreholes/handpumps]]</f>
        <v>4</v>
      </c>
      <c r="CJ84" s="971">
        <f>WWWW[[#This Row],['#_Constructed/Existingwater storage tank with gravity fed reticulation system]]-WWWW[[#This Row],['#_Non-functional storage tank gravity fed reticulation system]]</f>
        <v>0</v>
      </c>
      <c r="CK84" s="971">
        <f>(WWWW[[#This Row],['#_Water_Liters_supplied_by_Water boating or water trucking]]/90)/15</f>
        <v>0</v>
      </c>
      <c r="CL84" s="971">
        <f>WWWW[[#This Row],['#_Water_Liters_from_Constructed/Existing water distribution system from river or natural spring]]/90/15</f>
        <v>0</v>
      </c>
      <c r="CM84" s="421">
        <f>IF(WWWW[[#This Row],['#_of water points in TLS/CFS]]*500&gt;WWWW[[#This Row],[Total PoP ]],WWWW[[#This Row],[Total PoP ]],WWWW[[#This Row],['#_of water points in TLS/CFS]]*500)</f>
        <v>0</v>
      </c>
      <c r="CN84" s="421">
        <f>IF(WWWW[[#This Row],['#_of water points in THF]]*500&gt;WWWW[[#This Row],[Total PoP ]],WWWW[[#This Row],[Total PoP ]],WWWW[[#This Row],['#_of water points in THF]]*500)</f>
        <v>0</v>
      </c>
      <c r="CO84" s="421"/>
      <c r="CP8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4" s="970">
        <f>IF(WWWW[[#This Row],[Location Type 1]]="Village",WWWW[[#This Row],[Access to safe drinking water for Village]],WWWW[[#This Row],[Access to safe drinking water for Camp]])</f>
        <v>1</v>
      </c>
      <c r="CS84" s="968">
        <f>WWWW[[#This Row],[%Equitable and continuous access to sufficient quantity of safe drinking water]]*WWWW[[#This Row],[Total PoP ]]</f>
        <v>661</v>
      </c>
      <c r="CT84" s="970">
        <f>IF((WWWW[[#This Row],['#_Constructed/Existing protected/fenced ponds]]*250)/WWWW[[#This Row],[Total PoP ]]&gt;1,1,(WWWW[[#This Row],['#_Constructed/Existing protected/fenced ponds]]*250)/WWWW[[#This Row],[Total PoP ]])</f>
        <v>0</v>
      </c>
      <c r="CU84" s="968">
        <f>WWWW[[#This Row],[% Access to unimproved water points]]*WWWW[[#This Row],[Total PoP ]]</f>
        <v>0</v>
      </c>
      <c r="CV8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661</v>
      </c>
      <c r="CX84" s="968">
        <f>WWWW[[#This Row],[HRP1]]/500</f>
        <v>1.3220000000000001</v>
      </c>
      <c r="CY84" s="973">
        <f>1-WWWW[[#This Row],[% Equitable and continuous access to sufficient quantity of domestic water]]</f>
        <v>0</v>
      </c>
      <c r="CZ84" s="968">
        <f>WWWW[[#This Row],[%equitable and continuous access to sufficient quantity of safe drinking and domestic water''s GAP]]*WWWW[[#This Row],[Total PoP ]]</f>
        <v>0</v>
      </c>
      <c r="DA84" s="971">
        <f>IF(WWWW[[#This Row],[Total required water points]]-WWWW[[#This Row],['#Water points coverage]]&lt;0,0,WWWW[[#This Row],[Total required water points]]-WWWW[[#This Row],['#Water points coverage]])</f>
        <v>0</v>
      </c>
      <c r="DB84" s="971">
        <f>ROUND(IF(WWWW[[#This Row],[Total PoP ]]&lt;500,1,WWWW[[#This Row],[Total PoP ]]/500),0)</f>
        <v>1</v>
      </c>
      <c r="DC84" s="971">
        <f>(WWWW[[#This Row],['#_Constructed latrines_by_WASHAgencies]]+WWWW[[#This Row],['#_Non Cluster partner latrines]])-WWWW[[#This Row],['#_Non-functional latrines]]</f>
        <v>16</v>
      </c>
      <c r="DD84" s="619">
        <f>WWWW[[#This Row],[HRP2]]/WWWW[[#This Row],[Total PoP ]]</f>
        <v>0.48411497730711045</v>
      </c>
      <c r="DE8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320</v>
      </c>
      <c r="DF8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4" s="421">
        <f>IF(WWWW[[#This Row],['# of functional latrines in THF supported by WASH partners during the reporting period2]]="",0,WWWW[[#This Row],['# of functional latrines in THF supported by WASH partners during the reporting period2]]*50)</f>
        <v>0</v>
      </c>
      <c r="DI84" s="971">
        <f>ROUND(IF(WWWW[[#This Row],[Location Type 1]]="camp",WWWW[[#This Row],[Total PoP ]]/20,IF(WWWW[[#This Row],[Location Type 1]]="Temporary Location",WWWW[[#This Row],[Total PoP ]]/50,(WWWW[[#This Row],[Total PoP ]]/6))),0)</f>
        <v>33</v>
      </c>
      <c r="DJ84" s="971">
        <f>IF(WWWW[[#This Row],[Total required Latrines]]-(WWWW[[#This Row],['#_Constructed latrines_by_WASHAgencies]]+WWWW[[#This Row],['#_Non Cluster partner latrines]])&lt;0,0,WWWW[[#This Row],[Total required Latrines]]-(WWWW[[#This Row],['#_Constructed latrines_by_WASHAgencies]]+WWWW[[#This Row],['#_Non Cluster partner latrines]]))</f>
        <v>17</v>
      </c>
      <c r="DK84" s="973">
        <f>1-WWWW[[#This Row],[% people access to functioning Latrine]]</f>
        <v>0.51588502269288949</v>
      </c>
      <c r="DL84" s="972">
        <f>IF(OR(WWWW[[#This Row],['#_Non-functional latrines]]="",WWWW[[#This Row],['#_Non-functional latrines]]=0),0,WWWW[[#This Row],['#_Non-functional latrines]]/(WWWW[[#This Row],['#_Constructed latrines_by_WASHAgencies]]+WWWW[[#This Row],['#_Non Cluster partner latrines]]))</f>
        <v>0</v>
      </c>
      <c r="DM84" s="968">
        <f>IF(500*(WWWW[[#This Row],['#_male hygiene promoters]]+WWWW[[#This Row],['#_female hygiene promoters]])&gt;WWWW[[#This Row],[Total PoP ]],WWWW[[#This Row],[Total PoP ]],500*(WWWW[[#This Row],['#_male hygiene promoters]]+WWWW[[#This Row],['#_female hygiene promoters]]))</f>
        <v>500</v>
      </c>
      <c r="DN8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4" s="971">
        <f>IF(WWWW[[#This Row],['# People with access to soap]]&gt;WWWW[[#This Row],['# People with access to Sanity Pads]],WWWW[[#This Row],['# People with access to soap]],WWWW[[#This Row],['# People with access to Sanity Pads]])</f>
        <v>0</v>
      </c>
      <c r="DQ84"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84" s="973">
        <f>IF(WWWW[[#This Row],[HRP3]]/WWWW[[#This Row],[Total PoP ]]&gt;1,1,WWWW[[#This Row],[HRP3]]/WWWW[[#This Row],[Total PoP ]])</f>
        <v>0.75642965204236001</v>
      </c>
      <c r="DS84" s="972">
        <f>1-WWWW[[#This Row],[Hygiene Coverage%]]</f>
        <v>0.24357034795763999</v>
      </c>
      <c r="DT84" s="970">
        <f>WWWW[[#This Row],['# people reached by regular dedicated hygiene promotion_5]]/WWWW[[#This Row],[Total PoP ]]</f>
        <v>0.75642965204236001</v>
      </c>
      <c r="DU8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4" s="971">
        <f>WWWW[[#This Row],['#_Constructed/Existing hand washing stations]]-WWWW[[#This Row],['#_Non-Functional_hand_washing_stations]]</f>
        <v>12</v>
      </c>
      <c r="DX84" s="968">
        <f>IF(WWWW[[#This Row],['# Functional hand washing stations during reporting period]]*20&gt;WWWW[[#This Row],[Total HH]],WWWW[[#This Row],[Total HH]],WWWW[[#This Row],['# Functional hand washing stations during reporting period]]*20)</f>
        <v>126</v>
      </c>
      <c r="DY84" s="968">
        <f>IF(WWWW[[#This Row],[Is sufficient soap available for TLS? (Yes/No)]]="yes",WWWW[[#This Row],['#_Constructed/Existing hand washing stations at TLS/CFS/THF]],0)</f>
        <v>0</v>
      </c>
      <c r="DZ84" s="425">
        <f>IF(WWWW[[#This Row],['# Functional hand washing stations during reporting period]]*100&gt;WWWW[[#This Row],[Total PoP ]],WWWW[[#This Row],[Total PoP ]],WWWW[[#This Row],['# Functional hand washing stations during reporting period]]*100)</f>
        <v>661</v>
      </c>
      <c r="EA84" s="425" t="str">
        <f>IF(OR(WWWW[[#This Row],['#_students at TLS_CFS]]="",WWWW[[#This Row],['#_students at TLS_CFS]]=0),"No","Yes")</f>
        <v>No</v>
      </c>
      <c r="EB8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4" s="570">
        <f>WWWW[[#This Row],[%_of_affected_people_surveyed_who_report_feeling_satistfied_with_the_latrine_design_and_sanitation_service]]*WWWW[[#This Row],[Total PoP ]]</f>
        <v>0</v>
      </c>
      <c r="ED84" s="570">
        <f>WWWW[[#This Row],[%_of_affected_people_surveyed_who_report_feeling_satistfied_with_the_water_point_design_and_water_service]]*WWWW[[#This Row],[Total PoP ]]</f>
        <v>0</v>
      </c>
      <c r="EE84" s="570">
        <f>WWWW[[#This Row],[%_of_complaints_received_that_result_in_timely_corrective_action_and_feedback_to_the_community]]*WWWW[[#This Row],[Total PoP ]]</f>
        <v>0</v>
      </c>
      <c r="EF8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4" s="964">
        <f>VLOOKUP(WWWW[[#This Row],[Site Name]],SiteDB6[[Site Name]:[CCCM Management]],6,FALSE)</f>
        <v>0</v>
      </c>
      <c r="EJ84" s="964" t="str">
        <f>VLOOKUP(WWWW[[#This Row],[Site Name]],SiteDB6[[Site Name]:[CCCM Focal Agency]],7,FALSE)</f>
        <v>KBC-MYT</v>
      </c>
      <c r="EK84" s="964" t="str">
        <f>VLOOKUP(WWWW[[#This Row],[Site Name]],SiteDB6[[Site Name]:[Location Type 1]],9,FALSE)</f>
        <v>Camp</v>
      </c>
      <c r="EL84" s="964" t="str">
        <f>VLOOKUP(WWWW[[#This Row],[Site Name]],SiteDB6[[Site Name]:[Type of Accommodation]],10,FALSE)</f>
        <v>Camp</v>
      </c>
      <c r="EM84" s="964" t="str">
        <f>VLOOKUP(WWWW[[#This Row],[Site Name]],SiteDB6[[Site Name]:[Ethnic or GCA/NGCA]],11,FALSE)</f>
        <v>GCA</v>
      </c>
      <c r="EN84" s="964">
        <f>VLOOKUP(WWWW[[#This Row],[Site Name]],SiteDB6[[Site Name]:[Lat]],12,FALSE)</f>
        <v>25.489669799804702</v>
      </c>
      <c r="EO84" s="964">
        <f>VLOOKUP(WWWW[[#This Row],[Site Name]],SiteDB6[[Site Name]:[Long]],13,FALSE)</f>
        <v>97.458778381347699</v>
      </c>
      <c r="EP84" s="964" t="str">
        <f>VLOOKUP(WWWW[[#This Row],[Site Name]],SiteDB6[[Site Name]:[Pcode]],3,FALSE)</f>
        <v>MMR001CMP265</v>
      </c>
      <c r="EQ84" s="969" t="str">
        <f t="shared" si="2"/>
        <v>Covered</v>
      </c>
      <c r="ER84" s="969" t="s">
        <v>3147</v>
      </c>
      <c r="ES84" s="964">
        <f>VLOOKUP(WWWW[[#This Row],[Site Name]],SiteDB6[[Site Name]:[Pop
(Kachin/Shan-CCCM as of March 2023)]],16,FALSE)</f>
        <v>138</v>
      </c>
      <c r="ET84" s="964">
        <f>VLOOKUP(WWWW[[#This Row],[Site Name]],SiteDB6[[Site Name]:[Pop
(Kachin/Shan-CCCM as of March 2023)]],17,FALSE)</f>
        <v>667</v>
      </c>
    </row>
    <row r="85" spans="1:150" hidden="1">
      <c r="A85" s="962" t="s">
        <v>2977</v>
      </c>
      <c r="B85" s="963" t="s">
        <v>141</v>
      </c>
      <c r="C85" s="963" t="s">
        <v>141</v>
      </c>
      <c r="D85" s="963" t="s">
        <v>241</v>
      </c>
      <c r="E85" s="963" t="s">
        <v>37</v>
      </c>
      <c r="F85" s="963" t="s">
        <v>159</v>
      </c>
      <c r="G85" s="964" t="str">
        <f>VLOOKUP(WWWW[[#This Row],[Site Name]],SiteDB6[[Site Name]:[Location Type]],8,FALSE)</f>
        <v>Camp</v>
      </c>
      <c r="H85" s="963" t="s">
        <v>163</v>
      </c>
      <c r="I85" s="965">
        <v>133</v>
      </c>
      <c r="J85" s="965">
        <v>678</v>
      </c>
      <c r="K85" s="966">
        <v>44811</v>
      </c>
      <c r="L85" s="967">
        <v>45175</v>
      </c>
      <c r="M85" s="965"/>
      <c r="N85" s="965">
        <v>2</v>
      </c>
      <c r="O85" s="965"/>
      <c r="P85" s="965"/>
      <c r="Q85" s="968" t="s">
        <v>41</v>
      </c>
      <c r="R85" s="965">
        <v>2</v>
      </c>
      <c r="S85" s="965">
        <v>3</v>
      </c>
      <c r="T85" s="445">
        <v>1</v>
      </c>
      <c r="U85" s="965"/>
      <c r="V85" s="965"/>
      <c r="W85" s="965">
        <v>3</v>
      </c>
      <c r="X85" s="965"/>
      <c r="Y85" s="965"/>
      <c r="Z85" s="965"/>
      <c r="AA85" s="965"/>
      <c r="AB85" s="965"/>
      <c r="AC85" s="965"/>
      <c r="AD85" s="965"/>
      <c r="AE85" s="965"/>
      <c r="AF85" s="965"/>
      <c r="AG85" s="965"/>
      <c r="AH85" s="965">
        <v>2</v>
      </c>
      <c r="AI85" s="965"/>
      <c r="AJ85" s="965"/>
      <c r="AK85" s="965"/>
      <c r="AL85" s="965"/>
      <c r="AM85" s="965"/>
      <c r="AN85" s="965"/>
      <c r="AO85" s="445"/>
      <c r="AP85" s="969"/>
      <c r="AQ85" s="965">
        <v>8</v>
      </c>
      <c r="AR85" s="965"/>
      <c r="AS85" s="970"/>
      <c r="AT85" s="965"/>
      <c r="AU85" s="965"/>
      <c r="AV85" s="965"/>
      <c r="AW85" s="965"/>
      <c r="AX85" s="965">
        <v>8</v>
      </c>
      <c r="AY85" s="964" t="s">
        <v>41</v>
      </c>
      <c r="AZ85" s="969" t="s">
        <v>904</v>
      </c>
      <c r="BA85" s="965"/>
      <c r="BB85" s="965"/>
      <c r="BC85" s="965"/>
      <c r="BD85" s="445"/>
      <c r="BE85" s="445"/>
      <c r="BF85" s="964"/>
      <c r="BG85" s="965">
        <v>3</v>
      </c>
      <c r="BH85" s="965"/>
      <c r="BI85" s="965"/>
      <c r="BJ85" s="965">
        <v>2</v>
      </c>
      <c r="BK85" s="965"/>
      <c r="BL85" s="965"/>
      <c r="BM85" s="965"/>
      <c r="BN85" s="965"/>
      <c r="BO85" s="965"/>
      <c r="BP85" s="964"/>
      <c r="BQ85" s="971"/>
      <c r="BR85" s="970"/>
      <c r="BS85" s="964"/>
      <c r="BT85" s="420"/>
      <c r="BU85" s="420"/>
      <c r="BV85" s="422"/>
      <c r="BW85" s="420"/>
      <c r="BX85" s="445"/>
      <c r="BY85" s="445"/>
      <c r="BZ85" s="445"/>
      <c r="CA85" s="445"/>
      <c r="CB85" s="445"/>
      <c r="CC85" s="702"/>
      <c r="CD85" s="445"/>
      <c r="CE85" s="972" t="str">
        <f>IFERROR(WWWW[[#This Row],['#_Water sources passed]]/WWWW[[#This Row],['#_Water sources tested for fecal coliform ]],"no test")</f>
        <v>no test</v>
      </c>
      <c r="CF85" s="970" t="str">
        <f>IFERROR(WWWW[[#This Row],['#_Household passed]]/WWWW[[#This Row],['#_Household water samples tested for fecal coliform]],"no test")</f>
        <v>no test</v>
      </c>
      <c r="CG85" s="971" t="str">
        <f>IF(AND(WWWW[[#This Row],[% of water sources passed]]="no test",WWWW[[#This Row],[% Household passed]]="no test"),"No Test","Tested")</f>
        <v>No Test</v>
      </c>
      <c r="CH85" s="971">
        <f>WWWW[[#This Row],['#_Constructed/existing protected hand dug well]]-WWWW[[#This Row],['#_Non-functional protected hand dug well]]</f>
        <v>1</v>
      </c>
      <c r="CI85" s="971">
        <f>(WWWW[[#This Row],['#_Constructed/Existing tube wells/boreholes/handpumps_WASH_agency]]+WWWW[[#This Row],['#_Non-Cluster partner water tube-wells/boreholes/handpumps]])-WWWW[[#This Row],['#_Non-functional tube wells/boreholes/handpumps]]</f>
        <v>3</v>
      </c>
      <c r="CJ85" s="971">
        <f>WWWW[[#This Row],['#_Constructed/Existingwater storage tank with gravity fed reticulation system]]-WWWW[[#This Row],['#_Non-functional storage tank gravity fed reticulation system]]</f>
        <v>0</v>
      </c>
      <c r="CK85" s="971">
        <f>(WWWW[[#This Row],['#_Water_Liters_supplied_by_Water boating or water trucking]]/90)/15</f>
        <v>0</v>
      </c>
      <c r="CL85" s="971">
        <f>WWWW[[#This Row],['#_Water_Liters_from_Constructed/Existing water distribution system from river or natural spring]]/90/15</f>
        <v>0</v>
      </c>
      <c r="CM85" s="421">
        <f>IF(WWWW[[#This Row],['#_of water points in TLS/CFS]]*500&gt;WWWW[[#This Row],[Total PoP ]],WWWW[[#This Row],[Total PoP ]],WWWW[[#This Row],['#_of water points in TLS/CFS]]*500)</f>
        <v>0</v>
      </c>
      <c r="CN85" s="421">
        <f>IF(WWWW[[#This Row],['#_of water points in THF]]*500&gt;WWWW[[#This Row],[Total PoP ]],WWWW[[#This Row],[Total PoP ]],WWWW[[#This Row],['#_of water points in THF]]*500)</f>
        <v>0</v>
      </c>
      <c r="CO85" s="421"/>
      <c r="CP8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5" s="970">
        <f>IF(WWWW[[#This Row],[Location Type 1]]="Village",WWWW[[#This Row],[Access to safe drinking water for Village]],WWWW[[#This Row],[Access to safe drinking water for Camp]])</f>
        <v>1</v>
      </c>
      <c r="CS85" s="968">
        <f>WWWW[[#This Row],[%Equitable and continuous access to sufficient quantity of safe drinking water]]*WWWW[[#This Row],[Total PoP ]]</f>
        <v>678</v>
      </c>
      <c r="CT85" s="970">
        <f>IF((WWWW[[#This Row],['#_Constructed/Existing protected/fenced ponds]]*250)/WWWW[[#This Row],[Total PoP ]]&gt;1,1,(WWWW[[#This Row],['#_Constructed/Existing protected/fenced ponds]]*250)/WWWW[[#This Row],[Total PoP ]])</f>
        <v>0</v>
      </c>
      <c r="CU85" s="968">
        <f>WWWW[[#This Row],[% Access to unimproved water points]]*WWWW[[#This Row],[Total PoP ]]</f>
        <v>0</v>
      </c>
      <c r="CV8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678</v>
      </c>
      <c r="CX85" s="968">
        <f>WWWW[[#This Row],[HRP1]]/500</f>
        <v>1.3560000000000001</v>
      </c>
      <c r="CY85" s="973">
        <f>1-WWWW[[#This Row],[% Equitable and continuous access to sufficient quantity of domestic water]]</f>
        <v>0</v>
      </c>
      <c r="CZ85" s="968">
        <f>WWWW[[#This Row],[%equitable and continuous access to sufficient quantity of safe drinking and domestic water''s GAP]]*WWWW[[#This Row],[Total PoP ]]</f>
        <v>0</v>
      </c>
      <c r="DA85" s="971">
        <f>IF(WWWW[[#This Row],[Total required water points]]-WWWW[[#This Row],['#Water points coverage]]&lt;0,0,WWWW[[#This Row],[Total required water points]]-WWWW[[#This Row],['#Water points coverage]])</f>
        <v>0</v>
      </c>
      <c r="DB85" s="971">
        <f>ROUND(IF(WWWW[[#This Row],[Total PoP ]]&lt;500,1,WWWW[[#This Row],[Total PoP ]]/500),0)</f>
        <v>1</v>
      </c>
      <c r="DC85" s="971">
        <f>(WWWW[[#This Row],['#_Constructed latrines_by_WASHAgencies]]+WWWW[[#This Row],['#_Non Cluster partner latrines]])-WWWW[[#This Row],['#_Non-functional latrines]]</f>
        <v>8</v>
      </c>
      <c r="DD85" s="619">
        <f>WWWW[[#This Row],[HRP2]]/WWWW[[#This Row],[Total PoP ]]</f>
        <v>0.2359882005899705</v>
      </c>
      <c r="DE8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8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5" s="421">
        <f>IF(WWWW[[#This Row],['# of functional latrines in THF supported by WASH partners during the reporting period2]]="",0,WWWW[[#This Row],['# of functional latrines in THF supported by WASH partners during the reporting period2]]*50)</f>
        <v>0</v>
      </c>
      <c r="DI85" s="971">
        <f>ROUND(IF(WWWW[[#This Row],[Location Type 1]]="camp",WWWW[[#This Row],[Total PoP ]]/20,IF(WWWW[[#This Row],[Location Type 1]]="Temporary Location",WWWW[[#This Row],[Total PoP ]]/50,(WWWW[[#This Row],[Total PoP ]]/6))),0)</f>
        <v>34</v>
      </c>
      <c r="DJ85" s="971">
        <f>IF(WWWW[[#This Row],[Total required Latrines]]-(WWWW[[#This Row],['#_Constructed latrines_by_WASHAgencies]]+WWWW[[#This Row],['#_Non Cluster partner latrines]])&lt;0,0,WWWW[[#This Row],[Total required Latrines]]-(WWWW[[#This Row],['#_Constructed latrines_by_WASHAgencies]]+WWWW[[#This Row],['#_Non Cluster partner latrines]]))</f>
        <v>26</v>
      </c>
      <c r="DK85" s="973">
        <f>1-WWWW[[#This Row],[% people access to functioning Latrine]]</f>
        <v>0.7640117994100295</v>
      </c>
      <c r="DL85" s="972">
        <f>IF(OR(WWWW[[#This Row],['#_Non-functional latrines]]="",WWWW[[#This Row],['#_Non-functional latrines]]=0),0,WWWW[[#This Row],['#_Non-functional latrines]]/(WWWW[[#This Row],['#_Constructed latrines_by_WASHAgencies]]+WWWW[[#This Row],['#_Non Cluster partner latrines]]))</f>
        <v>0</v>
      </c>
      <c r="DM85" s="968">
        <f>IF(500*(WWWW[[#This Row],['#_male hygiene promoters]]+WWWW[[#This Row],['#_female hygiene promoters]])&gt;WWWW[[#This Row],[Total PoP ]],WWWW[[#This Row],[Total PoP ]],500*(WWWW[[#This Row],['#_male hygiene promoters]]+WWWW[[#This Row],['#_female hygiene promoters]]))</f>
        <v>0</v>
      </c>
      <c r="DN8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5" s="971">
        <f>IF(WWWW[[#This Row],['# People with access to soap]]&gt;WWWW[[#This Row],['# People with access to Sanity Pads]],WWWW[[#This Row],['# People with access to soap]],WWWW[[#This Row],['# People with access to Sanity Pads]])</f>
        <v>0</v>
      </c>
      <c r="DQ8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5" s="973">
        <f>IF(WWWW[[#This Row],[HRP3]]/WWWW[[#This Row],[Total PoP ]]&gt;1,1,WWWW[[#This Row],[HRP3]]/WWWW[[#This Row],[Total PoP ]])</f>
        <v>0</v>
      </c>
      <c r="DS85" s="972">
        <f>1-WWWW[[#This Row],[Hygiene Coverage%]]</f>
        <v>1</v>
      </c>
      <c r="DT85" s="970">
        <f>WWWW[[#This Row],['# people reached by regular dedicated hygiene promotion_5]]/WWWW[[#This Row],[Total PoP ]]</f>
        <v>0</v>
      </c>
      <c r="DU8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5" s="971">
        <f>WWWW[[#This Row],['#_Constructed/Existing hand washing stations]]-WWWW[[#This Row],['#_Non-Functional_hand_washing_stations]]</f>
        <v>3</v>
      </c>
      <c r="DX85" s="968">
        <f>IF(WWWW[[#This Row],['# Functional hand washing stations during reporting period]]*20&gt;WWWW[[#This Row],[Total HH]],WWWW[[#This Row],[Total HH]],WWWW[[#This Row],['# Functional hand washing stations during reporting period]]*20)</f>
        <v>60</v>
      </c>
      <c r="DY85" s="968">
        <f>IF(WWWW[[#This Row],[Is sufficient soap available for TLS? (Yes/No)]]="yes",WWWW[[#This Row],['#_Constructed/Existing hand washing stations at TLS/CFS/THF]],0)</f>
        <v>0</v>
      </c>
      <c r="DZ85" s="425">
        <f>IF(WWWW[[#This Row],['# Functional hand washing stations during reporting period]]*100&gt;WWWW[[#This Row],[Total PoP ]],WWWW[[#This Row],[Total PoP ]],WWWW[[#This Row],['# Functional hand washing stations during reporting period]]*100)</f>
        <v>300</v>
      </c>
      <c r="EA85" s="425" t="str">
        <f>IF(OR(WWWW[[#This Row],['#_students at TLS_CFS]]="",WWWW[[#This Row],['#_students at TLS_CFS]]=0),"No","Yes")</f>
        <v>No</v>
      </c>
      <c r="EB8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5" s="570">
        <f>WWWW[[#This Row],[%_of_affected_people_surveyed_who_report_feeling_satistfied_with_the_latrine_design_and_sanitation_service]]*WWWW[[#This Row],[Total PoP ]]</f>
        <v>0</v>
      </c>
      <c r="ED85" s="570">
        <f>WWWW[[#This Row],[%_of_affected_people_surveyed_who_report_feeling_satistfied_with_the_water_point_design_and_water_service]]*WWWW[[#This Row],[Total PoP ]]</f>
        <v>0</v>
      </c>
      <c r="EE85" s="570">
        <f>WWWW[[#This Row],[%_of_complaints_received_that_result_in_timely_corrective_action_and_feedback_to_the_community]]*WWWW[[#This Row],[Total PoP ]]</f>
        <v>0</v>
      </c>
      <c r="EF8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5" s="964" t="str">
        <f>VLOOKUP(WWWW[[#This Row],[Site Name]],SiteDB6[[Site Name]:[CCCM Management]],6,FALSE)</f>
        <v>Yes</v>
      </c>
      <c r="EJ85" s="964" t="str">
        <f>VLOOKUP(WWWW[[#This Row],[Site Name]],SiteDB6[[Site Name]:[CCCM Focal Agency]],7,FALSE)</f>
        <v>KBC-MYT</v>
      </c>
      <c r="EK85" s="964" t="str">
        <f>VLOOKUP(WWWW[[#This Row],[Site Name]],SiteDB6[[Site Name]:[Location Type 1]],9,FALSE)</f>
        <v>Camp</v>
      </c>
      <c r="EL85" s="964" t="str">
        <f>VLOOKUP(WWWW[[#This Row],[Site Name]],SiteDB6[[Site Name]:[Type of Accommodation]],10,FALSE)</f>
        <v>Camp</v>
      </c>
      <c r="EM85" s="964" t="str">
        <f>VLOOKUP(WWWW[[#This Row],[Site Name]],SiteDB6[[Site Name]:[Ethnic or GCA/NGCA]],11,FALSE)</f>
        <v>GCA</v>
      </c>
      <c r="EN85" s="964">
        <f>VLOOKUP(WWWW[[#This Row],[Site Name]],SiteDB6[[Site Name]:[Lat]],12,FALSE)</f>
        <v>25.362420757575801</v>
      </c>
      <c r="EO85" s="964">
        <f>VLOOKUP(WWWW[[#This Row],[Site Name]],SiteDB6[[Site Name]:[Long]],13,FALSE)</f>
        <v>97.409035000000003</v>
      </c>
      <c r="EP85" s="964" t="str">
        <f>VLOOKUP(WWWW[[#This Row],[Site Name]],SiteDB6[[Site Name]:[Pcode]],3,FALSE)</f>
        <v>MMR001CMP015</v>
      </c>
      <c r="EQ85" s="969" t="str">
        <f t="shared" si="2"/>
        <v>Covered</v>
      </c>
      <c r="ER85" s="969" t="s">
        <v>3147</v>
      </c>
      <c r="ES85" s="964">
        <f>VLOOKUP(WWWW[[#This Row],[Site Name]],SiteDB6[[Site Name]:[Pop
(Kachin/Shan-CCCM as of March 2023)]],16,FALSE)</f>
        <v>134</v>
      </c>
      <c r="ET85" s="964">
        <f>VLOOKUP(WWWW[[#This Row],[Site Name]],SiteDB6[[Site Name]:[Pop
(Kachin/Shan-CCCM as of March 2023)]],17,FALSE)</f>
        <v>686</v>
      </c>
    </row>
    <row r="86" spans="1:150" hidden="1">
      <c r="A86" s="962" t="s">
        <v>2977</v>
      </c>
      <c r="B86" s="962" t="s">
        <v>2649</v>
      </c>
      <c r="C86" s="963" t="s">
        <v>2649</v>
      </c>
      <c r="D86" s="963" t="s">
        <v>2683</v>
      </c>
      <c r="E86" s="963" t="s">
        <v>37</v>
      </c>
      <c r="F86" s="963" t="s">
        <v>587</v>
      </c>
      <c r="G86" s="964" t="str">
        <f>VLOOKUP(WWWW[[#This Row],[Site Name]],SiteDB6[[Site Name]:[Location Type]],8,FALSE)</f>
        <v>Camp</v>
      </c>
      <c r="H86" s="963" t="s">
        <v>2658</v>
      </c>
      <c r="I86" s="965">
        <v>126</v>
      </c>
      <c r="J86" s="965">
        <v>591</v>
      </c>
      <c r="K86" s="966">
        <v>44562</v>
      </c>
      <c r="L86" s="967">
        <v>44926</v>
      </c>
      <c r="M86" s="965"/>
      <c r="N86" s="965"/>
      <c r="O86" s="965"/>
      <c r="P86" s="965"/>
      <c r="Q86" s="968" t="s">
        <v>41</v>
      </c>
      <c r="R86" s="965">
        <v>4</v>
      </c>
      <c r="S86" s="965">
        <v>3</v>
      </c>
      <c r="T86" s="445">
        <v>1</v>
      </c>
      <c r="U86" s="965"/>
      <c r="V86" s="965"/>
      <c r="W86" s="965">
        <v>2</v>
      </c>
      <c r="X86" s="965"/>
      <c r="Y86" s="965"/>
      <c r="Z86" s="965"/>
      <c r="AA86" s="965">
        <v>1</v>
      </c>
      <c r="AB86" s="965"/>
      <c r="AC86" s="965"/>
      <c r="AD86" s="965"/>
      <c r="AE86" s="965"/>
      <c r="AF86" s="965"/>
      <c r="AG86" s="965">
        <v>1</v>
      </c>
      <c r="AH86" s="965"/>
      <c r="AI86" s="965"/>
      <c r="AJ86" s="965"/>
      <c r="AK86" s="965"/>
      <c r="AL86" s="965"/>
      <c r="AM86" s="965"/>
      <c r="AN86" s="965"/>
      <c r="AO86" s="445"/>
      <c r="AP86" s="969"/>
      <c r="AQ86" s="965">
        <v>48</v>
      </c>
      <c r="AR86" s="965">
        <v>12</v>
      </c>
      <c r="AS86" s="970"/>
      <c r="AT86" s="965"/>
      <c r="AU86" s="965"/>
      <c r="AV86" s="965"/>
      <c r="AW86" s="965"/>
      <c r="AX86" s="965"/>
      <c r="AY86" s="964" t="s">
        <v>41</v>
      </c>
      <c r="AZ86" s="969" t="s">
        <v>137</v>
      </c>
      <c r="BA86" s="965"/>
      <c r="BB86" s="965"/>
      <c r="BC86" s="965"/>
      <c r="BD86" s="445"/>
      <c r="BE86" s="445">
        <v>19</v>
      </c>
      <c r="BF86" s="964"/>
      <c r="BG86" s="965">
        <v>108</v>
      </c>
      <c r="BH86" s="965"/>
      <c r="BI86" s="965"/>
      <c r="BJ86" s="965">
        <v>108</v>
      </c>
      <c r="BK86" s="965"/>
      <c r="BL86" s="965">
        <v>1</v>
      </c>
      <c r="BM86" s="965">
        <v>1</v>
      </c>
      <c r="BN86" s="965"/>
      <c r="BO86" s="965"/>
      <c r="BP86" s="964" t="s">
        <v>136</v>
      </c>
      <c r="BQ86" s="971"/>
      <c r="BR86" s="970"/>
      <c r="BS86" s="964"/>
      <c r="BT86" s="420"/>
      <c r="BU86" s="420"/>
      <c r="BV86" s="422"/>
      <c r="BW86" s="420"/>
      <c r="BX86" s="445"/>
      <c r="BY86" s="445"/>
      <c r="BZ86" s="445"/>
      <c r="CA86" s="445"/>
      <c r="CB86" s="445"/>
      <c r="CC86" s="702"/>
      <c r="CD86" s="445"/>
      <c r="CE86" s="972" t="str">
        <f>IFERROR(WWWW[[#This Row],['#_Water sources passed]]/WWWW[[#This Row],['#_Water sources tested for fecal coliform ]],"no test")</f>
        <v>no test</v>
      </c>
      <c r="CF86" s="970" t="str">
        <f>IFERROR(WWWW[[#This Row],['#_Household passed]]/WWWW[[#This Row],['#_Household water samples tested for fecal coliform]],"no test")</f>
        <v>no test</v>
      </c>
      <c r="CG86" s="971" t="str">
        <f>IF(AND(WWWW[[#This Row],[% of water sources passed]]="no test",WWWW[[#This Row],[% Household passed]]="no test"),"No Test","Tested")</f>
        <v>No Test</v>
      </c>
      <c r="CH86" s="971">
        <f>WWWW[[#This Row],['#_Constructed/existing protected hand dug well]]-WWWW[[#This Row],['#_Non-functional protected hand dug well]]</f>
        <v>1</v>
      </c>
      <c r="CI86" s="971">
        <f>(WWWW[[#This Row],['#_Constructed/Existing tube wells/boreholes/handpumps_WASH_agency]]+WWWW[[#This Row],['#_Non-Cluster partner water tube-wells/boreholes/handpumps]])-WWWW[[#This Row],['#_Non-functional tube wells/boreholes/handpumps]]</f>
        <v>2</v>
      </c>
      <c r="CJ86" s="971">
        <f>WWWW[[#This Row],['#_Constructed/Existingwater storage tank with gravity fed reticulation system]]-WWWW[[#This Row],['#_Non-functional storage tank gravity fed reticulation system]]</f>
        <v>1</v>
      </c>
      <c r="CK86" s="971">
        <f>(WWWW[[#This Row],['#_Water_Liters_supplied_by_Water boating or water trucking]]/90)/15</f>
        <v>0</v>
      </c>
      <c r="CL86" s="971">
        <f>WWWW[[#This Row],['#_Water_Liters_from_Constructed/Existing water distribution system from river or natural spring]]/90/15</f>
        <v>0</v>
      </c>
      <c r="CM86" s="421">
        <f>IF(WWWW[[#This Row],['#_of water points in TLS/CFS]]*500&gt;WWWW[[#This Row],[Total PoP ]],WWWW[[#This Row],[Total PoP ]],WWWW[[#This Row],['#_of water points in TLS/CFS]]*500)</f>
        <v>0</v>
      </c>
      <c r="CN86" s="421">
        <f>IF(WWWW[[#This Row],['#_of water points in THF]]*500&gt;WWWW[[#This Row],[Total PoP ]],WWWW[[#This Row],[Total PoP ]],WWWW[[#This Row],['#_of water points in THF]]*500)</f>
        <v>0</v>
      </c>
      <c r="CO86" s="421"/>
      <c r="CP8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6" s="970">
        <f>IF(WWWW[[#This Row],[Location Type 1]]="Village",WWWW[[#This Row],[Access to safe drinking water for Village]],WWWW[[#This Row],[Access to safe drinking water for Camp]])</f>
        <v>1</v>
      </c>
      <c r="CS86" s="968">
        <f>WWWW[[#This Row],[%Equitable and continuous access to sufficient quantity of safe drinking water]]*WWWW[[#This Row],[Total PoP ]]</f>
        <v>591</v>
      </c>
      <c r="CT86" s="970">
        <f>IF((WWWW[[#This Row],['#_Constructed/Existing protected/fenced ponds]]*250)/WWWW[[#This Row],[Total PoP ]]&gt;1,1,(WWWW[[#This Row],['#_Constructed/Existing protected/fenced ponds]]*250)/WWWW[[#This Row],[Total PoP ]])</f>
        <v>0</v>
      </c>
      <c r="CU86" s="968">
        <f>WWWW[[#This Row],[% Access to unimproved water points]]*WWWW[[#This Row],[Total PoP ]]</f>
        <v>0</v>
      </c>
      <c r="CV8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X86" s="968">
        <f>WWWW[[#This Row],[HRP1]]/500</f>
        <v>1.1819999999999999</v>
      </c>
      <c r="CY86" s="973">
        <f>1-WWWW[[#This Row],[% Equitable and continuous access to sufficient quantity of domestic water]]</f>
        <v>0</v>
      </c>
      <c r="CZ86" s="968">
        <f>WWWW[[#This Row],[%equitable and continuous access to sufficient quantity of safe drinking and domestic water''s GAP]]*WWWW[[#This Row],[Total PoP ]]</f>
        <v>0</v>
      </c>
      <c r="DA86" s="971">
        <f>IF(WWWW[[#This Row],[Total required water points]]-WWWW[[#This Row],['#Water points coverage]]&lt;0,0,WWWW[[#This Row],[Total required water points]]-WWWW[[#This Row],['#Water points coverage]])</f>
        <v>0</v>
      </c>
      <c r="DB86" s="971">
        <f>ROUND(IF(WWWW[[#This Row],[Total PoP ]]&lt;500,1,WWWW[[#This Row],[Total PoP ]]/500),0)</f>
        <v>1</v>
      </c>
      <c r="DC86" s="971">
        <f>(WWWW[[#This Row],['#_Constructed latrines_by_WASHAgencies]]+WWWW[[#This Row],['#_Non Cluster partner latrines]])-WWWW[[#This Row],['#_Non-functional latrines]]</f>
        <v>60</v>
      </c>
      <c r="DD86" s="619">
        <f>WWWW[[#This Row],[HRP2]]/WWWW[[#This Row],[Total PoP ]]</f>
        <v>1</v>
      </c>
      <c r="DE8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591</v>
      </c>
      <c r="DF8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6" s="421">
        <f>IF(WWWW[[#This Row],['# of functional latrines in THF supported by WASH partners during the reporting period2]]="",0,WWWW[[#This Row],['# of functional latrines in THF supported by WASH partners during the reporting period2]]*50)</f>
        <v>0</v>
      </c>
      <c r="DI86" s="971">
        <f>ROUND(IF(WWWW[[#This Row],[Location Type 1]]="camp",WWWW[[#This Row],[Total PoP ]]/20,IF(WWWW[[#This Row],[Location Type 1]]="Temporary Location",WWWW[[#This Row],[Total PoP ]]/50,(WWWW[[#This Row],[Total PoP ]]/6))),0)</f>
        <v>30</v>
      </c>
      <c r="DJ86" s="971">
        <f>IF(WWWW[[#This Row],[Total required Latrines]]-(WWWW[[#This Row],['#_Constructed latrines_by_WASHAgencies]]+WWWW[[#This Row],['#_Non Cluster partner latrines]])&lt;0,0,WWWW[[#This Row],[Total required Latrines]]-(WWWW[[#This Row],['#_Constructed latrines_by_WASHAgencies]]+WWWW[[#This Row],['#_Non Cluster partner latrines]]))</f>
        <v>0</v>
      </c>
      <c r="DK86" s="973">
        <f>1-WWWW[[#This Row],[% people access to functioning Latrine]]</f>
        <v>0</v>
      </c>
      <c r="DL86" s="972">
        <f>IF(OR(WWWW[[#This Row],['#_Non-functional latrines]]="",WWWW[[#This Row],['#_Non-functional latrines]]=0),0,WWWW[[#This Row],['#_Non-functional latrines]]/(WWWW[[#This Row],['#_Constructed latrines_by_WASHAgencies]]+WWWW[[#This Row],['#_Non Cluster partner latrines]]))</f>
        <v>0</v>
      </c>
      <c r="DM86" s="968">
        <f>IF(500*(WWWW[[#This Row],['#_male hygiene promoters]]+WWWW[[#This Row],['#_female hygiene promoters]])&gt;WWWW[[#This Row],[Total PoP ]],WWWW[[#This Row],[Total PoP ]],500*(WWWW[[#This Row],['#_male hygiene promoters]]+WWWW[[#This Row],['#_female hygiene promoters]]))</f>
        <v>591</v>
      </c>
      <c r="DN8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6" s="971">
        <f>IF(WWWW[[#This Row],['# People with access to soap]]&gt;WWWW[[#This Row],['# People with access to Sanity Pads]],WWWW[[#This Row],['# People with access to soap]],WWWW[[#This Row],['# People with access to Sanity Pads]])</f>
        <v>0</v>
      </c>
      <c r="DQ86" s="971">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R86" s="973">
        <f>IF(WWWW[[#This Row],[HRP3]]/WWWW[[#This Row],[Total PoP ]]&gt;1,1,WWWW[[#This Row],[HRP3]]/WWWW[[#This Row],[Total PoP ]])</f>
        <v>1</v>
      </c>
      <c r="DS86" s="972">
        <f>1-WWWW[[#This Row],[Hygiene Coverage%]]</f>
        <v>0</v>
      </c>
      <c r="DT86" s="970">
        <f>WWWW[[#This Row],['# people reached by regular dedicated hygiene promotion_5]]/WWWW[[#This Row],[Total PoP ]]</f>
        <v>1</v>
      </c>
      <c r="DU8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6" s="971">
        <f>WWWW[[#This Row],['#_Constructed/Existing hand washing stations]]-WWWW[[#This Row],['#_Non-Functional_hand_washing_stations]]</f>
        <v>108</v>
      </c>
      <c r="DX86" s="968">
        <f>IF(WWWW[[#This Row],['# Functional hand washing stations during reporting period]]*20&gt;WWWW[[#This Row],[Total HH]],WWWW[[#This Row],[Total HH]],WWWW[[#This Row],['# Functional hand washing stations during reporting period]]*20)</f>
        <v>126</v>
      </c>
      <c r="DY86" s="968">
        <f>IF(WWWW[[#This Row],[Is sufficient soap available for TLS? (Yes/No)]]="yes",WWWW[[#This Row],['#_Constructed/Existing hand washing stations at TLS/CFS/THF]],0)</f>
        <v>0</v>
      </c>
      <c r="DZ86" s="425">
        <f>IF(WWWW[[#This Row],['# Functional hand washing stations during reporting period]]*100&gt;WWWW[[#This Row],[Total PoP ]],WWWW[[#This Row],[Total PoP ]],WWWW[[#This Row],['# Functional hand washing stations during reporting period]]*100)</f>
        <v>591</v>
      </c>
      <c r="EA86" s="425" t="str">
        <f>IF(OR(WWWW[[#This Row],['#_students at TLS_CFS]]="",WWWW[[#This Row],['#_students at TLS_CFS]]=0),"No","Yes")</f>
        <v>No</v>
      </c>
      <c r="EB8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6" s="570">
        <f>WWWW[[#This Row],[%_of_affected_people_surveyed_who_report_feeling_satistfied_with_the_latrine_design_and_sanitation_service]]*WWWW[[#This Row],[Total PoP ]]</f>
        <v>0</v>
      </c>
      <c r="ED86" s="570">
        <f>WWWW[[#This Row],[%_of_affected_people_surveyed_who_report_feeling_satistfied_with_the_water_point_design_and_water_service]]*WWWW[[#This Row],[Total PoP ]]</f>
        <v>0</v>
      </c>
      <c r="EE86" s="570">
        <f>WWWW[[#This Row],[%_of_complaints_received_that_result_in_timely_corrective_action_and_feedback_to_the_community]]*WWWW[[#This Row],[Total PoP ]]</f>
        <v>0</v>
      </c>
      <c r="EF8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6" s="964" t="str">
        <f>VLOOKUP(WWWW[[#This Row],[Site Name]],SiteDB6[[Site Name]:[CCCM Management]],6,FALSE)</f>
        <v>Yes</v>
      </c>
      <c r="EJ86" s="964" t="str">
        <f>VLOOKUP(WWWW[[#This Row],[Site Name]],SiteDB6[[Site Name]:[CCCM Focal Agency]],7,FALSE)</f>
        <v>STW/KMSS-MYT</v>
      </c>
      <c r="EK86" s="964" t="str">
        <f>VLOOKUP(WWWW[[#This Row],[Site Name]],SiteDB6[[Site Name]:[Location Type 1]],9,FALSE)</f>
        <v>Camp</v>
      </c>
      <c r="EL86" s="964" t="str">
        <f>VLOOKUP(WWWW[[#This Row],[Site Name]],SiteDB6[[Site Name]:[Type of Accommodation]],10,FALSE)</f>
        <v>Camp</v>
      </c>
      <c r="EM86" s="964" t="str">
        <f>VLOOKUP(WWWW[[#This Row],[Site Name]],SiteDB6[[Site Name]:[Ethnic or GCA/NGCA]],11,FALSE)</f>
        <v>NGCA</v>
      </c>
      <c r="EN86" s="964">
        <f>VLOOKUP(WWWW[[#This Row],[Site Name]],SiteDB6[[Site Name]:[Lat]],12,FALSE)</f>
        <v>26.007408000000002</v>
      </c>
      <c r="EO86" s="964">
        <f>VLOOKUP(WWWW[[#This Row],[Site Name]],SiteDB6[[Site Name]:[Long]],13,FALSE)</f>
        <v>97.823777000000007</v>
      </c>
      <c r="EP86" s="964" t="str">
        <f>VLOOKUP(WWWW[[#This Row],[Site Name]],SiteDB6[[Site Name]:[Pcode]],3,FALSE)</f>
        <v>MMR001CMP280</v>
      </c>
      <c r="EQ86" s="969" t="str">
        <f t="shared" si="2"/>
        <v>Covered</v>
      </c>
      <c r="ER86" s="969" t="s">
        <v>136</v>
      </c>
      <c r="ES86" s="964">
        <f>VLOOKUP(WWWW[[#This Row],[Site Name]],SiteDB6[[Site Name]:[Pop
(Kachin/Shan-CCCM as of March 2023)]],16,FALSE)</f>
        <v>120</v>
      </c>
      <c r="ET86" s="964">
        <f>VLOOKUP(WWWW[[#This Row],[Site Name]],SiteDB6[[Site Name]:[Pop
(Kachin/Shan-CCCM as of March 2023)]],17,FALSE)</f>
        <v>566</v>
      </c>
    </row>
    <row r="87" spans="1:150">
      <c r="A87" s="962" t="s">
        <v>2977</v>
      </c>
      <c r="B87" s="962" t="s">
        <v>309</v>
      </c>
      <c r="C87" s="963" t="s">
        <v>309</v>
      </c>
      <c r="D87" s="963"/>
      <c r="E87" s="963" t="s">
        <v>37</v>
      </c>
      <c r="F87" s="963" t="s">
        <v>195</v>
      </c>
      <c r="G87" s="964" t="str">
        <f>VLOOKUP(WWWW[[#This Row],[Site Name]],SiteDB6[[Site Name]:[Location Type]],8,FALSE)</f>
        <v>Camp</v>
      </c>
      <c r="H87" s="963" t="s">
        <v>2895</v>
      </c>
      <c r="I87" s="965">
        <v>12</v>
      </c>
      <c r="J87" s="965">
        <v>60</v>
      </c>
      <c r="K87" s="966"/>
      <c r="L87" s="967"/>
      <c r="M87" s="965"/>
      <c r="N87" s="965"/>
      <c r="O87" s="965"/>
      <c r="P87" s="965"/>
      <c r="Q87" s="968"/>
      <c r="R87" s="965"/>
      <c r="S87" s="965"/>
      <c r="T87" s="445"/>
      <c r="U87" s="965"/>
      <c r="V87" s="965"/>
      <c r="W87" s="965"/>
      <c r="X87" s="965"/>
      <c r="Y87" s="965"/>
      <c r="Z87" s="965"/>
      <c r="AA87" s="965"/>
      <c r="AB87" s="965"/>
      <c r="AC87" s="965"/>
      <c r="AD87" s="965"/>
      <c r="AE87" s="965"/>
      <c r="AF87" s="965"/>
      <c r="AG87" s="965"/>
      <c r="AH87" s="965"/>
      <c r="AI87" s="965"/>
      <c r="AJ87" s="965"/>
      <c r="AK87" s="965"/>
      <c r="AL87" s="965"/>
      <c r="AM87" s="965"/>
      <c r="AN87" s="965"/>
      <c r="AO87" s="445"/>
      <c r="AP87" s="969"/>
      <c r="AQ87" s="965"/>
      <c r="AR87" s="965"/>
      <c r="AS87" s="970"/>
      <c r="AT87" s="965"/>
      <c r="AU87" s="965"/>
      <c r="AV87" s="965"/>
      <c r="AW87" s="965"/>
      <c r="AX87" s="965"/>
      <c r="AY87" s="964" t="s">
        <v>140</v>
      </c>
      <c r="AZ87" s="969" t="s">
        <v>140</v>
      </c>
      <c r="BA87" s="965"/>
      <c r="BB87" s="965"/>
      <c r="BC87" s="965"/>
      <c r="BD87" s="445"/>
      <c r="BE87" s="445"/>
      <c r="BF87" s="964"/>
      <c r="BG87" s="965">
        <v>1</v>
      </c>
      <c r="BH87" s="965"/>
      <c r="BI87" s="965"/>
      <c r="BJ87" s="965">
        <v>1</v>
      </c>
      <c r="BK87" s="965"/>
      <c r="BL87" s="965"/>
      <c r="BM87" s="965"/>
      <c r="BN87" s="965"/>
      <c r="BO87" s="965"/>
      <c r="BP87" s="964"/>
      <c r="BQ87" s="971"/>
      <c r="BR87" s="970"/>
      <c r="BS87" s="964"/>
      <c r="BT87" s="420"/>
      <c r="BU87" s="420"/>
      <c r="BV87" s="422"/>
      <c r="BW87" s="420"/>
      <c r="BX87" s="445"/>
      <c r="BY87" s="445"/>
      <c r="BZ87" s="445"/>
      <c r="CA87" s="445"/>
      <c r="CB87" s="445"/>
      <c r="CC87" s="702"/>
      <c r="CD87" s="445"/>
      <c r="CE87" s="972" t="str">
        <f>IFERROR(WWWW[[#This Row],['#_Water sources passed]]/WWWW[[#This Row],['#_Water sources tested for fecal coliform ]],"no test")</f>
        <v>no test</v>
      </c>
      <c r="CF87" s="970" t="str">
        <f>IFERROR(WWWW[[#This Row],['#_Household passed]]/WWWW[[#This Row],['#_Household water samples tested for fecal coliform]],"no test")</f>
        <v>no test</v>
      </c>
      <c r="CG87" s="971" t="str">
        <f>IF(AND(WWWW[[#This Row],[% of water sources passed]]="no test",WWWW[[#This Row],[% Household passed]]="no test"),"No Test","Tested")</f>
        <v>No Test</v>
      </c>
      <c r="CH87" s="971">
        <f>WWWW[[#This Row],['#_Constructed/existing protected hand dug well]]-WWWW[[#This Row],['#_Non-functional protected hand dug well]]</f>
        <v>0</v>
      </c>
      <c r="CI87" s="971">
        <f>(WWWW[[#This Row],['#_Constructed/Existing tube wells/boreholes/handpumps_WASH_agency]]+WWWW[[#This Row],['#_Non-Cluster partner water tube-wells/boreholes/handpumps]])-WWWW[[#This Row],['#_Non-functional tube wells/boreholes/handpumps]]</f>
        <v>0</v>
      </c>
      <c r="CJ87" s="971">
        <f>WWWW[[#This Row],['#_Constructed/Existingwater storage tank with gravity fed reticulation system]]-WWWW[[#This Row],['#_Non-functional storage tank gravity fed reticulation system]]</f>
        <v>0</v>
      </c>
      <c r="CK87" s="971">
        <f>(WWWW[[#This Row],['#_Water_Liters_supplied_by_Water boating or water trucking]]/90)/15</f>
        <v>0</v>
      </c>
      <c r="CL87" s="971">
        <f>WWWW[[#This Row],['#_Water_Liters_from_Constructed/Existing water distribution system from river or natural spring]]/90/15</f>
        <v>0</v>
      </c>
      <c r="CM87" s="421">
        <f>IF(WWWW[[#This Row],['#_of water points in TLS/CFS]]*500&gt;WWWW[[#This Row],[Total PoP ]],WWWW[[#This Row],[Total PoP ]],WWWW[[#This Row],['#_of water points in TLS/CFS]]*500)</f>
        <v>0</v>
      </c>
      <c r="CN87" s="421">
        <f>IF(WWWW[[#This Row],['#_of water points in THF]]*500&gt;WWWW[[#This Row],[Total PoP ]],WWWW[[#This Row],[Total PoP ]],WWWW[[#This Row],['#_of water points in THF]]*500)</f>
        <v>0</v>
      </c>
      <c r="CO87" s="421"/>
      <c r="CP8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8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87" s="970">
        <f>IF(WWWW[[#This Row],[Location Type 1]]="Village",WWWW[[#This Row],[Access to safe drinking water for Village]],WWWW[[#This Row],[Access to safe drinking water for Camp]])</f>
        <v>0</v>
      </c>
      <c r="CS87" s="968">
        <f>WWWW[[#This Row],[%Equitable and continuous access to sufficient quantity of safe drinking water]]*WWWW[[#This Row],[Total PoP ]]</f>
        <v>0</v>
      </c>
      <c r="CT87" s="970">
        <f>IF((WWWW[[#This Row],['#_Constructed/Existing protected/fenced ponds]]*250)/WWWW[[#This Row],[Total PoP ]]&gt;1,1,(WWWW[[#This Row],['#_Constructed/Existing protected/fenced ponds]]*250)/WWWW[[#This Row],[Total PoP ]])</f>
        <v>0</v>
      </c>
      <c r="CU87" s="968">
        <f>WWWW[[#This Row],[% Access to unimproved water points]]*WWWW[[#This Row],[Total PoP ]]</f>
        <v>0</v>
      </c>
      <c r="CV8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8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87" s="968">
        <f>WWWW[[#This Row],[HRP1]]/500</f>
        <v>0</v>
      </c>
      <c r="CY87" s="973">
        <f>1-WWWW[[#This Row],[% Equitable and continuous access to sufficient quantity of domestic water]]</f>
        <v>1</v>
      </c>
      <c r="CZ87" s="968">
        <f>WWWW[[#This Row],[%equitable and continuous access to sufficient quantity of safe drinking and domestic water''s GAP]]*WWWW[[#This Row],[Total PoP ]]</f>
        <v>60</v>
      </c>
      <c r="DA87" s="971">
        <f>IF(WWWW[[#This Row],[Total required water points]]-WWWW[[#This Row],['#Water points coverage]]&lt;0,0,WWWW[[#This Row],[Total required water points]]-WWWW[[#This Row],['#Water points coverage]])</f>
        <v>1</v>
      </c>
      <c r="DB87" s="971">
        <f>ROUND(IF(WWWW[[#This Row],[Total PoP ]]&lt;500,1,WWWW[[#This Row],[Total PoP ]]/500),0)</f>
        <v>1</v>
      </c>
      <c r="DC87" s="971">
        <f>(WWWW[[#This Row],['#_Constructed latrines_by_WASHAgencies]]+WWWW[[#This Row],['#_Non Cluster partner latrines]])-WWWW[[#This Row],['#_Non-functional latrines]]</f>
        <v>0</v>
      </c>
      <c r="DD87" s="619">
        <f>WWWW[[#This Row],[HRP2]]/WWWW[[#This Row],[Total PoP ]]</f>
        <v>0</v>
      </c>
      <c r="DE8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8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7" s="421">
        <f>IF(WWWW[[#This Row],['# of functional latrines in THF supported by WASH partners during the reporting period2]]="",0,WWWW[[#This Row],['# of functional latrines in THF supported by WASH partners during the reporting period2]]*50)</f>
        <v>0</v>
      </c>
      <c r="DI87" s="971">
        <f>ROUND(IF(WWWW[[#This Row],[Location Type 1]]="camp",WWWW[[#This Row],[Total PoP ]]/20,IF(WWWW[[#This Row],[Location Type 1]]="Temporary Location",WWWW[[#This Row],[Total PoP ]]/50,(WWWW[[#This Row],[Total PoP ]]/6))),0)</f>
        <v>3</v>
      </c>
      <c r="DJ87" s="971">
        <f>IF(WWWW[[#This Row],[Total required Latrines]]-(WWWW[[#This Row],['#_Constructed latrines_by_WASHAgencies]]+WWWW[[#This Row],['#_Non Cluster partner latrines]])&lt;0,0,WWWW[[#This Row],[Total required Latrines]]-(WWWW[[#This Row],['#_Constructed latrines_by_WASHAgencies]]+WWWW[[#This Row],['#_Non Cluster partner latrines]]))</f>
        <v>3</v>
      </c>
      <c r="DK87" s="973">
        <f>1-WWWW[[#This Row],[% people access to functioning Latrine]]</f>
        <v>1</v>
      </c>
      <c r="DL87" s="972">
        <f>IF(OR(WWWW[[#This Row],['#_Non-functional latrines]]="",WWWW[[#This Row],['#_Non-functional latrines]]=0),0,WWWW[[#This Row],['#_Non-functional latrines]]/(WWWW[[#This Row],['#_Constructed latrines_by_WASHAgencies]]+WWWW[[#This Row],['#_Non Cluster partner latrines]]))</f>
        <v>0</v>
      </c>
      <c r="DM87" s="968">
        <f>IF(500*(WWWW[[#This Row],['#_male hygiene promoters]]+WWWW[[#This Row],['#_female hygiene promoters]])&gt;WWWW[[#This Row],[Total PoP ]],WWWW[[#This Row],[Total PoP ]],500*(WWWW[[#This Row],['#_male hygiene promoters]]+WWWW[[#This Row],['#_female hygiene promoters]]))</f>
        <v>0</v>
      </c>
      <c r="DN8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7" s="971">
        <f>IF(WWWW[[#This Row],['# People with access to soap]]&gt;WWWW[[#This Row],['# People with access to Sanity Pads]],WWWW[[#This Row],['# People with access to soap]],WWWW[[#This Row],['# People with access to Sanity Pads]])</f>
        <v>0</v>
      </c>
      <c r="DQ8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7" s="973">
        <f>IF(WWWW[[#This Row],[HRP3]]/WWWW[[#This Row],[Total PoP ]]&gt;1,1,WWWW[[#This Row],[HRP3]]/WWWW[[#This Row],[Total PoP ]])</f>
        <v>0</v>
      </c>
      <c r="DS87" s="972">
        <f>1-WWWW[[#This Row],[Hygiene Coverage%]]</f>
        <v>1</v>
      </c>
      <c r="DT87" s="970">
        <f>WWWW[[#This Row],['# people reached by regular dedicated hygiene promotion_5]]/WWWW[[#This Row],[Total PoP ]]</f>
        <v>0</v>
      </c>
      <c r="DU8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7" s="971">
        <f>WWWW[[#This Row],['#_Constructed/Existing hand washing stations]]-WWWW[[#This Row],['#_Non-Functional_hand_washing_stations]]</f>
        <v>1</v>
      </c>
      <c r="DX87" s="968">
        <f>IF(WWWW[[#This Row],['# Functional hand washing stations during reporting period]]*20&gt;WWWW[[#This Row],[Total HH]],WWWW[[#This Row],[Total HH]],WWWW[[#This Row],['# Functional hand washing stations during reporting period]]*20)</f>
        <v>12</v>
      </c>
      <c r="DY87" s="968">
        <f>IF(WWWW[[#This Row],[Is sufficient soap available for TLS? (Yes/No)]]="yes",WWWW[[#This Row],['#_Constructed/Existing hand washing stations at TLS/CFS/THF]],0)</f>
        <v>0</v>
      </c>
      <c r="DZ87" s="425">
        <f>IF(WWWW[[#This Row],['# Functional hand washing stations during reporting period]]*100&gt;WWWW[[#This Row],[Total PoP ]],WWWW[[#This Row],[Total PoP ]],WWWW[[#This Row],['# Functional hand washing stations during reporting period]]*100)</f>
        <v>60</v>
      </c>
      <c r="EA87" s="425" t="str">
        <f>IF(OR(WWWW[[#This Row],['#_students at TLS_CFS]]="",WWWW[[#This Row],['#_students at TLS_CFS]]=0),"No","Yes")</f>
        <v>No</v>
      </c>
      <c r="EB8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7" s="570">
        <f>WWWW[[#This Row],[%_of_affected_people_surveyed_who_report_feeling_satistfied_with_the_latrine_design_and_sanitation_service]]*WWWW[[#This Row],[Total PoP ]]</f>
        <v>0</v>
      </c>
      <c r="ED87" s="570">
        <f>WWWW[[#This Row],[%_of_affected_people_surveyed_who_report_feeling_satistfied_with_the_water_point_design_and_water_service]]*WWWW[[#This Row],[Total PoP ]]</f>
        <v>0</v>
      </c>
      <c r="EE87" s="570">
        <f>WWWW[[#This Row],[%_of_complaints_received_that_result_in_timely_corrective_action_and_feedback_to_the_community]]*WWWW[[#This Row],[Total PoP ]]</f>
        <v>0</v>
      </c>
      <c r="EF8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7" s="964" t="str">
        <f>VLOOKUP(WWWW[[#This Row],[Site Name]],SiteDB6[[Site Name]:[CCCM Management]],6,FALSE)</f>
        <v>Yes</v>
      </c>
      <c r="EJ87" s="964" t="str">
        <f>VLOOKUP(WWWW[[#This Row],[Site Name]],SiteDB6[[Site Name]:[CCCM Focal Agency]],7,FALSE)</f>
        <v>Shalom</v>
      </c>
      <c r="EK87" s="964" t="str">
        <f>VLOOKUP(WWWW[[#This Row],[Site Name]],SiteDB6[[Site Name]:[Location Type 1]],9,FALSE)</f>
        <v>Camp</v>
      </c>
      <c r="EL87" s="964" t="str">
        <f>VLOOKUP(WWWW[[#This Row],[Site Name]],SiteDB6[[Site Name]:[Type of Accommodation]],10,FALSE)</f>
        <v>Camp</v>
      </c>
      <c r="EM87" s="964" t="str">
        <f>VLOOKUP(WWWW[[#This Row],[Site Name]],SiteDB6[[Site Name]:[Ethnic or GCA/NGCA]],11,FALSE)</f>
        <v>GCA</v>
      </c>
      <c r="EN87" s="964">
        <f>VLOOKUP(WWWW[[#This Row],[Site Name]],SiteDB6[[Site Name]:[Lat]],12,FALSE)</f>
        <v>24.154199999999999</v>
      </c>
      <c r="EO87" s="964">
        <f>VLOOKUP(WWWW[[#This Row],[Site Name]],SiteDB6[[Site Name]:[Long]],13,FALSE)</f>
        <v>97.160600000000002</v>
      </c>
      <c r="EP87" s="964" t="str">
        <f>VLOOKUP(WWWW[[#This Row],[Site Name]],SiteDB6[[Site Name]:[Pcode]],3,FALSE)</f>
        <v>MMR001CMP281</v>
      </c>
      <c r="EQ87" s="969" t="str">
        <f t="shared" si="2"/>
        <v>Notcovered</v>
      </c>
      <c r="ER87" s="969"/>
      <c r="ES87" s="964">
        <f>VLOOKUP(WWWW[[#This Row],[Site Name]],SiteDB6[[Site Name]:[Pop
(Kachin/Shan-CCCM as of March 2023)]],16,FALSE)</f>
        <v>82</v>
      </c>
      <c r="ET87" s="964">
        <f>VLOOKUP(WWWW[[#This Row],[Site Name]],SiteDB6[[Site Name]:[Pop
(Kachin/Shan-CCCM as of March 2023)]],17,FALSE)</f>
        <v>392</v>
      </c>
    </row>
    <row r="88" spans="1:150" hidden="1">
      <c r="A88" s="962" t="s">
        <v>2977</v>
      </c>
      <c r="B88" s="962" t="s">
        <v>309</v>
      </c>
      <c r="C88" s="963" t="s">
        <v>309</v>
      </c>
      <c r="D88" s="963"/>
      <c r="E88" s="963" t="s">
        <v>37</v>
      </c>
      <c r="F88" s="963" t="s">
        <v>142</v>
      </c>
      <c r="G88" s="964" t="str">
        <f>VLOOKUP(WWWW[[#This Row],[Site Name]],SiteDB6[[Site Name]:[Location Type]],8,FALSE)</f>
        <v>Camp</v>
      </c>
      <c r="H88" s="963" t="s">
        <v>2719</v>
      </c>
      <c r="I88" s="965">
        <v>12</v>
      </c>
      <c r="J88" s="965">
        <v>80</v>
      </c>
      <c r="K88" s="966"/>
      <c r="L88" s="967"/>
      <c r="M88" s="965"/>
      <c r="N88" s="965"/>
      <c r="O88" s="965"/>
      <c r="P88" s="965"/>
      <c r="Q88" s="968"/>
      <c r="R88" s="965"/>
      <c r="S88" s="965"/>
      <c r="T88" s="445"/>
      <c r="U88" s="965"/>
      <c r="V88" s="965"/>
      <c r="W88" s="965"/>
      <c r="X88" s="965"/>
      <c r="Y88" s="965"/>
      <c r="Z88" s="965"/>
      <c r="AA88" s="965"/>
      <c r="AB88" s="965"/>
      <c r="AC88" s="965"/>
      <c r="AD88" s="965"/>
      <c r="AE88" s="965"/>
      <c r="AF88" s="965"/>
      <c r="AG88" s="965"/>
      <c r="AH88" s="965"/>
      <c r="AI88" s="965"/>
      <c r="AJ88" s="965"/>
      <c r="AK88" s="965"/>
      <c r="AL88" s="965"/>
      <c r="AM88" s="965"/>
      <c r="AN88" s="965"/>
      <c r="AO88" s="445"/>
      <c r="AP88" s="969"/>
      <c r="AQ88" s="965"/>
      <c r="AR88" s="965"/>
      <c r="AS88" s="970"/>
      <c r="AT88" s="965"/>
      <c r="AU88" s="965"/>
      <c r="AV88" s="965"/>
      <c r="AW88" s="965"/>
      <c r="AX88" s="965"/>
      <c r="AY88" s="964" t="s">
        <v>140</v>
      </c>
      <c r="AZ88" s="969" t="s">
        <v>140</v>
      </c>
      <c r="BA88" s="965"/>
      <c r="BB88" s="965"/>
      <c r="BC88" s="965"/>
      <c r="BD88" s="445"/>
      <c r="BE88" s="445"/>
      <c r="BF88" s="964"/>
      <c r="BG88" s="965">
        <v>7</v>
      </c>
      <c r="BH88" s="965"/>
      <c r="BI88" s="965"/>
      <c r="BJ88" s="965">
        <v>4</v>
      </c>
      <c r="BK88" s="965"/>
      <c r="BL88" s="965"/>
      <c r="BM88" s="965"/>
      <c r="BN88" s="965"/>
      <c r="BO88" s="965"/>
      <c r="BP88" s="964"/>
      <c r="BQ88" s="971"/>
      <c r="BR88" s="970"/>
      <c r="BS88" s="964"/>
      <c r="BT88" s="420"/>
      <c r="BU88" s="420"/>
      <c r="BV88" s="422"/>
      <c r="BW88" s="420"/>
      <c r="BX88" s="445"/>
      <c r="BY88" s="445"/>
      <c r="BZ88" s="445"/>
      <c r="CA88" s="445"/>
      <c r="CB88" s="445"/>
      <c r="CC88" s="702"/>
      <c r="CD88" s="445"/>
      <c r="CE88" s="972" t="str">
        <f>IFERROR(WWWW[[#This Row],['#_Water sources passed]]/WWWW[[#This Row],['#_Water sources tested for fecal coliform ]],"no test")</f>
        <v>no test</v>
      </c>
      <c r="CF88" s="970" t="str">
        <f>IFERROR(WWWW[[#This Row],['#_Household passed]]/WWWW[[#This Row],['#_Household water samples tested for fecal coliform]],"no test")</f>
        <v>no test</v>
      </c>
      <c r="CG88" s="971" t="str">
        <f>IF(AND(WWWW[[#This Row],[% of water sources passed]]="no test",WWWW[[#This Row],[% Household passed]]="no test"),"No Test","Tested")</f>
        <v>No Test</v>
      </c>
      <c r="CH88" s="971">
        <f>WWWW[[#This Row],['#_Constructed/existing protected hand dug well]]-WWWW[[#This Row],['#_Non-functional protected hand dug well]]</f>
        <v>0</v>
      </c>
      <c r="CI88" s="971">
        <f>(WWWW[[#This Row],['#_Constructed/Existing tube wells/boreholes/handpumps_WASH_agency]]+WWWW[[#This Row],['#_Non-Cluster partner water tube-wells/boreholes/handpumps]])-WWWW[[#This Row],['#_Non-functional tube wells/boreholes/handpumps]]</f>
        <v>0</v>
      </c>
      <c r="CJ88" s="971">
        <f>WWWW[[#This Row],['#_Constructed/Existingwater storage tank with gravity fed reticulation system]]-WWWW[[#This Row],['#_Non-functional storage tank gravity fed reticulation system]]</f>
        <v>0</v>
      </c>
      <c r="CK88" s="971">
        <f>(WWWW[[#This Row],['#_Water_Liters_supplied_by_Water boating or water trucking]]/90)/15</f>
        <v>0</v>
      </c>
      <c r="CL88" s="971">
        <f>WWWW[[#This Row],['#_Water_Liters_from_Constructed/Existing water distribution system from river or natural spring]]/90/15</f>
        <v>0</v>
      </c>
      <c r="CM88" s="421">
        <f>IF(WWWW[[#This Row],['#_of water points in TLS/CFS]]*500&gt;WWWW[[#This Row],[Total PoP ]],WWWW[[#This Row],[Total PoP ]],WWWW[[#This Row],['#_of water points in TLS/CFS]]*500)</f>
        <v>0</v>
      </c>
      <c r="CN88" s="421">
        <f>IF(WWWW[[#This Row],['#_of water points in THF]]*500&gt;WWWW[[#This Row],[Total PoP ]],WWWW[[#This Row],[Total PoP ]],WWWW[[#This Row],['#_of water points in THF]]*500)</f>
        <v>0</v>
      </c>
      <c r="CO88" s="421"/>
      <c r="CP8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8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88" s="970">
        <f>IF(WWWW[[#This Row],[Location Type 1]]="Village",WWWW[[#This Row],[Access to safe drinking water for Village]],WWWW[[#This Row],[Access to safe drinking water for Camp]])</f>
        <v>0</v>
      </c>
      <c r="CS88" s="968">
        <f>WWWW[[#This Row],[%Equitable and continuous access to sufficient quantity of safe drinking water]]*WWWW[[#This Row],[Total PoP ]]</f>
        <v>0</v>
      </c>
      <c r="CT88" s="970">
        <f>IF((WWWW[[#This Row],['#_Constructed/Existing protected/fenced ponds]]*250)/WWWW[[#This Row],[Total PoP ]]&gt;1,1,(WWWW[[#This Row],['#_Constructed/Existing protected/fenced ponds]]*250)/WWWW[[#This Row],[Total PoP ]])</f>
        <v>0</v>
      </c>
      <c r="CU88" s="968">
        <f>WWWW[[#This Row],[% Access to unimproved water points]]*WWWW[[#This Row],[Total PoP ]]</f>
        <v>0</v>
      </c>
      <c r="CV8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8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88" s="968">
        <f>WWWW[[#This Row],[HRP1]]/500</f>
        <v>0</v>
      </c>
      <c r="CY88" s="973">
        <f>1-WWWW[[#This Row],[% Equitable and continuous access to sufficient quantity of domestic water]]</f>
        <v>1</v>
      </c>
      <c r="CZ88" s="968">
        <f>WWWW[[#This Row],[%equitable and continuous access to sufficient quantity of safe drinking and domestic water''s GAP]]*WWWW[[#This Row],[Total PoP ]]</f>
        <v>80</v>
      </c>
      <c r="DA88" s="971">
        <f>IF(WWWW[[#This Row],[Total required water points]]-WWWW[[#This Row],['#Water points coverage]]&lt;0,0,WWWW[[#This Row],[Total required water points]]-WWWW[[#This Row],['#Water points coverage]])</f>
        <v>1</v>
      </c>
      <c r="DB88" s="971">
        <f>ROUND(IF(WWWW[[#This Row],[Total PoP ]]&lt;500,1,WWWW[[#This Row],[Total PoP ]]/500),0)</f>
        <v>1</v>
      </c>
      <c r="DC88" s="971">
        <f>(WWWW[[#This Row],['#_Constructed latrines_by_WASHAgencies]]+WWWW[[#This Row],['#_Non Cluster partner latrines]])-WWWW[[#This Row],['#_Non-functional latrines]]</f>
        <v>0</v>
      </c>
      <c r="DD88" s="619">
        <f>WWWW[[#This Row],[HRP2]]/WWWW[[#This Row],[Total PoP ]]</f>
        <v>0</v>
      </c>
      <c r="DE8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8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8" s="421">
        <f>IF(WWWW[[#This Row],['# of functional latrines in THF supported by WASH partners during the reporting period2]]="",0,WWWW[[#This Row],['# of functional latrines in THF supported by WASH partners during the reporting period2]]*50)</f>
        <v>0</v>
      </c>
      <c r="DI88" s="971">
        <f>ROUND(IF(WWWW[[#This Row],[Location Type 1]]="camp",WWWW[[#This Row],[Total PoP ]]/20,IF(WWWW[[#This Row],[Location Type 1]]="Temporary Location",WWWW[[#This Row],[Total PoP ]]/50,(WWWW[[#This Row],[Total PoP ]]/6))),0)</f>
        <v>4</v>
      </c>
      <c r="DJ88" s="971">
        <f>IF(WWWW[[#This Row],[Total required Latrines]]-(WWWW[[#This Row],['#_Constructed latrines_by_WASHAgencies]]+WWWW[[#This Row],['#_Non Cluster partner latrines]])&lt;0,0,WWWW[[#This Row],[Total required Latrines]]-(WWWW[[#This Row],['#_Constructed latrines_by_WASHAgencies]]+WWWW[[#This Row],['#_Non Cluster partner latrines]]))</f>
        <v>4</v>
      </c>
      <c r="DK88" s="973">
        <f>1-WWWW[[#This Row],[% people access to functioning Latrine]]</f>
        <v>1</v>
      </c>
      <c r="DL88" s="972">
        <f>IF(OR(WWWW[[#This Row],['#_Non-functional latrines]]="",WWWW[[#This Row],['#_Non-functional latrines]]=0),0,WWWW[[#This Row],['#_Non-functional latrines]]/(WWWW[[#This Row],['#_Constructed latrines_by_WASHAgencies]]+WWWW[[#This Row],['#_Non Cluster partner latrines]]))</f>
        <v>0</v>
      </c>
      <c r="DM88" s="968">
        <f>IF(500*(WWWW[[#This Row],['#_male hygiene promoters]]+WWWW[[#This Row],['#_female hygiene promoters]])&gt;WWWW[[#This Row],[Total PoP ]],WWWW[[#This Row],[Total PoP ]],500*(WWWW[[#This Row],['#_male hygiene promoters]]+WWWW[[#This Row],['#_female hygiene promoters]]))</f>
        <v>0</v>
      </c>
      <c r="DN8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8" s="971">
        <f>IF(WWWW[[#This Row],['# People with access to soap]]&gt;WWWW[[#This Row],['# People with access to Sanity Pads]],WWWW[[#This Row],['# People with access to soap]],WWWW[[#This Row],['# People with access to Sanity Pads]])</f>
        <v>0</v>
      </c>
      <c r="DQ88"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8" s="973">
        <f>IF(WWWW[[#This Row],[HRP3]]/WWWW[[#This Row],[Total PoP ]]&gt;1,1,WWWW[[#This Row],[HRP3]]/WWWW[[#This Row],[Total PoP ]])</f>
        <v>0</v>
      </c>
      <c r="DS88" s="972">
        <f>1-WWWW[[#This Row],[Hygiene Coverage%]]</f>
        <v>1</v>
      </c>
      <c r="DT88" s="970">
        <f>WWWW[[#This Row],['# people reached by regular dedicated hygiene promotion_5]]/WWWW[[#This Row],[Total PoP ]]</f>
        <v>0</v>
      </c>
      <c r="DU8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8" s="971">
        <f>WWWW[[#This Row],['#_Constructed/Existing hand washing stations]]-WWWW[[#This Row],['#_Non-Functional_hand_washing_stations]]</f>
        <v>7</v>
      </c>
      <c r="DX88" s="968">
        <f>IF(WWWW[[#This Row],['# Functional hand washing stations during reporting period]]*20&gt;WWWW[[#This Row],[Total HH]],WWWW[[#This Row],[Total HH]],WWWW[[#This Row],['# Functional hand washing stations during reporting period]]*20)</f>
        <v>12</v>
      </c>
      <c r="DY88" s="968">
        <f>IF(WWWW[[#This Row],[Is sufficient soap available for TLS? (Yes/No)]]="yes",WWWW[[#This Row],['#_Constructed/Existing hand washing stations at TLS/CFS/THF]],0)</f>
        <v>0</v>
      </c>
      <c r="DZ88" s="425">
        <f>IF(WWWW[[#This Row],['# Functional hand washing stations during reporting period]]*100&gt;WWWW[[#This Row],[Total PoP ]],WWWW[[#This Row],[Total PoP ]],WWWW[[#This Row],['# Functional hand washing stations during reporting period]]*100)</f>
        <v>80</v>
      </c>
      <c r="EA88" s="425" t="str">
        <f>IF(OR(WWWW[[#This Row],['#_students at TLS_CFS]]="",WWWW[[#This Row],['#_students at TLS_CFS]]=0),"No","Yes")</f>
        <v>No</v>
      </c>
      <c r="EB8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8" s="570">
        <f>WWWW[[#This Row],[%_of_affected_people_surveyed_who_report_feeling_satistfied_with_the_latrine_design_and_sanitation_service]]*WWWW[[#This Row],[Total PoP ]]</f>
        <v>0</v>
      </c>
      <c r="ED88" s="570">
        <f>WWWW[[#This Row],[%_of_affected_people_surveyed_who_report_feeling_satistfied_with_the_water_point_design_and_water_service]]*WWWW[[#This Row],[Total PoP ]]</f>
        <v>0</v>
      </c>
      <c r="EE88" s="570">
        <f>WWWW[[#This Row],[%_of_complaints_received_that_result_in_timely_corrective_action_and_feedback_to_the_community]]*WWWW[[#This Row],[Total PoP ]]</f>
        <v>0</v>
      </c>
      <c r="EF8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8" s="964" t="str">
        <f>VLOOKUP(WWWW[[#This Row],[Site Name]],SiteDB6[[Site Name]:[CCCM Management]],6,FALSE)</f>
        <v>Yes</v>
      </c>
      <c r="EJ88" s="964" t="str">
        <f>VLOOKUP(WWWW[[#This Row],[Site Name]],SiteDB6[[Site Name]:[CCCM Focal Agency]],7,FALSE)</f>
        <v>Shalom</v>
      </c>
      <c r="EK88" s="964" t="str">
        <f>VLOOKUP(WWWW[[#This Row],[Site Name]],SiteDB6[[Site Name]:[Location Type 1]],9,FALSE)</f>
        <v>Camp</v>
      </c>
      <c r="EL88" s="964" t="str">
        <f>VLOOKUP(WWWW[[#This Row],[Site Name]],SiteDB6[[Site Name]:[Type of Accommodation]],10,FALSE)</f>
        <v>Camp like setting</v>
      </c>
      <c r="EM88" s="964" t="str">
        <f>VLOOKUP(WWWW[[#This Row],[Site Name]],SiteDB6[[Site Name]:[Ethnic or GCA/NGCA]],11,FALSE)</f>
        <v>GCA</v>
      </c>
      <c r="EN88" s="964">
        <f>VLOOKUP(WWWW[[#This Row],[Site Name]],SiteDB6[[Site Name]:[Lat]],12,FALSE)</f>
        <v>25.221299999999999</v>
      </c>
      <c r="EO88" s="964">
        <f>VLOOKUP(WWWW[[#This Row],[Site Name]],SiteDB6[[Site Name]:[Long]],13,FALSE)</f>
        <v>97.255300000000005</v>
      </c>
      <c r="EP88" s="964" t="str">
        <f>VLOOKUP(WWWW[[#This Row],[Site Name]],SiteDB6[[Site Name]:[Pcode]],3,FALSE)</f>
        <v>MMR001CMP286</v>
      </c>
      <c r="EQ88" s="969" t="str">
        <f t="shared" si="2"/>
        <v>Notcovered</v>
      </c>
      <c r="ER88" s="969"/>
      <c r="ES88" s="964">
        <f>VLOOKUP(WWWW[[#This Row],[Site Name]],SiteDB6[[Site Name]:[Pop
(Kachin/Shan-CCCM as of March 2023)]],16,FALSE)</f>
        <v>10</v>
      </c>
      <c r="ET88" s="964">
        <f>VLOOKUP(WWWW[[#This Row],[Site Name]],SiteDB6[[Site Name]:[Pop
(Kachin/Shan-CCCM as of March 2023)]],17,FALSE)</f>
        <v>62</v>
      </c>
    </row>
    <row r="89" spans="1:150" hidden="1">
      <c r="A89" s="962" t="s">
        <v>2977</v>
      </c>
      <c r="B89" s="963" t="s">
        <v>141</v>
      </c>
      <c r="C89" s="963" t="s">
        <v>141</v>
      </c>
      <c r="D89" s="963" t="s">
        <v>2961</v>
      </c>
      <c r="E89" s="963" t="s">
        <v>37</v>
      </c>
      <c r="F89" s="963" t="s">
        <v>214</v>
      </c>
      <c r="G89" s="964" t="str">
        <f>VLOOKUP(WWWW[[#This Row],[Site Name]],SiteDB6[[Site Name]:[Location Type]],8,FALSE)</f>
        <v>Camp</v>
      </c>
      <c r="H89" s="963" t="s">
        <v>1590</v>
      </c>
      <c r="I89" s="965">
        <v>386</v>
      </c>
      <c r="J89" s="965">
        <v>1397</v>
      </c>
      <c r="K89" s="966">
        <v>44811</v>
      </c>
      <c r="L89" s="967">
        <v>45175</v>
      </c>
      <c r="M89" s="965"/>
      <c r="N89" s="965"/>
      <c r="O89" s="965"/>
      <c r="P89" s="965"/>
      <c r="Q89" s="968"/>
      <c r="R89" s="965">
        <v>19</v>
      </c>
      <c r="S89" s="965">
        <v>55</v>
      </c>
      <c r="T89" s="445">
        <v>13</v>
      </c>
      <c r="U89" s="965"/>
      <c r="V89" s="965"/>
      <c r="W89" s="965">
        <v>1</v>
      </c>
      <c r="X89" s="965"/>
      <c r="Y89" s="965"/>
      <c r="Z89" s="965"/>
      <c r="AA89" s="965"/>
      <c r="AB89" s="965"/>
      <c r="AC89" s="965"/>
      <c r="AD89" s="965"/>
      <c r="AE89" s="965"/>
      <c r="AF89" s="965"/>
      <c r="AG89" s="965"/>
      <c r="AH89" s="965"/>
      <c r="AI89" s="965"/>
      <c r="AJ89" s="965"/>
      <c r="AK89" s="965"/>
      <c r="AL89" s="965"/>
      <c r="AM89" s="965"/>
      <c r="AN89" s="965"/>
      <c r="AO89" s="445"/>
      <c r="AP89" s="969"/>
      <c r="AQ89" s="965">
        <v>5</v>
      </c>
      <c r="AR89" s="965"/>
      <c r="AS89" s="970"/>
      <c r="AT89" s="965"/>
      <c r="AU89" s="965"/>
      <c r="AV89" s="965"/>
      <c r="AW89" s="965"/>
      <c r="AX89" s="965"/>
      <c r="AY89" s="964" t="s">
        <v>41</v>
      </c>
      <c r="AZ89" s="969" t="s">
        <v>140</v>
      </c>
      <c r="BA89" s="965"/>
      <c r="BB89" s="965"/>
      <c r="BC89" s="965">
        <v>50</v>
      </c>
      <c r="BD89" s="445"/>
      <c r="BE89" s="445"/>
      <c r="BF89" s="964"/>
      <c r="BG89" s="965">
        <v>1</v>
      </c>
      <c r="BH89" s="965"/>
      <c r="BI89" s="965"/>
      <c r="BJ89" s="965">
        <v>3</v>
      </c>
      <c r="BK89" s="965"/>
      <c r="BL89" s="965"/>
      <c r="BM89" s="965"/>
      <c r="BN89" s="965"/>
      <c r="BO89" s="965"/>
      <c r="BP89" s="964"/>
      <c r="BQ89" s="971"/>
      <c r="BR89" s="970"/>
      <c r="BS89" s="964"/>
      <c r="BT89" s="420"/>
      <c r="BU89" s="420"/>
      <c r="BV89" s="422"/>
      <c r="BW89" s="420"/>
      <c r="BX89" s="445"/>
      <c r="BY89" s="445"/>
      <c r="BZ89" s="445"/>
      <c r="CA89" s="445"/>
      <c r="CB89" s="445"/>
      <c r="CC89" s="702"/>
      <c r="CD89" s="445"/>
      <c r="CE89" s="972" t="str">
        <f>IFERROR(WWWW[[#This Row],['#_Water sources passed]]/WWWW[[#This Row],['#_Water sources tested for fecal coliform ]],"no test")</f>
        <v>no test</v>
      </c>
      <c r="CF89" s="970" t="str">
        <f>IFERROR(WWWW[[#This Row],['#_Household passed]]/WWWW[[#This Row],['#_Household water samples tested for fecal coliform]],"no test")</f>
        <v>no test</v>
      </c>
      <c r="CG89" s="971" t="str">
        <f>IF(AND(WWWW[[#This Row],[% of water sources passed]]="no test",WWWW[[#This Row],[% Household passed]]="no test"),"No Test","Tested")</f>
        <v>No Test</v>
      </c>
      <c r="CH89" s="971">
        <f>WWWW[[#This Row],['#_Constructed/existing protected hand dug well]]-WWWW[[#This Row],['#_Non-functional protected hand dug well]]</f>
        <v>13</v>
      </c>
      <c r="CI89" s="971">
        <f>(WWWW[[#This Row],['#_Constructed/Existing tube wells/boreholes/handpumps_WASH_agency]]+WWWW[[#This Row],['#_Non-Cluster partner water tube-wells/boreholes/handpumps]])-WWWW[[#This Row],['#_Non-functional tube wells/boreholes/handpumps]]</f>
        <v>1</v>
      </c>
      <c r="CJ89" s="971">
        <f>WWWW[[#This Row],['#_Constructed/Existingwater storage tank with gravity fed reticulation system]]-WWWW[[#This Row],['#_Non-functional storage tank gravity fed reticulation system]]</f>
        <v>0</v>
      </c>
      <c r="CK89" s="971">
        <f>(WWWW[[#This Row],['#_Water_Liters_supplied_by_Water boating or water trucking]]/90)/15</f>
        <v>0</v>
      </c>
      <c r="CL89" s="971">
        <f>WWWW[[#This Row],['#_Water_Liters_from_Constructed/Existing water distribution system from river or natural spring]]/90/15</f>
        <v>0</v>
      </c>
      <c r="CM89" s="421">
        <f>IF(WWWW[[#This Row],['#_of water points in TLS/CFS]]*500&gt;WWWW[[#This Row],[Total PoP ]],WWWW[[#This Row],[Total PoP ]],WWWW[[#This Row],['#_of water points in TLS/CFS]]*500)</f>
        <v>0</v>
      </c>
      <c r="CN89" s="421">
        <f>IF(WWWW[[#This Row],['#_of water points in THF]]*500&gt;WWWW[[#This Row],[Total PoP ]],WWWW[[#This Row],[Total PoP ]],WWWW[[#This Row],['#_of water points in THF]]*500)</f>
        <v>0</v>
      </c>
      <c r="CO89" s="421"/>
      <c r="CP8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9" s="970">
        <f>IF(WWWW[[#This Row],[Location Type 1]]="Village",WWWW[[#This Row],[Access to safe drinking water for Village]],WWWW[[#This Row],[Access to safe drinking water for Camp]])</f>
        <v>1</v>
      </c>
      <c r="CS89" s="968">
        <f>WWWW[[#This Row],[%Equitable and continuous access to sufficient quantity of safe drinking water]]*WWWW[[#This Row],[Total PoP ]]</f>
        <v>1397</v>
      </c>
      <c r="CT89" s="970">
        <f>IF((WWWW[[#This Row],['#_Constructed/Existing protected/fenced ponds]]*250)/WWWW[[#This Row],[Total PoP ]]&gt;1,1,(WWWW[[#This Row],['#_Constructed/Existing protected/fenced ponds]]*250)/WWWW[[#This Row],[Total PoP ]])</f>
        <v>0</v>
      </c>
      <c r="CU89" s="968">
        <f>WWWW[[#This Row],[% Access to unimproved water points]]*WWWW[[#This Row],[Total PoP ]]</f>
        <v>0</v>
      </c>
      <c r="CV8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X89" s="968">
        <f>WWWW[[#This Row],[HRP1]]/500</f>
        <v>2.794</v>
      </c>
      <c r="CY89" s="973">
        <f>1-WWWW[[#This Row],[% Equitable and continuous access to sufficient quantity of domestic water]]</f>
        <v>0</v>
      </c>
      <c r="CZ89" s="968">
        <f>WWWW[[#This Row],[%equitable and continuous access to sufficient quantity of safe drinking and domestic water''s GAP]]*WWWW[[#This Row],[Total PoP ]]</f>
        <v>0</v>
      </c>
      <c r="DA89" s="971">
        <f>IF(WWWW[[#This Row],[Total required water points]]-WWWW[[#This Row],['#Water points coverage]]&lt;0,0,WWWW[[#This Row],[Total required water points]]-WWWW[[#This Row],['#Water points coverage]])</f>
        <v>0.20599999999999996</v>
      </c>
      <c r="DB89" s="971">
        <f>ROUND(IF(WWWW[[#This Row],[Total PoP ]]&lt;500,1,WWWW[[#This Row],[Total PoP ]]/500),0)</f>
        <v>3</v>
      </c>
      <c r="DC89" s="971">
        <f>(WWWW[[#This Row],['#_Constructed latrines_by_WASHAgencies]]+WWWW[[#This Row],['#_Non Cluster partner latrines]])-WWWW[[#This Row],['#_Non-functional latrines]]</f>
        <v>5</v>
      </c>
      <c r="DD89" s="619">
        <f>WWWW[[#This Row],[HRP2]]/WWWW[[#This Row],[Total PoP ]]</f>
        <v>7.158196134574088E-2</v>
      </c>
      <c r="DE8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8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9" s="421">
        <f>IF(WWWW[[#This Row],['# of functional latrines in THF supported by WASH partners during the reporting period2]]="",0,WWWW[[#This Row],['# of functional latrines in THF supported by WASH partners during the reporting period2]]*50)</f>
        <v>0</v>
      </c>
      <c r="DI89" s="971">
        <f>ROUND(IF(WWWW[[#This Row],[Location Type 1]]="camp",WWWW[[#This Row],[Total PoP ]]/20,IF(WWWW[[#This Row],[Location Type 1]]="Temporary Location",WWWW[[#This Row],[Total PoP ]]/50,(WWWW[[#This Row],[Total PoP ]]/6))),0)</f>
        <v>70</v>
      </c>
      <c r="DJ89" s="971">
        <f>IF(WWWW[[#This Row],[Total required Latrines]]-(WWWW[[#This Row],['#_Constructed latrines_by_WASHAgencies]]+WWWW[[#This Row],['#_Non Cluster partner latrines]])&lt;0,0,WWWW[[#This Row],[Total required Latrines]]-(WWWW[[#This Row],['#_Constructed latrines_by_WASHAgencies]]+WWWW[[#This Row],['#_Non Cluster partner latrines]]))</f>
        <v>65</v>
      </c>
      <c r="DK89" s="973">
        <f>1-WWWW[[#This Row],[% people access to functioning Latrine]]</f>
        <v>0.92841803865425909</v>
      </c>
      <c r="DL89" s="972">
        <f>IF(OR(WWWW[[#This Row],['#_Non-functional latrines]]="",WWWW[[#This Row],['#_Non-functional latrines]]=0),0,WWWW[[#This Row],['#_Non-functional latrines]]/(WWWW[[#This Row],['#_Constructed latrines_by_WASHAgencies]]+WWWW[[#This Row],['#_Non Cluster partner latrines]]))</f>
        <v>0</v>
      </c>
      <c r="DM89" s="968">
        <f>IF(500*(WWWW[[#This Row],['#_male hygiene promoters]]+WWWW[[#This Row],['#_female hygiene promoters]])&gt;WWWW[[#This Row],[Total PoP ]],WWWW[[#This Row],[Total PoP ]],500*(WWWW[[#This Row],['#_male hygiene promoters]]+WWWW[[#This Row],['#_female hygiene promoters]]))</f>
        <v>0</v>
      </c>
      <c r="DN8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9" s="971">
        <f>IF(WWWW[[#This Row],['# People with access to soap]]&gt;WWWW[[#This Row],['# People with access to Sanity Pads]],WWWW[[#This Row],['# People with access to soap]],WWWW[[#This Row],['# People with access to Sanity Pads]])</f>
        <v>0</v>
      </c>
      <c r="DQ8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9" s="973">
        <f>IF(WWWW[[#This Row],[HRP3]]/WWWW[[#This Row],[Total PoP ]]&gt;1,1,WWWW[[#This Row],[HRP3]]/WWWW[[#This Row],[Total PoP ]])</f>
        <v>0</v>
      </c>
      <c r="DS89" s="972">
        <f>1-WWWW[[#This Row],[Hygiene Coverage%]]</f>
        <v>1</v>
      </c>
      <c r="DT89" s="970">
        <f>WWWW[[#This Row],['# people reached by regular dedicated hygiene promotion_5]]/WWWW[[#This Row],[Total PoP ]]</f>
        <v>0</v>
      </c>
      <c r="DU8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9" s="971">
        <f>WWWW[[#This Row],['#_Constructed/Existing hand washing stations]]-WWWW[[#This Row],['#_Non-Functional_hand_washing_stations]]</f>
        <v>1</v>
      </c>
      <c r="DX89" s="968">
        <f>IF(WWWW[[#This Row],['# Functional hand washing stations during reporting period]]*20&gt;WWWW[[#This Row],[Total HH]],WWWW[[#This Row],[Total HH]],WWWW[[#This Row],['# Functional hand washing stations during reporting period]]*20)</f>
        <v>20</v>
      </c>
      <c r="DY89" s="968">
        <f>IF(WWWW[[#This Row],[Is sufficient soap available for TLS? (Yes/No)]]="yes",WWWW[[#This Row],['#_Constructed/Existing hand washing stations at TLS/CFS/THF]],0)</f>
        <v>0</v>
      </c>
      <c r="DZ89" s="425">
        <f>IF(WWWW[[#This Row],['# Functional hand washing stations during reporting period]]*100&gt;WWWW[[#This Row],[Total PoP ]],WWWW[[#This Row],[Total PoP ]],WWWW[[#This Row],['# Functional hand washing stations during reporting period]]*100)</f>
        <v>100</v>
      </c>
      <c r="EA89" s="425" t="str">
        <f>IF(OR(WWWW[[#This Row],['#_students at TLS_CFS]]="",WWWW[[#This Row],['#_students at TLS_CFS]]=0),"No","Yes")</f>
        <v>No</v>
      </c>
      <c r="EB8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9" s="570">
        <f>WWWW[[#This Row],[%_of_affected_people_surveyed_who_report_feeling_satistfied_with_the_latrine_design_and_sanitation_service]]*WWWW[[#This Row],[Total PoP ]]</f>
        <v>0</v>
      </c>
      <c r="ED89" s="570">
        <f>WWWW[[#This Row],[%_of_affected_people_surveyed_who_report_feeling_satistfied_with_the_water_point_design_and_water_service]]*WWWW[[#This Row],[Total PoP ]]</f>
        <v>0</v>
      </c>
      <c r="EE89" s="570">
        <f>WWWW[[#This Row],[%_of_complaints_received_that_result_in_timely_corrective_action_and_feedback_to_the_community]]*WWWW[[#This Row],[Total PoP ]]</f>
        <v>0</v>
      </c>
      <c r="EF8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9" s="964">
        <f>VLOOKUP(WWWW[[#This Row],[Site Name]],SiteDB6[[Site Name]:[CCCM Management]],6,FALSE)</f>
        <v>0</v>
      </c>
      <c r="EJ89" s="964" t="str">
        <f>VLOOKUP(WWWW[[#This Row],[Site Name]],SiteDB6[[Site Name]:[CCCM Focal Agency]],7,FALSE)</f>
        <v>uncovered</v>
      </c>
      <c r="EK89" s="964" t="str">
        <f>VLOOKUP(WWWW[[#This Row],[Site Name]],SiteDB6[[Site Name]:[Location Type 1]],9,FALSE)</f>
        <v>Camp</v>
      </c>
      <c r="EL89" s="964" t="str">
        <f>VLOOKUP(WWWW[[#This Row],[Site Name]],SiteDB6[[Site Name]:[Type of Accommodation]],10,FALSE)</f>
        <v>Camp like setting</v>
      </c>
      <c r="EM89" s="964" t="str">
        <f>VLOOKUP(WWWW[[#This Row],[Site Name]],SiteDB6[[Site Name]:[Ethnic or GCA/NGCA]],11,FALSE)</f>
        <v>NGCA</v>
      </c>
      <c r="EN89" s="964">
        <f>VLOOKUP(WWWW[[#This Row],[Site Name]],SiteDB6[[Site Name]:[Lat]],12,FALSE)</f>
        <v>24.590350000000001</v>
      </c>
      <c r="EO89" s="964">
        <f>VLOOKUP(WWWW[[#This Row],[Site Name]],SiteDB6[[Site Name]:[Long]],13,FALSE)</f>
        <v>96.95626</v>
      </c>
      <c r="EP89" s="964" t="str">
        <f>VLOOKUP(WWWW[[#This Row],[Site Name]],SiteDB6[[Site Name]:[Pcode]],3,FALSE)</f>
        <v>MMR001CMP273</v>
      </c>
      <c r="EQ89" s="969" t="str">
        <f t="shared" ref="EQ89:EQ120" si="3">IF(C89="none","Notcovered","Covered")</f>
        <v>Covered</v>
      </c>
      <c r="ER89" s="969" t="s">
        <v>3147</v>
      </c>
      <c r="ES89" s="964">
        <f>VLOOKUP(WWWW[[#This Row],[Site Name]],SiteDB6[[Site Name]:[Pop
(Kachin/Shan-CCCM as of March 2023)]],16,FALSE)</f>
        <v>292</v>
      </c>
      <c r="ET89" s="964">
        <f>VLOOKUP(WWWW[[#This Row],[Site Name]],SiteDB6[[Site Name]:[Pop
(Kachin/Shan-CCCM as of March 2023)]],17,FALSE)</f>
        <v>1299</v>
      </c>
    </row>
    <row r="90" spans="1:150" hidden="1">
      <c r="A90" s="962" t="s">
        <v>2977</v>
      </c>
      <c r="B90" s="962" t="s">
        <v>3156</v>
      </c>
      <c r="C90" s="962" t="s">
        <v>3156</v>
      </c>
      <c r="D90" s="963" t="s">
        <v>3163</v>
      </c>
      <c r="E90" s="963" t="s">
        <v>37</v>
      </c>
      <c r="F90" s="963" t="s">
        <v>214</v>
      </c>
      <c r="G90" s="964" t="str">
        <f>VLOOKUP(WWWW[[#This Row],[Site Name]],SiteDB6[[Site Name]:[Location Type]],8,FALSE)</f>
        <v>Camp</v>
      </c>
      <c r="H90" s="963" t="s">
        <v>215</v>
      </c>
      <c r="I90" s="965">
        <v>60</v>
      </c>
      <c r="J90" s="965">
        <v>300</v>
      </c>
      <c r="K90" s="966" t="s">
        <v>3154</v>
      </c>
      <c r="L90" s="967" t="s">
        <v>3155</v>
      </c>
      <c r="M90" s="965">
        <v>95</v>
      </c>
      <c r="N90" s="965">
        <v>4</v>
      </c>
      <c r="O90" s="965"/>
      <c r="P90" s="965"/>
      <c r="Q90" s="968" t="s">
        <v>41</v>
      </c>
      <c r="R90" s="965">
        <v>2</v>
      </c>
      <c r="S90" s="965">
        <v>4</v>
      </c>
      <c r="T90" s="445">
        <v>1</v>
      </c>
      <c r="U90" s="965"/>
      <c r="V90" s="965"/>
      <c r="W90" s="965">
        <v>2</v>
      </c>
      <c r="X90" s="965">
        <v>2</v>
      </c>
      <c r="Y90" s="965"/>
      <c r="Z90" s="965"/>
      <c r="AA90" s="965"/>
      <c r="AB90" s="965"/>
      <c r="AC90" s="965"/>
      <c r="AD90" s="965"/>
      <c r="AE90" s="965"/>
      <c r="AF90" s="965"/>
      <c r="AG90" s="965">
        <v>1</v>
      </c>
      <c r="AH90" s="965"/>
      <c r="AI90" s="965"/>
      <c r="AJ90" s="965"/>
      <c r="AK90" s="965"/>
      <c r="AL90" s="965"/>
      <c r="AM90" s="965">
        <v>2</v>
      </c>
      <c r="AN90" s="965"/>
      <c r="AO90" s="445"/>
      <c r="AP90" s="969" t="s">
        <v>140</v>
      </c>
      <c r="AQ90" s="965">
        <v>13</v>
      </c>
      <c r="AR90" s="965"/>
      <c r="AS90" s="970"/>
      <c r="AT90" s="965">
        <v>1</v>
      </c>
      <c r="AU90" s="965"/>
      <c r="AV90" s="965"/>
      <c r="AW90" s="965"/>
      <c r="AX90" s="965"/>
      <c r="AY90" s="964" t="s">
        <v>41</v>
      </c>
      <c r="AZ90" s="969" t="s">
        <v>137</v>
      </c>
      <c r="BA90" s="965">
        <v>2</v>
      </c>
      <c r="BB90" s="965"/>
      <c r="BC90" s="965"/>
      <c r="BD90" s="445"/>
      <c r="BE90" s="445">
        <v>4</v>
      </c>
      <c r="BF90" s="964" t="s">
        <v>140</v>
      </c>
      <c r="BG90" s="965">
        <v>15</v>
      </c>
      <c r="BH90" s="965">
        <v>10</v>
      </c>
      <c r="BI90" s="965">
        <v>2</v>
      </c>
      <c r="BJ90" s="965">
        <v>9</v>
      </c>
      <c r="BK90" s="965"/>
      <c r="BL90" s="965">
        <v>3</v>
      </c>
      <c r="BM90" s="965">
        <v>2</v>
      </c>
      <c r="BN90" s="965"/>
      <c r="BO90" s="965"/>
      <c r="BP90" s="964" t="s">
        <v>41</v>
      </c>
      <c r="BQ90" s="971"/>
      <c r="BR90" s="970">
        <v>0.3</v>
      </c>
      <c r="BS90" s="964" t="s">
        <v>140</v>
      </c>
      <c r="BT90" s="420">
        <v>0.8</v>
      </c>
      <c r="BU90" s="420">
        <v>0.8</v>
      </c>
      <c r="BV90" s="422">
        <v>5</v>
      </c>
      <c r="BW90" s="420">
        <v>0.8</v>
      </c>
      <c r="BX90" s="445"/>
      <c r="BY90" s="445"/>
      <c r="BZ90" s="445"/>
      <c r="CA90" s="445"/>
      <c r="CB90" s="445"/>
      <c r="CC90" s="702"/>
      <c r="CD90" s="445"/>
      <c r="CE90" s="972" t="str">
        <f>IFERROR(WWWW[[#This Row],['#_Water sources passed]]/WWWW[[#This Row],['#_Water sources tested for fecal coliform ]],"no test")</f>
        <v>no test</v>
      </c>
      <c r="CF90" s="970" t="str">
        <f>IFERROR(WWWW[[#This Row],['#_Household passed]]/WWWW[[#This Row],['#_Household water samples tested for fecal coliform]],"no test")</f>
        <v>no test</v>
      </c>
      <c r="CG90" s="971" t="str">
        <f>IF(AND(WWWW[[#This Row],[% of water sources passed]]="no test",WWWW[[#This Row],[% Household passed]]="no test"),"No Test","Tested")</f>
        <v>No Test</v>
      </c>
      <c r="CH90" s="971">
        <f>WWWW[[#This Row],['#_Constructed/existing protected hand dug well]]-WWWW[[#This Row],['#_Non-functional protected hand dug well]]</f>
        <v>1</v>
      </c>
      <c r="CI90" s="971">
        <f>(WWWW[[#This Row],['#_Constructed/Existing tube wells/boreholes/handpumps_WASH_agency]]+WWWW[[#This Row],['#_Non-Cluster partner water tube-wells/boreholes/handpumps]])-WWWW[[#This Row],['#_Non-functional tube wells/boreholes/handpumps]]</f>
        <v>4</v>
      </c>
      <c r="CJ90" s="971">
        <f>WWWW[[#This Row],['#_Constructed/Existingwater storage tank with gravity fed reticulation system]]-WWWW[[#This Row],['#_Non-functional storage tank gravity fed reticulation system]]</f>
        <v>0</v>
      </c>
      <c r="CK90" s="971">
        <f>(WWWW[[#This Row],['#_Water_Liters_supplied_by_Water boating or water trucking]]/90)/15</f>
        <v>0</v>
      </c>
      <c r="CL90" s="971">
        <f>WWWW[[#This Row],['#_Water_Liters_from_Constructed/Existing water distribution system from river or natural spring]]/90/15</f>
        <v>0</v>
      </c>
      <c r="CM90" s="421">
        <f>IF(WWWW[[#This Row],['#_of water points in TLS/CFS]]*500&gt;WWWW[[#This Row],[Total PoP ]],WWWW[[#This Row],[Total PoP ]],WWWW[[#This Row],['#_of water points in TLS/CFS]]*500)</f>
        <v>0</v>
      </c>
      <c r="CN90" s="421">
        <f>IF(WWWW[[#This Row],['#_of water points in THF]]*500&gt;WWWW[[#This Row],[Total PoP ]],WWWW[[#This Row],[Total PoP ]],WWWW[[#This Row],['#_of water points in THF]]*500)</f>
        <v>0</v>
      </c>
      <c r="CO90" s="421"/>
      <c r="CP9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0" s="970">
        <f>IF(WWWW[[#This Row],[Location Type 1]]="Village",WWWW[[#This Row],[Access to safe drinking water for Village]],WWWW[[#This Row],[Access to safe drinking water for Camp]])</f>
        <v>1</v>
      </c>
      <c r="CS90" s="968">
        <f>WWWW[[#This Row],[%Equitable and continuous access to sufficient quantity of safe drinking water]]*WWWW[[#This Row],[Total PoP ]]</f>
        <v>300</v>
      </c>
      <c r="CT90" s="970">
        <f>IF((WWWW[[#This Row],['#_Constructed/Existing protected/fenced ponds]]*250)/WWWW[[#This Row],[Total PoP ]]&gt;1,1,(WWWW[[#This Row],['#_Constructed/Existing protected/fenced ponds]]*250)/WWWW[[#This Row],[Total PoP ]])</f>
        <v>0</v>
      </c>
      <c r="CU90" s="968">
        <f>WWWW[[#This Row],[% Access to unimproved water points]]*WWWW[[#This Row],[Total PoP ]]</f>
        <v>0</v>
      </c>
      <c r="CV9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X90" s="968">
        <f>WWWW[[#This Row],[HRP1]]/500</f>
        <v>0.6</v>
      </c>
      <c r="CY90" s="973">
        <f>1-WWWW[[#This Row],[% Equitable and continuous access to sufficient quantity of domestic water]]</f>
        <v>0</v>
      </c>
      <c r="CZ90" s="968">
        <f>WWWW[[#This Row],[%equitable and continuous access to sufficient quantity of safe drinking and domestic water''s GAP]]*WWWW[[#This Row],[Total PoP ]]</f>
        <v>0</v>
      </c>
      <c r="DA90" s="971">
        <f>IF(WWWW[[#This Row],[Total required water points]]-WWWW[[#This Row],['#Water points coverage]]&lt;0,0,WWWW[[#This Row],[Total required water points]]-WWWW[[#This Row],['#Water points coverage]])</f>
        <v>0.4</v>
      </c>
      <c r="DB90" s="971">
        <f>ROUND(IF(WWWW[[#This Row],[Total PoP ]]&lt;500,1,WWWW[[#This Row],[Total PoP ]]/500),0)</f>
        <v>1</v>
      </c>
      <c r="DC90" s="971">
        <f>(WWWW[[#This Row],['#_Constructed latrines_by_WASHAgencies]]+WWWW[[#This Row],['#_Non Cluster partner latrines]])-WWWW[[#This Row],['#_Non-functional latrines]]</f>
        <v>12</v>
      </c>
      <c r="DD90" s="619">
        <f>WWWW[[#This Row],[HRP2]]/WWWW[[#This Row],[Total PoP ]]</f>
        <v>0.94666666666666666</v>
      </c>
      <c r="DE9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284</v>
      </c>
      <c r="DF9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0" s="421">
        <f>IF(WWWW[[#This Row],['# of functional latrines in THF supported by WASH partners during the reporting period2]]="",0,WWWW[[#This Row],['# of functional latrines in THF supported by WASH partners during the reporting period2]]*50)</f>
        <v>0</v>
      </c>
      <c r="DI90" s="971">
        <f>ROUND(IF(WWWW[[#This Row],[Location Type 1]]="camp",WWWW[[#This Row],[Total PoP ]]/20,IF(WWWW[[#This Row],[Location Type 1]]="Temporary Location",WWWW[[#This Row],[Total PoP ]]/50,(WWWW[[#This Row],[Total PoP ]]/6))),0)</f>
        <v>15</v>
      </c>
      <c r="DJ90" s="971">
        <f>IF(WWWW[[#This Row],[Total required Latrines]]-(WWWW[[#This Row],['#_Constructed latrines_by_WASHAgencies]]+WWWW[[#This Row],['#_Non Cluster partner latrines]])&lt;0,0,WWWW[[#This Row],[Total required Latrines]]-(WWWW[[#This Row],['#_Constructed latrines_by_WASHAgencies]]+WWWW[[#This Row],['#_Non Cluster partner latrines]]))</f>
        <v>2</v>
      </c>
      <c r="DK90" s="973">
        <f>1-WWWW[[#This Row],[% people access to functioning Latrine]]</f>
        <v>5.3333333333333344E-2</v>
      </c>
      <c r="DL90" s="972">
        <f>IF(OR(WWWW[[#This Row],['#_Non-functional latrines]]="",WWWW[[#This Row],['#_Non-functional latrines]]=0),0,WWWW[[#This Row],['#_Non-functional latrines]]/(WWWW[[#This Row],['#_Constructed latrines_by_WASHAgencies]]+WWWW[[#This Row],['#_Non Cluster partner latrines]]))</f>
        <v>7.6923076923076927E-2</v>
      </c>
      <c r="DM90" s="968">
        <f>IF(500*(WWWW[[#This Row],['#_male hygiene promoters]]+WWWW[[#This Row],['#_female hygiene promoters]])&gt;WWWW[[#This Row],[Total PoP ]],WWWW[[#This Row],[Total PoP ]],500*(WWWW[[#This Row],['#_male hygiene promoters]]+WWWW[[#This Row],['#_female hygiene promoters]]))</f>
        <v>300</v>
      </c>
      <c r="DN9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0" s="971">
        <f>IF(WWWW[[#This Row],['# People with access to soap]]&gt;WWWW[[#This Row],['# People with access to Sanity Pads]],WWWW[[#This Row],['# People with access to soap]],WWWW[[#This Row],['# People with access to Sanity Pads]])</f>
        <v>0</v>
      </c>
      <c r="DQ90" s="971">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R90" s="973">
        <f>IF(WWWW[[#This Row],[HRP3]]/WWWW[[#This Row],[Total PoP ]]&gt;1,1,WWWW[[#This Row],[HRP3]]/WWWW[[#This Row],[Total PoP ]])</f>
        <v>1</v>
      </c>
      <c r="DS90" s="972">
        <f>1-WWWW[[#This Row],[Hygiene Coverage%]]</f>
        <v>0</v>
      </c>
      <c r="DT90" s="970">
        <f>WWWW[[#This Row],['# people reached by regular dedicated hygiene promotion_5]]/WWWW[[#This Row],[Total PoP ]]</f>
        <v>1</v>
      </c>
      <c r="DU9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0" s="971">
        <f>WWWW[[#This Row],['#_Constructed/Existing hand washing stations]]-WWWW[[#This Row],['#_Non-Functional_hand_washing_stations]]</f>
        <v>5</v>
      </c>
      <c r="DX90" s="968">
        <f>IF(WWWW[[#This Row],['# Functional hand washing stations during reporting period]]*20&gt;WWWW[[#This Row],[Total HH]],WWWW[[#This Row],[Total HH]],WWWW[[#This Row],['# Functional hand washing stations during reporting period]]*20)</f>
        <v>60</v>
      </c>
      <c r="DY90" s="968">
        <f>IF(WWWW[[#This Row],[Is sufficient soap available for TLS? (Yes/No)]]="yes",WWWW[[#This Row],['#_Constructed/Existing hand washing stations at TLS/CFS/THF]],0)</f>
        <v>2</v>
      </c>
      <c r="DZ90" s="425">
        <f>IF(WWWW[[#This Row],['# Functional hand washing stations during reporting period]]*100&gt;WWWW[[#This Row],[Total PoP ]],WWWW[[#This Row],[Total PoP ]],WWWW[[#This Row],['# Functional hand washing stations during reporting period]]*100)</f>
        <v>300</v>
      </c>
      <c r="EA90" s="425" t="str">
        <f>IF(OR(WWWW[[#This Row],['#_students at TLS_CFS]]="",WWWW[[#This Row],['#_students at TLS_CFS]]=0),"No","Yes")</f>
        <v>Yes</v>
      </c>
      <c r="EB90" s="619">
        <f>IF(WWWW[[#This Row],['#_of_affected_people_surveyed_who_report_feeling_informed_about_the_different_WASH_services_available_to_them]]="","",WWWW[[#This Row],['#_of_affected_people_surveyed_who_report_feeling_informed_about_the_different_WASH_services_available_to_them]]/WWWW[[#This Row],[Total PoP ]])</f>
        <v>1.6666666666666666E-2</v>
      </c>
      <c r="EC90" s="570">
        <f>WWWW[[#This Row],[%_of_affected_people_surveyed_who_report_feeling_satistfied_with_the_latrine_design_and_sanitation_service]]*WWWW[[#This Row],[Total PoP ]]</f>
        <v>240</v>
      </c>
      <c r="ED90" s="570">
        <f>WWWW[[#This Row],[%_of_affected_people_surveyed_who_report_feeling_satistfied_with_the_water_point_design_and_water_service]]*WWWW[[#This Row],[Total PoP ]]</f>
        <v>240</v>
      </c>
      <c r="EE90" s="570">
        <f>WWWW[[#This Row],[%_of_complaints_received_that_result_in_timely_corrective_action_and_feedback_to_the_community]]*WWWW[[#This Row],[Total PoP ]]</f>
        <v>240</v>
      </c>
      <c r="EF9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240</v>
      </c>
      <c r="EG9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0" s="964" t="str">
        <f>VLOOKUP(WWWW[[#This Row],[Site Name]],SiteDB6[[Site Name]:[CCCM Management]],6,FALSE)</f>
        <v>Yes</v>
      </c>
      <c r="EJ90" s="964" t="str">
        <f>VLOOKUP(WWWW[[#This Row],[Site Name]],SiteDB6[[Site Name]:[CCCM Focal Agency]],7,FALSE)</f>
        <v>KBC-BMO</v>
      </c>
      <c r="EK90" s="964" t="str">
        <f>VLOOKUP(WWWW[[#This Row],[Site Name]],SiteDB6[[Site Name]:[Location Type 1]],9,FALSE)</f>
        <v>Camp</v>
      </c>
      <c r="EL90" s="964" t="str">
        <f>VLOOKUP(WWWW[[#This Row],[Site Name]],SiteDB6[[Site Name]:[Type of Accommodation]],10,FALSE)</f>
        <v>Camp</v>
      </c>
      <c r="EM90" s="964" t="str">
        <f>VLOOKUP(WWWW[[#This Row],[Site Name]],SiteDB6[[Site Name]:[Ethnic or GCA/NGCA]],11,FALSE)</f>
        <v>GCA</v>
      </c>
      <c r="EN90" s="964">
        <f>VLOOKUP(WWWW[[#This Row],[Site Name]],SiteDB6[[Site Name]:[Lat]],12,FALSE)</f>
        <v>24.200361000000001</v>
      </c>
      <c r="EO90" s="964">
        <f>VLOOKUP(WWWW[[#This Row],[Site Name]],SiteDB6[[Site Name]:[Long]],13,FALSE)</f>
        <v>96.807353000000006</v>
      </c>
      <c r="EP90" s="964" t="str">
        <f>VLOOKUP(WWWW[[#This Row],[Site Name]],SiteDB6[[Site Name]:[Pcode]],3,FALSE)</f>
        <v>MMR001CMP067</v>
      </c>
      <c r="EQ90" s="969" t="str">
        <f t="shared" si="3"/>
        <v>Covered</v>
      </c>
      <c r="ER90" s="969" t="s">
        <v>3147</v>
      </c>
      <c r="ES90" s="964">
        <f>VLOOKUP(WWWW[[#This Row],[Site Name]],SiteDB6[[Site Name]:[Pop
(Kachin/Shan-CCCM as of March 2023)]],16,FALSE)</f>
        <v>46</v>
      </c>
      <c r="ET90" s="964">
        <f>VLOOKUP(WWWW[[#This Row],[Site Name]],SiteDB6[[Site Name]:[Pop
(Kachin/Shan-CCCM as of March 2023)]],17,FALSE)</f>
        <v>249</v>
      </c>
    </row>
    <row r="91" spans="1:150" hidden="1">
      <c r="A91" s="962" t="s">
        <v>2977</v>
      </c>
      <c r="B91" s="962" t="s">
        <v>192</v>
      </c>
      <c r="C91" s="963" t="s">
        <v>192</v>
      </c>
      <c r="D91" s="963" t="s">
        <v>2899</v>
      </c>
      <c r="E91" s="963" t="s">
        <v>37</v>
      </c>
      <c r="F91" s="963" t="s">
        <v>142</v>
      </c>
      <c r="G91" s="964" t="str">
        <f>VLOOKUP(WWWW[[#This Row],[Site Name]],SiteDB6[[Site Name]:[Location Type]],8,FALSE)</f>
        <v>Camp</v>
      </c>
      <c r="H91" s="963" t="s">
        <v>221</v>
      </c>
      <c r="I91" s="965">
        <v>1350</v>
      </c>
      <c r="J91" s="965">
        <v>7394</v>
      </c>
      <c r="K91" s="966" t="s">
        <v>3154</v>
      </c>
      <c r="L91" s="967" t="s">
        <v>3155</v>
      </c>
      <c r="M91" s="965"/>
      <c r="N91" s="965"/>
      <c r="O91" s="965"/>
      <c r="P91" s="965"/>
      <c r="Q91" s="968" t="s">
        <v>41</v>
      </c>
      <c r="R91" s="965">
        <v>2</v>
      </c>
      <c r="S91" s="965">
        <v>2</v>
      </c>
      <c r="T91" s="445"/>
      <c r="U91" s="965"/>
      <c r="V91" s="965"/>
      <c r="W91" s="965"/>
      <c r="X91" s="965"/>
      <c r="Y91" s="965"/>
      <c r="Z91" s="965"/>
      <c r="AA91" s="965">
        <v>11</v>
      </c>
      <c r="AB91" s="965"/>
      <c r="AC91" s="965"/>
      <c r="AD91" s="965"/>
      <c r="AE91" s="965"/>
      <c r="AF91" s="965"/>
      <c r="AG91" s="965"/>
      <c r="AH91" s="965"/>
      <c r="AI91" s="965"/>
      <c r="AJ91" s="965"/>
      <c r="AK91" s="965"/>
      <c r="AL91" s="965"/>
      <c r="AM91" s="965">
        <v>6</v>
      </c>
      <c r="AN91" s="965">
        <v>3</v>
      </c>
      <c r="AO91" s="445"/>
      <c r="AP91" s="969"/>
      <c r="AQ91" s="965">
        <v>247</v>
      </c>
      <c r="AR91" s="965"/>
      <c r="AS91" s="970"/>
      <c r="AT91" s="965"/>
      <c r="AU91" s="965"/>
      <c r="AV91" s="965"/>
      <c r="AW91" s="965"/>
      <c r="AX91" s="965"/>
      <c r="AY91" s="964" t="s">
        <v>41</v>
      </c>
      <c r="AZ91" s="969" t="s">
        <v>137</v>
      </c>
      <c r="BA91" s="965">
        <v>4</v>
      </c>
      <c r="BB91" s="965">
        <v>2</v>
      </c>
      <c r="BC91" s="965"/>
      <c r="BD91" s="445"/>
      <c r="BE91" s="445"/>
      <c r="BF91" s="964"/>
      <c r="BG91" s="965">
        <v>1</v>
      </c>
      <c r="BH91" s="965"/>
      <c r="BI91" s="965"/>
      <c r="BJ91" s="965">
        <v>1</v>
      </c>
      <c r="BK91" s="965"/>
      <c r="BL91" s="965"/>
      <c r="BM91" s="965">
        <v>3</v>
      </c>
      <c r="BN91" s="965"/>
      <c r="BO91" s="965"/>
      <c r="BP91" s="964"/>
      <c r="BQ91" s="971"/>
      <c r="BR91" s="970"/>
      <c r="BS91" s="964"/>
      <c r="BT91" s="420"/>
      <c r="BU91" s="420"/>
      <c r="BV91" s="422"/>
      <c r="BW91" s="420"/>
      <c r="BX91" s="445">
        <v>20</v>
      </c>
      <c r="BY91" s="445"/>
      <c r="BZ91" s="445"/>
      <c r="CA91" s="445"/>
      <c r="CB91" s="445"/>
      <c r="CC91" s="702"/>
      <c r="CD91" s="445"/>
      <c r="CE91" s="972" t="str">
        <f>IFERROR(WWWW[[#This Row],['#_Water sources passed]]/WWWW[[#This Row],['#_Water sources tested for fecal coliform ]],"no test")</f>
        <v>no test</v>
      </c>
      <c r="CF91" s="970" t="str">
        <f>IFERROR(WWWW[[#This Row],['#_Household passed]]/WWWW[[#This Row],['#_Household water samples tested for fecal coliform]],"no test")</f>
        <v>no test</v>
      </c>
      <c r="CG91" s="971" t="str">
        <f>IF(AND(WWWW[[#This Row],[% of water sources passed]]="no test",WWWW[[#This Row],[% Household passed]]="no test"),"No Test","Tested")</f>
        <v>No Test</v>
      </c>
      <c r="CH91" s="971">
        <f>WWWW[[#This Row],['#_Constructed/existing protected hand dug well]]-WWWW[[#This Row],['#_Non-functional protected hand dug well]]</f>
        <v>0</v>
      </c>
      <c r="CI91" s="971">
        <f>(WWWW[[#This Row],['#_Constructed/Existing tube wells/boreholes/handpumps_WASH_agency]]+WWWW[[#This Row],['#_Non-Cluster partner water tube-wells/boreholes/handpumps]])-WWWW[[#This Row],['#_Non-functional tube wells/boreholes/handpumps]]</f>
        <v>0</v>
      </c>
      <c r="CJ91" s="971">
        <f>WWWW[[#This Row],['#_Constructed/Existingwater storage tank with gravity fed reticulation system]]-WWWW[[#This Row],['#_Non-functional storage tank gravity fed reticulation system]]</f>
        <v>11</v>
      </c>
      <c r="CK91" s="971">
        <f>(WWWW[[#This Row],['#_Water_Liters_supplied_by_Water boating or water trucking]]/90)/15</f>
        <v>0</v>
      </c>
      <c r="CL91" s="971">
        <f>WWWW[[#This Row],['#_Water_Liters_from_Constructed/Existing water distribution system from river or natural spring]]/90/15</f>
        <v>0</v>
      </c>
      <c r="CM91" s="421">
        <f>IF(WWWW[[#This Row],['#_of water points in TLS/CFS]]*500&gt;WWWW[[#This Row],[Total PoP ]],WWWW[[#This Row],[Total PoP ]],WWWW[[#This Row],['#_of water points in TLS/CFS]]*500)</f>
        <v>1500</v>
      </c>
      <c r="CN91" s="421">
        <f>IF(WWWW[[#This Row],['#_of water points in THF]]*500&gt;WWWW[[#This Row],[Total PoP ]],WWWW[[#This Row],[Total PoP ]],WWWW[[#This Row],['#_of water points in THF]]*500)</f>
        <v>0</v>
      </c>
      <c r="CO91" s="421"/>
      <c r="CP9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9.9179514922008841E-2</v>
      </c>
      <c r="CQ9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9.9179514922008841E-2</v>
      </c>
      <c r="CR91" s="970">
        <f>IF(WWWW[[#This Row],[Location Type 1]]="Village",WWWW[[#This Row],[Access to safe drinking water for Village]],WWWW[[#This Row],[Access to safe drinking water for Camp]])</f>
        <v>9.9179514922008841E-2</v>
      </c>
      <c r="CS91" s="968">
        <f>WWWW[[#This Row],[%Equitable and continuous access to sufficient quantity of safe drinking water]]*WWWW[[#This Row],[Total PoP ]]</f>
        <v>733.33333333333337</v>
      </c>
      <c r="CT91" s="970">
        <f>IF((WWWW[[#This Row],['#_Constructed/Existing protected/fenced ponds]]*250)/WWWW[[#This Row],[Total PoP ]]&gt;1,1,(WWWW[[#This Row],['#_Constructed/Existing protected/fenced ponds]]*250)/WWWW[[#This Row],[Total PoP ]])</f>
        <v>0</v>
      </c>
      <c r="CU91" s="968">
        <f>WWWW[[#This Row],[% Access to unimproved water points]]*WWWW[[#This Row],[Total PoP ]]</f>
        <v>0</v>
      </c>
      <c r="CV9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9.9179514922008841E-2</v>
      </c>
      <c r="CW9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733.33333333333337</v>
      </c>
      <c r="CX91" s="968">
        <f>WWWW[[#This Row],[HRP1]]/500</f>
        <v>1.4666666666666668</v>
      </c>
      <c r="CY91" s="973">
        <f>1-WWWW[[#This Row],[% Equitable and continuous access to sufficient quantity of domestic water]]</f>
        <v>0.90082048507799117</v>
      </c>
      <c r="CZ91" s="968">
        <f>WWWW[[#This Row],[%equitable and continuous access to sufficient quantity of safe drinking and domestic water''s GAP]]*WWWW[[#This Row],[Total PoP ]]</f>
        <v>6660.666666666667</v>
      </c>
      <c r="DA91" s="971">
        <f>IF(WWWW[[#This Row],[Total required water points]]-WWWW[[#This Row],['#Water points coverage]]&lt;0,0,WWWW[[#This Row],[Total required water points]]-WWWW[[#This Row],['#Water points coverage]])</f>
        <v>13.533333333333333</v>
      </c>
      <c r="DB91" s="971">
        <f>ROUND(IF(WWWW[[#This Row],[Total PoP ]]&lt;500,1,WWWW[[#This Row],[Total PoP ]]/500),0)</f>
        <v>15</v>
      </c>
      <c r="DC91" s="971">
        <f>(WWWW[[#This Row],['#_Constructed latrines_by_WASHAgencies]]+WWWW[[#This Row],['#_Non Cluster partner latrines]])-WWWW[[#This Row],['#_Non-functional latrines]]</f>
        <v>247</v>
      </c>
      <c r="DD91" s="619">
        <f>WWWW[[#This Row],[HRP2]]/WWWW[[#This Row],[Total PoP ]]</f>
        <v>0.67892886123884233</v>
      </c>
      <c r="DE9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5020</v>
      </c>
      <c r="DF9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1" s="421">
        <f>IF(WWWW[[#This Row],['# of functional latrines in THF supported by WASH partners during the reporting period2]]="",0,WWWW[[#This Row],['# of functional latrines in THF supported by WASH partners during the reporting period2]]*50)</f>
        <v>0</v>
      </c>
      <c r="DI91" s="971">
        <f>ROUND(IF(WWWW[[#This Row],[Location Type 1]]="camp",WWWW[[#This Row],[Total PoP ]]/20,IF(WWWW[[#This Row],[Location Type 1]]="Temporary Location",WWWW[[#This Row],[Total PoP ]]/50,(WWWW[[#This Row],[Total PoP ]]/6))),0)</f>
        <v>370</v>
      </c>
      <c r="DJ91" s="971">
        <f>IF(WWWW[[#This Row],[Total required Latrines]]-(WWWW[[#This Row],['#_Constructed latrines_by_WASHAgencies]]+WWWW[[#This Row],['#_Non Cluster partner latrines]])&lt;0,0,WWWW[[#This Row],[Total required Latrines]]-(WWWW[[#This Row],['#_Constructed latrines_by_WASHAgencies]]+WWWW[[#This Row],['#_Non Cluster partner latrines]]))</f>
        <v>123</v>
      </c>
      <c r="DK91" s="973">
        <f>1-WWWW[[#This Row],[% people access to functioning Latrine]]</f>
        <v>0.32107113876115767</v>
      </c>
      <c r="DL91" s="972">
        <f>IF(OR(WWWW[[#This Row],['#_Non-functional latrines]]="",WWWW[[#This Row],['#_Non-functional latrines]]=0),0,WWWW[[#This Row],['#_Non-functional latrines]]/(WWWW[[#This Row],['#_Constructed latrines_by_WASHAgencies]]+WWWW[[#This Row],['#_Non Cluster partner latrines]]))</f>
        <v>0</v>
      </c>
      <c r="DM91" s="968">
        <f>IF(500*(WWWW[[#This Row],['#_male hygiene promoters]]+WWWW[[#This Row],['#_female hygiene promoters]])&gt;WWWW[[#This Row],[Total PoP ]],WWWW[[#This Row],[Total PoP ]],500*(WWWW[[#This Row],['#_male hygiene promoters]]+WWWW[[#This Row],['#_female hygiene promoters]]))</f>
        <v>1500</v>
      </c>
      <c r="DN9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1" s="971">
        <f>IF(WWWW[[#This Row],['# People with access to soap]]&gt;WWWW[[#This Row],['# People with access to Sanity Pads]],WWWW[[#This Row],['# People with access to soap]],WWWW[[#This Row],['# People with access to Sanity Pads]])</f>
        <v>0</v>
      </c>
      <c r="DQ91" s="971">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R91" s="973">
        <f>IF(WWWW[[#This Row],[HRP3]]/WWWW[[#This Row],[Total PoP ]]&gt;1,1,WWWW[[#This Row],[HRP3]]/WWWW[[#This Row],[Total PoP ]])</f>
        <v>0.20286718961319988</v>
      </c>
      <c r="DS91" s="972">
        <f>1-WWWW[[#This Row],[Hygiene Coverage%]]</f>
        <v>0.79713281038680006</v>
      </c>
      <c r="DT91" s="970">
        <f>WWWW[[#This Row],['# people reached by regular dedicated hygiene promotion_5]]/WWWW[[#This Row],[Total PoP ]]</f>
        <v>0.20286718961319988</v>
      </c>
      <c r="DU9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1" s="971">
        <f>WWWW[[#This Row],['#_Constructed/Existing hand washing stations]]-WWWW[[#This Row],['#_Non-Functional_hand_washing_stations]]</f>
        <v>1</v>
      </c>
      <c r="DX91" s="968">
        <f>IF(WWWW[[#This Row],['# Functional hand washing stations during reporting period]]*20&gt;WWWW[[#This Row],[Total HH]],WWWW[[#This Row],[Total HH]],WWWW[[#This Row],['# Functional hand washing stations during reporting period]]*20)</f>
        <v>20</v>
      </c>
      <c r="DY91" s="968">
        <f>IF(WWWW[[#This Row],[Is sufficient soap available for TLS? (Yes/No)]]="yes",WWWW[[#This Row],['#_Constructed/Existing hand washing stations at TLS/CFS/THF]],0)</f>
        <v>0</v>
      </c>
      <c r="DZ91" s="425">
        <f>IF(WWWW[[#This Row],['# Functional hand washing stations during reporting period]]*100&gt;WWWW[[#This Row],[Total PoP ]],WWWW[[#This Row],[Total PoP ]],WWWW[[#This Row],['# Functional hand washing stations during reporting period]]*100)</f>
        <v>100</v>
      </c>
      <c r="EA91" s="425" t="str">
        <f>IF(OR(WWWW[[#This Row],['#_students at TLS_CFS]]="",WWWW[[#This Row],['#_students at TLS_CFS]]=0),"No","Yes")</f>
        <v>No</v>
      </c>
      <c r="EB9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1" s="570">
        <f>WWWW[[#This Row],[%_of_affected_people_surveyed_who_report_feeling_satistfied_with_the_latrine_design_and_sanitation_service]]*WWWW[[#This Row],[Total PoP ]]</f>
        <v>0</v>
      </c>
      <c r="ED91" s="570">
        <f>WWWW[[#This Row],[%_of_affected_people_surveyed_who_report_feeling_satistfied_with_the_water_point_design_and_water_service]]*WWWW[[#This Row],[Total PoP ]]</f>
        <v>0</v>
      </c>
      <c r="EE91" s="570">
        <f>WWWW[[#This Row],[%_of_complaints_received_that_result_in_timely_corrective_action_and_feedback_to_the_community]]*WWWW[[#This Row],[Total PoP ]]</f>
        <v>0</v>
      </c>
      <c r="EF9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9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1" s="964" t="str">
        <f>VLOOKUP(WWWW[[#This Row],[Site Name]],SiteDB6[[Site Name]:[CCCM Management]],6,FALSE)</f>
        <v>Yes</v>
      </c>
      <c r="EJ91" s="964" t="str">
        <f>VLOOKUP(WWWW[[#This Row],[Site Name]],SiteDB6[[Site Name]:[CCCM Focal Agency]],7,FALSE)</f>
        <v>KMSS-MYT</v>
      </c>
      <c r="EK91" s="964" t="str">
        <f>VLOOKUP(WWWW[[#This Row],[Site Name]],SiteDB6[[Site Name]:[Location Type 1]],9,FALSE)</f>
        <v>Camp</v>
      </c>
      <c r="EL91" s="964" t="str">
        <f>VLOOKUP(WWWW[[#This Row],[Site Name]],SiteDB6[[Site Name]:[Type of Accommodation]],10,FALSE)</f>
        <v>Camp</v>
      </c>
      <c r="EM91" s="964" t="str">
        <f>VLOOKUP(WWWW[[#This Row],[Site Name]],SiteDB6[[Site Name]:[Ethnic or GCA/NGCA]],11,FALSE)</f>
        <v>NGCA</v>
      </c>
      <c r="EN91" s="964">
        <f>VLOOKUP(WWWW[[#This Row],[Site Name]],SiteDB6[[Site Name]:[Lat]],12,FALSE)</f>
        <v>24.755253</v>
      </c>
      <c r="EO91" s="964">
        <f>VLOOKUP(WWWW[[#This Row],[Site Name]],SiteDB6[[Site Name]:[Long]],13,FALSE)</f>
        <v>97.546893999999995</v>
      </c>
      <c r="EP91" s="964" t="str">
        <f>VLOOKUP(WWWW[[#This Row],[Site Name]],SiteDB6[[Site Name]:[Pcode]],3,FALSE)</f>
        <v>MMR001CMP116</v>
      </c>
      <c r="EQ91" s="969" t="str">
        <f t="shared" si="3"/>
        <v>Covered</v>
      </c>
      <c r="ER91" s="969" t="s">
        <v>3147</v>
      </c>
      <c r="ES91" s="964">
        <f>VLOOKUP(WWWW[[#This Row],[Site Name]],SiteDB6[[Site Name]:[Pop
(Kachin/Shan-CCCM as of March 2023)]],16,FALSE)</f>
        <v>1352</v>
      </c>
      <c r="ET91" s="964">
        <f>VLOOKUP(WWWW[[#This Row],[Site Name]],SiteDB6[[Site Name]:[Pop
(Kachin/Shan-CCCM as of March 2023)]],17,FALSE)</f>
        <v>7253</v>
      </c>
    </row>
    <row r="92" spans="1:150" hidden="1">
      <c r="A92" s="962" t="s">
        <v>2977</v>
      </c>
      <c r="B92" s="962" t="s">
        <v>192</v>
      </c>
      <c r="C92" s="963" t="s">
        <v>192</v>
      </c>
      <c r="D92" s="963" t="s">
        <v>241</v>
      </c>
      <c r="E92" s="963" t="s">
        <v>515</v>
      </c>
      <c r="F92" s="963" t="s">
        <v>519</v>
      </c>
      <c r="G92" s="964" t="str">
        <f>VLOOKUP(WWWW[[#This Row],[Site Name]],SiteDB6[[Site Name]:[Location Type]],8,FALSE)</f>
        <v>Camp</v>
      </c>
      <c r="H92" s="963" t="s">
        <v>2896</v>
      </c>
      <c r="I92" s="965">
        <v>27</v>
      </c>
      <c r="J92" s="965">
        <v>162</v>
      </c>
      <c r="K92" s="966">
        <v>44511</v>
      </c>
      <c r="L92" s="967">
        <v>44926</v>
      </c>
      <c r="M92" s="965"/>
      <c r="N92" s="965"/>
      <c r="O92" s="965"/>
      <c r="P92" s="965"/>
      <c r="Q92" s="968"/>
      <c r="R92" s="965"/>
      <c r="S92" s="965"/>
      <c r="T92" s="445"/>
      <c r="U92" s="965"/>
      <c r="V92" s="965"/>
      <c r="W92" s="965"/>
      <c r="X92" s="965"/>
      <c r="Y92" s="965"/>
      <c r="Z92" s="965"/>
      <c r="AA92" s="965"/>
      <c r="AB92" s="965"/>
      <c r="AC92" s="965"/>
      <c r="AD92" s="965"/>
      <c r="AE92" s="965"/>
      <c r="AF92" s="965"/>
      <c r="AG92" s="965"/>
      <c r="AH92" s="965"/>
      <c r="AI92" s="965"/>
      <c r="AJ92" s="965"/>
      <c r="AK92" s="965"/>
      <c r="AL92" s="965"/>
      <c r="AM92" s="965"/>
      <c r="AN92" s="965"/>
      <c r="AO92" s="445"/>
      <c r="AP92" s="969"/>
      <c r="AQ92" s="965">
        <v>26</v>
      </c>
      <c r="AR92" s="965"/>
      <c r="AS92" s="970"/>
      <c r="AT92" s="965"/>
      <c r="AU92" s="965"/>
      <c r="AV92" s="965"/>
      <c r="AW92" s="965"/>
      <c r="AX92" s="965"/>
      <c r="AY92" s="964" t="s">
        <v>140</v>
      </c>
      <c r="AZ92" s="969" t="s">
        <v>140</v>
      </c>
      <c r="BA92" s="965"/>
      <c r="BB92" s="965"/>
      <c r="BC92" s="965"/>
      <c r="BD92" s="445"/>
      <c r="BE92" s="445"/>
      <c r="BF92" s="964"/>
      <c r="BG92" s="965">
        <v>7</v>
      </c>
      <c r="BH92" s="965"/>
      <c r="BI92" s="965"/>
      <c r="BJ92" s="965">
        <v>4</v>
      </c>
      <c r="BK92" s="965"/>
      <c r="BL92" s="965"/>
      <c r="BM92" s="965"/>
      <c r="BN92" s="965"/>
      <c r="BO92" s="965"/>
      <c r="BP92" s="964" t="s">
        <v>41</v>
      </c>
      <c r="BQ92" s="971"/>
      <c r="BR92" s="970"/>
      <c r="BS92" s="964"/>
      <c r="BT92" s="420"/>
      <c r="BU92" s="420"/>
      <c r="BV92" s="422"/>
      <c r="BW92" s="420"/>
      <c r="BX92" s="445"/>
      <c r="BY92" s="445"/>
      <c r="BZ92" s="445"/>
      <c r="CA92" s="445"/>
      <c r="CB92" s="445"/>
      <c r="CC92" s="702"/>
      <c r="CD92" s="445"/>
      <c r="CE92" s="972" t="str">
        <f>IFERROR(WWWW[[#This Row],['#_Water sources passed]]/WWWW[[#This Row],['#_Water sources tested for fecal coliform ]],"no test")</f>
        <v>no test</v>
      </c>
      <c r="CF92" s="970" t="str">
        <f>IFERROR(WWWW[[#This Row],['#_Household passed]]/WWWW[[#This Row],['#_Household water samples tested for fecal coliform]],"no test")</f>
        <v>no test</v>
      </c>
      <c r="CG92" s="971" t="str">
        <f>IF(AND(WWWW[[#This Row],[% of water sources passed]]="no test",WWWW[[#This Row],[% Household passed]]="no test"),"No Test","Tested")</f>
        <v>No Test</v>
      </c>
      <c r="CH92" s="971">
        <f>WWWW[[#This Row],['#_Constructed/existing protected hand dug well]]-WWWW[[#This Row],['#_Non-functional protected hand dug well]]</f>
        <v>0</v>
      </c>
      <c r="CI92" s="971">
        <f>(WWWW[[#This Row],['#_Constructed/Existing tube wells/boreholes/handpumps_WASH_agency]]+WWWW[[#This Row],['#_Non-Cluster partner water tube-wells/boreholes/handpumps]])-WWWW[[#This Row],['#_Non-functional tube wells/boreholes/handpumps]]</f>
        <v>0</v>
      </c>
      <c r="CJ92" s="971">
        <f>WWWW[[#This Row],['#_Constructed/Existingwater storage tank with gravity fed reticulation system]]-WWWW[[#This Row],['#_Non-functional storage tank gravity fed reticulation system]]</f>
        <v>0</v>
      </c>
      <c r="CK92" s="971">
        <f>(WWWW[[#This Row],['#_Water_Liters_supplied_by_Water boating or water trucking]]/90)/15</f>
        <v>0</v>
      </c>
      <c r="CL92" s="971">
        <f>WWWW[[#This Row],['#_Water_Liters_from_Constructed/Existing water distribution system from river or natural spring]]/90/15</f>
        <v>0</v>
      </c>
      <c r="CM92" s="421">
        <f>IF(WWWW[[#This Row],['#_of water points in TLS/CFS]]*500&gt;WWWW[[#This Row],[Total PoP ]],WWWW[[#This Row],[Total PoP ]],WWWW[[#This Row],['#_of water points in TLS/CFS]]*500)</f>
        <v>0</v>
      </c>
      <c r="CN92" s="421">
        <f>IF(WWWW[[#This Row],['#_of water points in THF]]*500&gt;WWWW[[#This Row],[Total PoP ]],WWWW[[#This Row],[Total PoP ]],WWWW[[#This Row],['#_of water points in THF]]*500)</f>
        <v>0</v>
      </c>
      <c r="CO92" s="421"/>
      <c r="CP9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9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92" s="970">
        <f>IF(WWWW[[#This Row],[Location Type 1]]="Village",WWWW[[#This Row],[Access to safe drinking water for Village]],WWWW[[#This Row],[Access to safe drinking water for Camp]])</f>
        <v>0</v>
      </c>
      <c r="CS92" s="968">
        <f>WWWW[[#This Row],[%Equitable and continuous access to sufficient quantity of safe drinking water]]*WWWW[[#This Row],[Total PoP ]]</f>
        <v>0</v>
      </c>
      <c r="CT92" s="970">
        <f>IF((WWWW[[#This Row],['#_Constructed/Existing protected/fenced ponds]]*250)/WWWW[[#This Row],[Total PoP ]]&gt;1,1,(WWWW[[#This Row],['#_Constructed/Existing protected/fenced ponds]]*250)/WWWW[[#This Row],[Total PoP ]])</f>
        <v>0</v>
      </c>
      <c r="CU92" s="968">
        <f>WWWW[[#This Row],[% Access to unimproved water points]]*WWWW[[#This Row],[Total PoP ]]</f>
        <v>0</v>
      </c>
      <c r="CV9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9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92" s="968">
        <f>WWWW[[#This Row],[HRP1]]/500</f>
        <v>0</v>
      </c>
      <c r="CY92" s="973">
        <f>1-WWWW[[#This Row],[% Equitable and continuous access to sufficient quantity of domestic water]]</f>
        <v>1</v>
      </c>
      <c r="CZ92" s="968">
        <f>WWWW[[#This Row],[%equitable and continuous access to sufficient quantity of safe drinking and domestic water''s GAP]]*WWWW[[#This Row],[Total PoP ]]</f>
        <v>162</v>
      </c>
      <c r="DA92" s="971">
        <f>IF(WWWW[[#This Row],[Total required water points]]-WWWW[[#This Row],['#Water points coverage]]&lt;0,0,WWWW[[#This Row],[Total required water points]]-WWWW[[#This Row],['#Water points coverage]])</f>
        <v>1</v>
      </c>
      <c r="DB92" s="971">
        <f>ROUND(IF(WWWW[[#This Row],[Total PoP ]]&lt;500,1,WWWW[[#This Row],[Total PoP ]]/500),0)</f>
        <v>1</v>
      </c>
      <c r="DC92" s="971">
        <f>(WWWW[[#This Row],['#_Constructed latrines_by_WASHAgencies]]+WWWW[[#This Row],['#_Non Cluster partner latrines]])-WWWW[[#This Row],['#_Non-functional latrines]]</f>
        <v>26</v>
      </c>
      <c r="DD92" s="619">
        <f>WWWW[[#This Row],[HRP2]]/WWWW[[#This Row],[Total PoP ]]</f>
        <v>1</v>
      </c>
      <c r="DE9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162</v>
      </c>
      <c r="DF9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2" s="421">
        <f>IF(WWWW[[#This Row],['# of functional latrines in THF supported by WASH partners during the reporting period2]]="",0,WWWW[[#This Row],['# of functional latrines in THF supported by WASH partners during the reporting period2]]*50)</f>
        <v>0</v>
      </c>
      <c r="DI92" s="971">
        <f>ROUND(IF(WWWW[[#This Row],[Location Type 1]]="camp",WWWW[[#This Row],[Total PoP ]]/20,IF(WWWW[[#This Row],[Location Type 1]]="Temporary Location",WWWW[[#This Row],[Total PoP ]]/50,(WWWW[[#This Row],[Total PoP ]]/6))),0)</f>
        <v>8</v>
      </c>
      <c r="DJ92" s="971">
        <f>IF(WWWW[[#This Row],[Total required Latrines]]-(WWWW[[#This Row],['#_Constructed latrines_by_WASHAgencies]]+WWWW[[#This Row],['#_Non Cluster partner latrines]])&lt;0,0,WWWW[[#This Row],[Total required Latrines]]-(WWWW[[#This Row],['#_Constructed latrines_by_WASHAgencies]]+WWWW[[#This Row],['#_Non Cluster partner latrines]]))</f>
        <v>0</v>
      </c>
      <c r="DK92" s="973">
        <f>1-WWWW[[#This Row],[% people access to functioning Latrine]]</f>
        <v>0</v>
      </c>
      <c r="DL92" s="972">
        <f>IF(OR(WWWW[[#This Row],['#_Non-functional latrines]]="",WWWW[[#This Row],['#_Non-functional latrines]]=0),0,WWWW[[#This Row],['#_Non-functional latrines]]/(WWWW[[#This Row],['#_Constructed latrines_by_WASHAgencies]]+WWWW[[#This Row],['#_Non Cluster partner latrines]]))</f>
        <v>0</v>
      </c>
      <c r="DM92" s="968">
        <f>IF(500*(WWWW[[#This Row],['#_male hygiene promoters]]+WWWW[[#This Row],['#_female hygiene promoters]])&gt;WWWW[[#This Row],[Total PoP ]],WWWW[[#This Row],[Total PoP ]],500*(WWWW[[#This Row],['#_male hygiene promoters]]+WWWW[[#This Row],['#_female hygiene promoters]]))</f>
        <v>0</v>
      </c>
      <c r="DN9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2" s="971">
        <f>IF(WWWW[[#This Row],['# People with access to soap]]&gt;WWWW[[#This Row],['# People with access to Sanity Pads]],WWWW[[#This Row],['# People with access to soap]],WWWW[[#This Row],['# People with access to Sanity Pads]])</f>
        <v>0</v>
      </c>
      <c r="DQ9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2" s="973">
        <f>IF(WWWW[[#This Row],[HRP3]]/WWWW[[#This Row],[Total PoP ]]&gt;1,1,WWWW[[#This Row],[HRP3]]/WWWW[[#This Row],[Total PoP ]])</f>
        <v>0</v>
      </c>
      <c r="DS92" s="972">
        <f>1-WWWW[[#This Row],[Hygiene Coverage%]]</f>
        <v>1</v>
      </c>
      <c r="DT92" s="970">
        <f>WWWW[[#This Row],['# people reached by regular dedicated hygiene promotion_5]]/WWWW[[#This Row],[Total PoP ]]</f>
        <v>0</v>
      </c>
      <c r="DU9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2" s="971">
        <f>WWWW[[#This Row],['#_Constructed/Existing hand washing stations]]-WWWW[[#This Row],['#_Non-Functional_hand_washing_stations]]</f>
        <v>7</v>
      </c>
      <c r="DX92" s="968">
        <f>IF(WWWW[[#This Row],['# Functional hand washing stations during reporting period]]*20&gt;WWWW[[#This Row],[Total HH]],WWWW[[#This Row],[Total HH]],WWWW[[#This Row],['# Functional hand washing stations during reporting period]]*20)</f>
        <v>27</v>
      </c>
      <c r="DY92" s="968">
        <f>IF(WWWW[[#This Row],[Is sufficient soap available for TLS? (Yes/No)]]="yes",WWWW[[#This Row],['#_Constructed/Existing hand washing stations at TLS/CFS/THF]],0)</f>
        <v>0</v>
      </c>
      <c r="DZ92" s="425">
        <f>IF(WWWW[[#This Row],['# Functional hand washing stations during reporting period]]*100&gt;WWWW[[#This Row],[Total PoP ]],WWWW[[#This Row],[Total PoP ]],WWWW[[#This Row],['# Functional hand washing stations during reporting period]]*100)</f>
        <v>162</v>
      </c>
      <c r="EA92" s="425" t="str">
        <f>IF(OR(WWWW[[#This Row],['#_students at TLS_CFS]]="",WWWW[[#This Row],['#_students at TLS_CFS]]=0),"No","Yes")</f>
        <v>No</v>
      </c>
      <c r="EB9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2" s="570">
        <f>WWWW[[#This Row],[%_of_affected_people_surveyed_who_report_feeling_satistfied_with_the_latrine_design_and_sanitation_service]]*WWWW[[#This Row],[Total PoP ]]</f>
        <v>0</v>
      </c>
      <c r="ED92" s="570">
        <f>WWWW[[#This Row],[%_of_affected_people_surveyed_who_report_feeling_satistfied_with_the_water_point_design_and_water_service]]*WWWW[[#This Row],[Total PoP ]]</f>
        <v>0</v>
      </c>
      <c r="EE92" s="570">
        <f>WWWW[[#This Row],[%_of_complaints_received_that_result_in_timely_corrective_action_and_feedback_to_the_community]]*WWWW[[#This Row],[Total PoP ]]</f>
        <v>0</v>
      </c>
      <c r="EF9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2" s="964">
        <f>VLOOKUP(WWWW[[#This Row],[Site Name]],SiteDB6[[Site Name]:[CCCM Management]],6,FALSE)</f>
        <v>0</v>
      </c>
      <c r="EJ92" s="964">
        <f>VLOOKUP(WWWW[[#This Row],[Site Name]],SiteDB6[[Site Name]:[CCCM Focal Agency]],7,FALSE)</f>
        <v>0</v>
      </c>
      <c r="EK92" s="964" t="str">
        <f>VLOOKUP(WWWW[[#This Row],[Site Name]],SiteDB6[[Site Name]:[Location Type 1]],9,FALSE)</f>
        <v>Camp</v>
      </c>
      <c r="EL92" s="964" t="str">
        <f>VLOOKUP(WWWW[[#This Row],[Site Name]],SiteDB6[[Site Name]:[Type of Accommodation]],10,FALSE)</f>
        <v>IDPs in host</v>
      </c>
      <c r="EM92" s="964" t="str">
        <f>VLOOKUP(WWWW[[#This Row],[Site Name]],SiteDB6[[Site Name]:[Ethnic or GCA/NGCA]],11,FALSE)</f>
        <v>GCA</v>
      </c>
      <c r="EN92" s="964">
        <f>VLOOKUP(WWWW[[#This Row],[Site Name]],SiteDB6[[Site Name]:[Lat]],12,FALSE)</f>
        <v>23.400155999999999</v>
      </c>
      <c r="EO92" s="964">
        <f>VLOOKUP(WWWW[[#This Row],[Site Name]],SiteDB6[[Site Name]:[Long]],13,FALSE)</f>
        <v>98.220614999999995</v>
      </c>
      <c r="EP92" s="964" t="str">
        <f>VLOOKUP(WWWW[[#This Row],[Site Name]],SiteDB6[[Site Name]:[Pcode]],3,FALSE)</f>
        <v>MMR015CMP071</v>
      </c>
      <c r="EQ92" s="969" t="str">
        <f t="shared" si="3"/>
        <v>Covered</v>
      </c>
      <c r="ER92" s="969" t="s">
        <v>3147</v>
      </c>
      <c r="ES92" s="964">
        <f>VLOOKUP(WWWW[[#This Row],[Site Name]],SiteDB6[[Site Name]:[Pop
(Kachin/Shan-CCCM as of March 2023)]],16,FALSE)</f>
        <v>27</v>
      </c>
      <c r="ET92" s="964">
        <f>VLOOKUP(WWWW[[#This Row],[Site Name]],SiteDB6[[Site Name]:[Pop
(Kachin/Shan-CCCM as of March 2023)]],17,FALSE)</f>
        <v>162</v>
      </c>
    </row>
    <row r="93" spans="1:150" hidden="1">
      <c r="A93" s="962" t="s">
        <v>2977</v>
      </c>
      <c r="B93" s="962" t="s">
        <v>192</v>
      </c>
      <c r="C93" s="963" t="s">
        <v>192</v>
      </c>
      <c r="D93" s="963" t="s">
        <v>2570</v>
      </c>
      <c r="E93" s="963" t="s">
        <v>515</v>
      </c>
      <c r="F93" s="963" t="s">
        <v>961</v>
      </c>
      <c r="G93" s="964" t="s">
        <v>1099</v>
      </c>
      <c r="H93" s="963" t="s">
        <v>2157</v>
      </c>
      <c r="I93" s="965">
        <v>23</v>
      </c>
      <c r="J93" s="965">
        <v>103</v>
      </c>
      <c r="K93" s="966">
        <v>44511</v>
      </c>
      <c r="L93" s="967">
        <v>44926</v>
      </c>
      <c r="M93" s="965"/>
      <c r="N93" s="965"/>
      <c r="O93" s="965"/>
      <c r="P93" s="965"/>
      <c r="Q93" s="968" t="s">
        <v>41</v>
      </c>
      <c r="R93" s="965">
        <v>5</v>
      </c>
      <c r="S93" s="965">
        <v>1</v>
      </c>
      <c r="T93" s="445">
        <v>1</v>
      </c>
      <c r="U93" s="965"/>
      <c r="V93" s="965"/>
      <c r="W93" s="965"/>
      <c r="X93" s="965">
        <v>1</v>
      </c>
      <c r="Y93" s="965"/>
      <c r="Z93" s="965"/>
      <c r="AA93" s="965"/>
      <c r="AB93" s="965"/>
      <c r="AC93" s="965"/>
      <c r="AD93" s="965"/>
      <c r="AE93" s="965"/>
      <c r="AF93" s="965"/>
      <c r="AG93" s="965"/>
      <c r="AH93" s="965"/>
      <c r="AI93" s="965"/>
      <c r="AJ93" s="965"/>
      <c r="AK93" s="965"/>
      <c r="AL93" s="965"/>
      <c r="AM93" s="965"/>
      <c r="AN93" s="965"/>
      <c r="AO93" s="445"/>
      <c r="AP93" s="969"/>
      <c r="AQ93" s="965">
        <v>23</v>
      </c>
      <c r="AR93" s="965"/>
      <c r="AS93" s="970"/>
      <c r="AT93" s="965"/>
      <c r="AU93" s="965"/>
      <c r="AV93" s="965"/>
      <c r="AW93" s="965"/>
      <c r="AX93" s="965"/>
      <c r="AY93" s="964" t="s">
        <v>140</v>
      </c>
      <c r="AZ93" s="969" t="s">
        <v>140</v>
      </c>
      <c r="BA93" s="965"/>
      <c r="BB93" s="965"/>
      <c r="BC93" s="965"/>
      <c r="BD93" s="445"/>
      <c r="BE93" s="445"/>
      <c r="BF93" s="964"/>
      <c r="BG93" s="965">
        <v>3</v>
      </c>
      <c r="BH93" s="965"/>
      <c r="BI93" s="965"/>
      <c r="BJ93" s="965">
        <v>2</v>
      </c>
      <c r="BK93" s="965"/>
      <c r="BL93" s="965"/>
      <c r="BM93" s="965"/>
      <c r="BN93" s="965"/>
      <c r="BO93" s="965"/>
      <c r="BP93" s="964" t="s">
        <v>41</v>
      </c>
      <c r="BQ93" s="971"/>
      <c r="BR93" s="970"/>
      <c r="BS93" s="964"/>
      <c r="BT93" s="420"/>
      <c r="BU93" s="420"/>
      <c r="BV93" s="422"/>
      <c r="BW93" s="420"/>
      <c r="BX93" s="445"/>
      <c r="BY93" s="445"/>
      <c r="BZ93" s="445"/>
      <c r="CA93" s="445"/>
      <c r="CB93" s="445"/>
      <c r="CC93" s="702"/>
      <c r="CD93" s="445"/>
      <c r="CE93" s="972" t="str">
        <f>IFERROR(WWWW[[#This Row],['#_Water sources passed]]/WWWW[[#This Row],['#_Water sources tested for fecal coliform ]],"no test")</f>
        <v>no test</v>
      </c>
      <c r="CF93" s="970" t="str">
        <f>IFERROR(WWWW[[#This Row],['#_Household passed]]/WWWW[[#This Row],['#_Household water samples tested for fecal coliform]],"no test")</f>
        <v>no test</v>
      </c>
      <c r="CG93" s="971" t="str">
        <f>IF(AND(WWWW[[#This Row],[% of water sources passed]]="no test",WWWW[[#This Row],[% Household passed]]="no test"),"No Test","Tested")</f>
        <v>No Test</v>
      </c>
      <c r="CH93" s="971">
        <f>WWWW[[#This Row],['#_Constructed/existing protected hand dug well]]-WWWW[[#This Row],['#_Non-functional protected hand dug well]]</f>
        <v>1</v>
      </c>
      <c r="CI93" s="971">
        <f>(WWWW[[#This Row],['#_Constructed/Existing tube wells/boreholes/handpumps_WASH_agency]]+WWWW[[#This Row],['#_Non-Cluster partner water tube-wells/boreholes/handpumps]])-WWWW[[#This Row],['#_Non-functional tube wells/boreholes/handpumps]]</f>
        <v>1</v>
      </c>
      <c r="CJ93" s="971">
        <f>WWWW[[#This Row],['#_Constructed/Existingwater storage tank with gravity fed reticulation system]]-WWWW[[#This Row],['#_Non-functional storage tank gravity fed reticulation system]]</f>
        <v>0</v>
      </c>
      <c r="CK93" s="971">
        <f>(WWWW[[#This Row],['#_Water_Liters_supplied_by_Water boating or water trucking]]/90)/15</f>
        <v>0</v>
      </c>
      <c r="CL93" s="971">
        <f>WWWW[[#This Row],['#_Water_Liters_from_Constructed/Existing water distribution system from river or natural spring]]/90/15</f>
        <v>0</v>
      </c>
      <c r="CM93" s="421">
        <f>IF(WWWW[[#This Row],['#_of water points in TLS/CFS]]*500&gt;WWWW[[#This Row],[Total PoP ]],WWWW[[#This Row],[Total PoP ]],WWWW[[#This Row],['#_of water points in TLS/CFS]]*500)</f>
        <v>0</v>
      </c>
      <c r="CN93" s="421">
        <f>IF(WWWW[[#This Row],['#_of water points in THF]]*500&gt;WWWW[[#This Row],[Total PoP ]],WWWW[[#This Row],[Total PoP ]],WWWW[[#This Row],['#_of water points in THF]]*500)</f>
        <v>0</v>
      </c>
      <c r="CO93" s="421"/>
      <c r="CP9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3" s="970">
        <f>IF(WWWW[[#This Row],[Location Type 1]]="Village",WWWW[[#This Row],[Access to safe drinking water for Village]],WWWW[[#This Row],[Access to safe drinking water for Camp]])</f>
        <v>1</v>
      </c>
      <c r="CS93" s="968">
        <f>WWWW[[#This Row],[%Equitable and continuous access to sufficient quantity of safe drinking water]]*WWWW[[#This Row],[Total PoP ]]</f>
        <v>103</v>
      </c>
      <c r="CT93" s="970">
        <f>IF((WWWW[[#This Row],['#_Constructed/Existing protected/fenced ponds]]*250)/WWWW[[#This Row],[Total PoP ]]&gt;1,1,(WWWW[[#This Row],['#_Constructed/Existing protected/fenced ponds]]*250)/WWWW[[#This Row],[Total PoP ]])</f>
        <v>0</v>
      </c>
      <c r="CU93" s="968">
        <f>WWWW[[#This Row],[% Access to unimproved water points]]*WWWW[[#This Row],[Total PoP ]]</f>
        <v>0</v>
      </c>
      <c r="CV9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X93" s="968">
        <f>WWWW[[#This Row],[HRP1]]/500</f>
        <v>0.20599999999999999</v>
      </c>
      <c r="CY93" s="973">
        <f>1-WWWW[[#This Row],[% Equitable and continuous access to sufficient quantity of domestic water]]</f>
        <v>0</v>
      </c>
      <c r="CZ93" s="968">
        <f>WWWW[[#This Row],[%equitable and continuous access to sufficient quantity of safe drinking and domestic water''s GAP]]*WWWW[[#This Row],[Total PoP ]]</f>
        <v>0</v>
      </c>
      <c r="DA93" s="971">
        <f>IF(WWWW[[#This Row],[Total required water points]]-WWWW[[#This Row],['#Water points coverage]]&lt;0,0,WWWW[[#This Row],[Total required water points]]-WWWW[[#This Row],['#Water points coverage]])</f>
        <v>0.79400000000000004</v>
      </c>
      <c r="DB93" s="971">
        <f>ROUND(IF(WWWW[[#This Row],[Total PoP ]]&lt;500,1,WWWW[[#This Row],[Total PoP ]]/500),0)</f>
        <v>1</v>
      </c>
      <c r="DC93" s="971">
        <f>(WWWW[[#This Row],['#_Constructed latrines_by_WASHAgencies]]+WWWW[[#This Row],['#_Non Cluster partner latrines]])-WWWW[[#This Row],['#_Non-functional latrines]]</f>
        <v>23</v>
      </c>
      <c r="DD93" s="619">
        <f>WWWW[[#This Row],[HRP2]]/WWWW[[#This Row],[Total PoP ]]</f>
        <v>1</v>
      </c>
      <c r="DE9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103</v>
      </c>
      <c r="DF9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3" s="421">
        <f>IF(WWWW[[#This Row],['# of functional latrines in THF supported by WASH partners during the reporting period2]]="",0,WWWW[[#This Row],['# of functional latrines in THF supported by WASH partners during the reporting period2]]*50)</f>
        <v>0</v>
      </c>
      <c r="DI93" s="971">
        <f>ROUND(IF(WWWW[[#This Row],[Location Type 1]]="camp",WWWW[[#This Row],[Total PoP ]]/20,IF(WWWW[[#This Row],[Location Type 1]]="Temporary Location",WWWW[[#This Row],[Total PoP ]]/50,(WWWW[[#This Row],[Total PoP ]]/6))),0)</f>
        <v>5</v>
      </c>
      <c r="DJ93" s="971">
        <f>IF(WWWW[[#This Row],[Total required Latrines]]-(WWWW[[#This Row],['#_Constructed latrines_by_WASHAgencies]]+WWWW[[#This Row],['#_Non Cluster partner latrines]])&lt;0,0,WWWW[[#This Row],[Total required Latrines]]-(WWWW[[#This Row],['#_Constructed latrines_by_WASHAgencies]]+WWWW[[#This Row],['#_Non Cluster partner latrines]]))</f>
        <v>0</v>
      </c>
      <c r="DK93" s="973">
        <f>1-WWWW[[#This Row],[% people access to functioning Latrine]]</f>
        <v>0</v>
      </c>
      <c r="DL93" s="972">
        <f>IF(OR(WWWW[[#This Row],['#_Non-functional latrines]]="",WWWW[[#This Row],['#_Non-functional latrines]]=0),0,WWWW[[#This Row],['#_Non-functional latrines]]/(WWWW[[#This Row],['#_Constructed latrines_by_WASHAgencies]]+WWWW[[#This Row],['#_Non Cluster partner latrines]]))</f>
        <v>0</v>
      </c>
      <c r="DM93" s="968">
        <f>IF(500*(WWWW[[#This Row],['#_male hygiene promoters]]+WWWW[[#This Row],['#_female hygiene promoters]])&gt;WWWW[[#This Row],[Total PoP ]],WWWW[[#This Row],[Total PoP ]],500*(WWWW[[#This Row],['#_male hygiene promoters]]+WWWW[[#This Row],['#_female hygiene promoters]]))</f>
        <v>0</v>
      </c>
      <c r="DN9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3" s="971">
        <f>IF(WWWW[[#This Row],['# People with access to soap]]&gt;WWWW[[#This Row],['# People with access to Sanity Pads]],WWWW[[#This Row],['# People with access to soap]],WWWW[[#This Row],['# People with access to Sanity Pads]])</f>
        <v>0</v>
      </c>
      <c r="DQ9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3" s="973">
        <f>IF(WWWW[[#This Row],[HRP3]]/WWWW[[#This Row],[Total PoP ]]&gt;1,1,WWWW[[#This Row],[HRP3]]/WWWW[[#This Row],[Total PoP ]])</f>
        <v>0</v>
      </c>
      <c r="DS93" s="972">
        <f>1-WWWW[[#This Row],[Hygiene Coverage%]]</f>
        <v>1</v>
      </c>
      <c r="DT93" s="970">
        <f>WWWW[[#This Row],['# people reached by regular dedicated hygiene promotion_5]]/WWWW[[#This Row],[Total PoP ]]</f>
        <v>0</v>
      </c>
      <c r="DU9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3" s="971">
        <f>WWWW[[#This Row],['#_Constructed/Existing hand washing stations]]-WWWW[[#This Row],['#_Non-Functional_hand_washing_stations]]</f>
        <v>3</v>
      </c>
      <c r="DX93" s="968">
        <f>IF(WWWW[[#This Row],['# Functional hand washing stations during reporting period]]*20&gt;WWWW[[#This Row],[Total HH]],WWWW[[#This Row],[Total HH]],WWWW[[#This Row],['# Functional hand washing stations during reporting period]]*20)</f>
        <v>23</v>
      </c>
      <c r="DY93" s="968">
        <f>IF(WWWW[[#This Row],[Is sufficient soap available for TLS? (Yes/No)]]="yes",WWWW[[#This Row],['#_Constructed/Existing hand washing stations at TLS/CFS/THF]],0)</f>
        <v>0</v>
      </c>
      <c r="DZ93" s="425">
        <f>IF(WWWW[[#This Row],['# Functional hand washing stations during reporting period]]*100&gt;WWWW[[#This Row],[Total PoP ]],WWWW[[#This Row],[Total PoP ]],WWWW[[#This Row],['# Functional hand washing stations during reporting period]]*100)</f>
        <v>103</v>
      </c>
      <c r="EA93" s="425" t="str">
        <f>IF(OR(WWWW[[#This Row],['#_students at TLS_CFS]]="",WWWW[[#This Row],['#_students at TLS_CFS]]=0),"No","Yes")</f>
        <v>No</v>
      </c>
      <c r="EB9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3" s="570">
        <f>WWWW[[#This Row],[%_of_affected_people_surveyed_who_report_feeling_satistfied_with_the_latrine_design_and_sanitation_service]]*WWWW[[#This Row],[Total PoP ]]</f>
        <v>0</v>
      </c>
      <c r="ED93" s="570">
        <f>WWWW[[#This Row],[%_of_affected_people_surveyed_who_report_feeling_satistfied_with_the_water_point_design_and_water_service]]*WWWW[[#This Row],[Total PoP ]]</f>
        <v>0</v>
      </c>
      <c r="EE93" s="570">
        <f>WWWW[[#This Row],[%_of_complaints_received_that_result_in_timely_corrective_action_and_feedback_to_the_community]]*WWWW[[#This Row],[Total PoP ]]</f>
        <v>0</v>
      </c>
      <c r="EF9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3" s="964">
        <f>VLOOKUP(WWWW[[#This Row],[Site Name]],SiteDB6[[Site Name]:[CCCM Management]],6,FALSE)</f>
        <v>0</v>
      </c>
      <c r="EJ93" s="964">
        <f>VLOOKUP(WWWW[[#This Row],[Site Name]],SiteDB6[[Site Name]:[CCCM Focal Agency]],7,FALSE)</f>
        <v>0</v>
      </c>
      <c r="EK93" s="964" t="str">
        <f>VLOOKUP(WWWW[[#This Row],[Site Name]],SiteDB6[[Site Name]:[Location Type 1]],9,FALSE)</f>
        <v>Camp</v>
      </c>
      <c r="EL93" s="964" t="str">
        <f>VLOOKUP(WWWW[[#This Row],[Site Name]],SiteDB6[[Site Name]:[Type of Accommodation]],10,FALSE)</f>
        <v>Camp like setting</v>
      </c>
      <c r="EM93" s="964" t="str">
        <f>VLOOKUP(WWWW[[#This Row],[Site Name]],SiteDB6[[Site Name]:[Ethnic or GCA/NGCA]],11,FALSE)</f>
        <v>GCA</v>
      </c>
      <c r="EN93" s="964">
        <f>VLOOKUP(WWWW[[#This Row],[Site Name]],SiteDB6[[Site Name]:[Lat]],12,FALSE)</f>
        <v>0</v>
      </c>
      <c r="EO93" s="964">
        <f>VLOOKUP(WWWW[[#This Row],[Site Name]],SiteDB6[[Site Name]:[Long]],13,FALSE)</f>
        <v>0</v>
      </c>
      <c r="EP93" s="964">
        <f>VLOOKUP(WWWW[[#This Row],[Site Name]],SiteDB6[[Site Name]:[Pcode]],3,FALSE)</f>
        <v>0</v>
      </c>
      <c r="EQ93" s="969" t="str">
        <f t="shared" si="3"/>
        <v>Covered</v>
      </c>
      <c r="ER93" s="969" t="s">
        <v>3147</v>
      </c>
      <c r="ES93" s="964">
        <f>VLOOKUP(WWWW[[#This Row],[Site Name]],SiteDB6[[Site Name]:[Pop
(Kachin/Shan-CCCM as of March 2023)]],16,FALSE)</f>
        <v>0</v>
      </c>
      <c r="ET93" s="964">
        <f>VLOOKUP(WWWW[[#This Row],[Site Name]],SiteDB6[[Site Name]:[Pop
(Kachin/Shan-CCCM as of March 2023)]],17,FALSE)</f>
        <v>0</v>
      </c>
    </row>
    <row r="94" spans="1:150" hidden="1">
      <c r="A94" s="962" t="s">
        <v>2977</v>
      </c>
      <c r="B94" s="962" t="s">
        <v>192</v>
      </c>
      <c r="C94" s="963" t="s">
        <v>192</v>
      </c>
      <c r="D94" s="963" t="s">
        <v>2648</v>
      </c>
      <c r="E94" s="963" t="s">
        <v>515</v>
      </c>
      <c r="F94" s="963" t="s">
        <v>519</v>
      </c>
      <c r="G94" s="964" t="str">
        <f>VLOOKUP(WWWW[[#This Row],[Site Name]],SiteDB6[[Site Name]:[Location Type]],8,FALSE)</f>
        <v>Camp</v>
      </c>
      <c r="H94" s="963" t="s">
        <v>1720</v>
      </c>
      <c r="I94" s="965">
        <v>74</v>
      </c>
      <c r="J94" s="965">
        <v>439</v>
      </c>
      <c r="K94" s="966">
        <v>44511</v>
      </c>
      <c r="L94" s="967">
        <v>44926</v>
      </c>
      <c r="M94" s="965"/>
      <c r="N94" s="965">
        <v>1</v>
      </c>
      <c r="O94" s="965"/>
      <c r="P94" s="965"/>
      <c r="Q94" s="968" t="s">
        <v>41</v>
      </c>
      <c r="R94" s="965">
        <v>5</v>
      </c>
      <c r="S94" s="965">
        <v>1</v>
      </c>
      <c r="T94" s="445"/>
      <c r="U94" s="965"/>
      <c r="V94" s="965"/>
      <c r="W94" s="965"/>
      <c r="X94" s="965"/>
      <c r="Y94" s="965"/>
      <c r="Z94" s="965"/>
      <c r="AA94" s="965">
        <v>14</v>
      </c>
      <c r="AB94" s="965"/>
      <c r="AC94" s="965"/>
      <c r="AD94" s="965"/>
      <c r="AE94" s="965"/>
      <c r="AF94" s="965"/>
      <c r="AG94" s="965"/>
      <c r="AH94" s="965"/>
      <c r="AI94" s="965"/>
      <c r="AJ94" s="965"/>
      <c r="AK94" s="965"/>
      <c r="AL94" s="965"/>
      <c r="AM94" s="965"/>
      <c r="AN94" s="965"/>
      <c r="AO94" s="445"/>
      <c r="AP94" s="969"/>
      <c r="AQ94" s="965">
        <v>40</v>
      </c>
      <c r="AR94" s="965"/>
      <c r="AS94" s="970"/>
      <c r="AT94" s="965"/>
      <c r="AU94" s="965"/>
      <c r="AV94" s="965"/>
      <c r="AW94" s="965"/>
      <c r="AX94" s="965"/>
      <c r="AY94" s="964" t="s">
        <v>140</v>
      </c>
      <c r="AZ94" s="969" t="s">
        <v>140</v>
      </c>
      <c r="BA94" s="965"/>
      <c r="BB94" s="965"/>
      <c r="BC94" s="965"/>
      <c r="BD94" s="445"/>
      <c r="BE94" s="445"/>
      <c r="BF94" s="964"/>
      <c r="BG94" s="965">
        <v>3</v>
      </c>
      <c r="BH94" s="965"/>
      <c r="BI94" s="965"/>
      <c r="BJ94" s="965">
        <v>2</v>
      </c>
      <c r="BK94" s="965"/>
      <c r="BL94" s="965"/>
      <c r="BM94" s="965">
        <v>1</v>
      </c>
      <c r="BN94" s="965"/>
      <c r="BO94" s="965"/>
      <c r="BP94" s="964" t="s">
        <v>41</v>
      </c>
      <c r="BQ94" s="971"/>
      <c r="BR94" s="970"/>
      <c r="BS94" s="964"/>
      <c r="BT94" s="420"/>
      <c r="BU94" s="420"/>
      <c r="BV94" s="422"/>
      <c r="BW94" s="420"/>
      <c r="BX94" s="445"/>
      <c r="BY94" s="445"/>
      <c r="BZ94" s="445"/>
      <c r="CA94" s="445"/>
      <c r="CB94" s="445"/>
      <c r="CC94" s="702"/>
      <c r="CD94" s="445"/>
      <c r="CE94" s="972" t="str">
        <f>IFERROR(WWWW[[#This Row],['#_Water sources passed]]/WWWW[[#This Row],['#_Water sources tested for fecal coliform ]],"no test")</f>
        <v>no test</v>
      </c>
      <c r="CF94" s="970" t="str">
        <f>IFERROR(WWWW[[#This Row],['#_Household passed]]/WWWW[[#This Row],['#_Household water samples tested for fecal coliform]],"no test")</f>
        <v>no test</v>
      </c>
      <c r="CG94" s="971" t="str">
        <f>IF(AND(WWWW[[#This Row],[% of water sources passed]]="no test",WWWW[[#This Row],[% Household passed]]="no test"),"No Test","Tested")</f>
        <v>No Test</v>
      </c>
      <c r="CH94" s="971">
        <f>WWWW[[#This Row],['#_Constructed/existing protected hand dug well]]-WWWW[[#This Row],['#_Non-functional protected hand dug well]]</f>
        <v>0</v>
      </c>
      <c r="CI94" s="971">
        <f>(WWWW[[#This Row],['#_Constructed/Existing tube wells/boreholes/handpumps_WASH_agency]]+WWWW[[#This Row],['#_Non-Cluster partner water tube-wells/boreholes/handpumps]])-WWWW[[#This Row],['#_Non-functional tube wells/boreholes/handpumps]]</f>
        <v>0</v>
      </c>
      <c r="CJ94" s="971">
        <f>WWWW[[#This Row],['#_Constructed/Existingwater storage tank with gravity fed reticulation system]]-WWWW[[#This Row],['#_Non-functional storage tank gravity fed reticulation system]]</f>
        <v>14</v>
      </c>
      <c r="CK94" s="971">
        <f>(WWWW[[#This Row],['#_Water_Liters_supplied_by_Water boating or water trucking]]/90)/15</f>
        <v>0</v>
      </c>
      <c r="CL94" s="971">
        <f>WWWW[[#This Row],['#_Water_Liters_from_Constructed/Existing water distribution system from river or natural spring]]/90/15</f>
        <v>0</v>
      </c>
      <c r="CM94" s="421">
        <f>IF(WWWW[[#This Row],['#_of water points in TLS/CFS]]*500&gt;WWWW[[#This Row],[Total PoP ]],WWWW[[#This Row],[Total PoP ]],WWWW[[#This Row],['#_of water points in TLS/CFS]]*500)</f>
        <v>0</v>
      </c>
      <c r="CN94" s="421">
        <f>IF(WWWW[[#This Row],['#_of water points in THF]]*500&gt;WWWW[[#This Row],[Total PoP ]],WWWW[[#This Row],[Total PoP ]],WWWW[[#This Row],['#_of water points in THF]]*500)</f>
        <v>0</v>
      </c>
      <c r="CO94" s="421"/>
      <c r="CP9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4" s="970">
        <f>IF(WWWW[[#This Row],[Location Type 1]]="Village",WWWW[[#This Row],[Access to safe drinking water for Village]],WWWW[[#This Row],[Access to safe drinking water for Camp]])</f>
        <v>1</v>
      </c>
      <c r="CS94" s="968">
        <f>WWWW[[#This Row],[%Equitable and continuous access to sufficient quantity of safe drinking water]]*WWWW[[#This Row],[Total PoP ]]</f>
        <v>439</v>
      </c>
      <c r="CT94" s="970">
        <f>IF((WWWW[[#This Row],['#_Constructed/Existing protected/fenced ponds]]*250)/WWWW[[#This Row],[Total PoP ]]&gt;1,1,(WWWW[[#This Row],['#_Constructed/Existing protected/fenced ponds]]*250)/WWWW[[#This Row],[Total PoP ]])</f>
        <v>0</v>
      </c>
      <c r="CU94" s="968">
        <f>WWWW[[#This Row],[% Access to unimproved water points]]*WWWW[[#This Row],[Total PoP ]]</f>
        <v>0</v>
      </c>
      <c r="CV9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X94" s="968">
        <f>WWWW[[#This Row],[HRP1]]/500</f>
        <v>0.878</v>
      </c>
      <c r="CY94" s="973">
        <f>1-WWWW[[#This Row],[% Equitable and continuous access to sufficient quantity of domestic water]]</f>
        <v>0</v>
      </c>
      <c r="CZ94" s="968">
        <f>WWWW[[#This Row],[%equitable and continuous access to sufficient quantity of safe drinking and domestic water''s GAP]]*WWWW[[#This Row],[Total PoP ]]</f>
        <v>0</v>
      </c>
      <c r="DA94" s="971">
        <f>IF(WWWW[[#This Row],[Total required water points]]-WWWW[[#This Row],['#Water points coverage]]&lt;0,0,WWWW[[#This Row],[Total required water points]]-WWWW[[#This Row],['#Water points coverage]])</f>
        <v>0.122</v>
      </c>
      <c r="DB94" s="971">
        <f>ROUND(IF(WWWW[[#This Row],[Total PoP ]]&lt;500,1,WWWW[[#This Row],[Total PoP ]]/500),0)</f>
        <v>1</v>
      </c>
      <c r="DC94" s="971">
        <f>(WWWW[[#This Row],['#_Constructed latrines_by_WASHAgencies]]+WWWW[[#This Row],['#_Non Cluster partner latrines]])-WWWW[[#This Row],['#_Non-functional latrines]]</f>
        <v>40</v>
      </c>
      <c r="DD94" s="619">
        <f>WWWW[[#This Row],[HRP2]]/WWWW[[#This Row],[Total PoP ]]</f>
        <v>1</v>
      </c>
      <c r="DE9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439</v>
      </c>
      <c r="DF9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4" s="421">
        <f>IF(WWWW[[#This Row],['# of functional latrines in THF supported by WASH partners during the reporting period2]]="",0,WWWW[[#This Row],['# of functional latrines in THF supported by WASH partners during the reporting period2]]*50)</f>
        <v>0</v>
      </c>
      <c r="DI94" s="971">
        <f>ROUND(IF(WWWW[[#This Row],[Location Type 1]]="camp",WWWW[[#This Row],[Total PoP ]]/20,IF(WWWW[[#This Row],[Location Type 1]]="Temporary Location",WWWW[[#This Row],[Total PoP ]]/50,(WWWW[[#This Row],[Total PoP ]]/6))),0)</f>
        <v>22</v>
      </c>
      <c r="DJ94" s="971">
        <f>IF(WWWW[[#This Row],[Total required Latrines]]-(WWWW[[#This Row],['#_Constructed latrines_by_WASHAgencies]]+WWWW[[#This Row],['#_Non Cluster partner latrines]])&lt;0,0,WWWW[[#This Row],[Total required Latrines]]-(WWWW[[#This Row],['#_Constructed latrines_by_WASHAgencies]]+WWWW[[#This Row],['#_Non Cluster partner latrines]]))</f>
        <v>0</v>
      </c>
      <c r="DK94" s="973">
        <f>1-WWWW[[#This Row],[% people access to functioning Latrine]]</f>
        <v>0</v>
      </c>
      <c r="DL94" s="972">
        <f>IF(OR(WWWW[[#This Row],['#_Non-functional latrines]]="",WWWW[[#This Row],['#_Non-functional latrines]]=0),0,WWWW[[#This Row],['#_Non-functional latrines]]/(WWWW[[#This Row],['#_Constructed latrines_by_WASHAgencies]]+WWWW[[#This Row],['#_Non Cluster partner latrines]]))</f>
        <v>0</v>
      </c>
      <c r="DM94" s="968">
        <f>IF(500*(WWWW[[#This Row],['#_male hygiene promoters]]+WWWW[[#This Row],['#_female hygiene promoters]])&gt;WWWW[[#This Row],[Total PoP ]],WWWW[[#This Row],[Total PoP ]],500*(WWWW[[#This Row],['#_male hygiene promoters]]+WWWW[[#This Row],['#_female hygiene promoters]]))</f>
        <v>439</v>
      </c>
      <c r="DN9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4" s="971">
        <f>IF(WWWW[[#This Row],['# People with access to soap]]&gt;WWWW[[#This Row],['# People with access to Sanity Pads]],WWWW[[#This Row],['# People with access to soap]],WWWW[[#This Row],['# People with access to Sanity Pads]])</f>
        <v>0</v>
      </c>
      <c r="DQ94" s="971">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R94" s="973">
        <f>IF(WWWW[[#This Row],[HRP3]]/WWWW[[#This Row],[Total PoP ]]&gt;1,1,WWWW[[#This Row],[HRP3]]/WWWW[[#This Row],[Total PoP ]])</f>
        <v>1</v>
      </c>
      <c r="DS94" s="972">
        <f>1-WWWW[[#This Row],[Hygiene Coverage%]]</f>
        <v>0</v>
      </c>
      <c r="DT94" s="970">
        <f>WWWW[[#This Row],['# people reached by regular dedicated hygiene promotion_5]]/WWWW[[#This Row],[Total PoP ]]</f>
        <v>1</v>
      </c>
      <c r="DU9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4" s="971">
        <f>WWWW[[#This Row],['#_Constructed/Existing hand washing stations]]-WWWW[[#This Row],['#_Non-Functional_hand_washing_stations]]</f>
        <v>3</v>
      </c>
      <c r="DX94" s="968">
        <f>IF(WWWW[[#This Row],['# Functional hand washing stations during reporting period]]*20&gt;WWWW[[#This Row],[Total HH]],WWWW[[#This Row],[Total HH]],WWWW[[#This Row],['# Functional hand washing stations during reporting period]]*20)</f>
        <v>60</v>
      </c>
      <c r="DY94" s="968">
        <f>IF(WWWW[[#This Row],[Is sufficient soap available for TLS? (Yes/No)]]="yes",WWWW[[#This Row],['#_Constructed/Existing hand washing stations at TLS/CFS/THF]],0)</f>
        <v>0</v>
      </c>
      <c r="DZ94" s="425">
        <f>IF(WWWW[[#This Row],['# Functional hand washing stations during reporting period]]*100&gt;WWWW[[#This Row],[Total PoP ]],WWWW[[#This Row],[Total PoP ]],WWWW[[#This Row],['# Functional hand washing stations during reporting period]]*100)</f>
        <v>300</v>
      </c>
      <c r="EA94" s="425" t="str">
        <f>IF(OR(WWWW[[#This Row],['#_students at TLS_CFS]]="",WWWW[[#This Row],['#_students at TLS_CFS]]=0),"No","Yes")</f>
        <v>No</v>
      </c>
      <c r="EB9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4" s="570">
        <f>WWWW[[#This Row],[%_of_affected_people_surveyed_who_report_feeling_satistfied_with_the_latrine_design_and_sanitation_service]]*WWWW[[#This Row],[Total PoP ]]</f>
        <v>0</v>
      </c>
      <c r="ED94" s="570">
        <f>WWWW[[#This Row],[%_of_affected_people_surveyed_who_report_feeling_satistfied_with_the_water_point_design_and_water_service]]*WWWW[[#This Row],[Total PoP ]]</f>
        <v>0</v>
      </c>
      <c r="EE94" s="570">
        <f>WWWW[[#This Row],[%_of_complaints_received_that_result_in_timely_corrective_action_and_feedback_to_the_community]]*WWWW[[#This Row],[Total PoP ]]</f>
        <v>0</v>
      </c>
      <c r="EF9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4" s="964">
        <f>VLOOKUP(WWWW[[#This Row],[Site Name]],SiteDB6[[Site Name]:[CCCM Management]],6,FALSE)</f>
        <v>0</v>
      </c>
      <c r="EJ94" s="964" t="str">
        <f>VLOOKUP(WWWW[[#This Row],[Site Name]],SiteDB6[[Site Name]:[CCCM Focal Agency]],7,FALSE)</f>
        <v>uncovered</v>
      </c>
      <c r="EK94" s="964" t="str">
        <f>VLOOKUP(WWWW[[#This Row],[Site Name]],SiteDB6[[Site Name]:[Location Type 1]],9,FALSE)</f>
        <v>Camp</v>
      </c>
      <c r="EL94" s="964" t="str">
        <f>VLOOKUP(WWWW[[#This Row],[Site Name]],SiteDB6[[Site Name]:[Type of Accommodation]],10,FALSE)</f>
        <v>Camp like setting</v>
      </c>
      <c r="EM94" s="964" t="str">
        <f>VLOOKUP(WWWW[[#This Row],[Site Name]],SiteDB6[[Site Name]:[Ethnic or GCA/NGCA]],11,FALSE)</f>
        <v>GCA</v>
      </c>
      <c r="EN94" s="964">
        <f>VLOOKUP(WWWW[[#This Row],[Site Name]],SiteDB6[[Site Name]:[Lat]],12,FALSE)</f>
        <v>23.234137</v>
      </c>
      <c r="EO94" s="964">
        <f>VLOOKUP(WWWW[[#This Row],[Site Name]],SiteDB6[[Site Name]:[Long]],13,FALSE)</f>
        <v>97.505339000000006</v>
      </c>
      <c r="EP94" s="964" t="str">
        <f>VLOOKUP(WWWW[[#This Row],[Site Name]],SiteDB6[[Site Name]:[Pcode]],3,FALSE)</f>
        <v>MMR015CMP030</v>
      </c>
      <c r="EQ94" s="969" t="str">
        <f t="shared" si="3"/>
        <v>Covered</v>
      </c>
      <c r="ER94" s="969" t="s">
        <v>3147</v>
      </c>
      <c r="ES94" s="964">
        <f>VLOOKUP(WWWW[[#This Row],[Site Name]],SiteDB6[[Site Name]:[Pop
(Kachin/Shan-CCCM as of March 2023)]],16,FALSE)</f>
        <v>86</v>
      </c>
      <c r="ET94" s="964">
        <f>VLOOKUP(WWWW[[#This Row],[Site Name]],SiteDB6[[Site Name]:[Pop
(Kachin/Shan-CCCM as of March 2023)]],17,FALSE)</f>
        <v>525</v>
      </c>
    </row>
    <row r="95" spans="1:150" hidden="1">
      <c r="A95" s="962" t="s">
        <v>2977</v>
      </c>
      <c r="B95" s="962" t="s">
        <v>2159</v>
      </c>
      <c r="C95" s="963" t="s">
        <v>2159</v>
      </c>
      <c r="D95" s="963" t="s">
        <v>241</v>
      </c>
      <c r="E95" s="963" t="s">
        <v>515</v>
      </c>
      <c r="F95" s="963" t="s">
        <v>963</v>
      </c>
      <c r="G95" s="964" t="str">
        <f>VLOOKUP(WWWW[[#This Row],[Site Name]],SiteDB6[[Site Name]:[Location Type]],8,FALSE)</f>
        <v>Camp</v>
      </c>
      <c r="H95" s="963" t="s">
        <v>2585</v>
      </c>
      <c r="I95" s="965">
        <v>340</v>
      </c>
      <c r="J95" s="965">
        <v>1674</v>
      </c>
      <c r="K95" s="966">
        <v>44488</v>
      </c>
      <c r="L95" s="967">
        <v>44852</v>
      </c>
      <c r="M95" s="965"/>
      <c r="N95" s="965"/>
      <c r="O95" s="965"/>
      <c r="P95" s="965"/>
      <c r="Q95" s="968" t="s">
        <v>41</v>
      </c>
      <c r="R95" s="965">
        <v>2</v>
      </c>
      <c r="S95" s="965">
        <v>2</v>
      </c>
      <c r="T95" s="445"/>
      <c r="U95" s="965"/>
      <c r="V95" s="965"/>
      <c r="W95" s="965"/>
      <c r="X95" s="965"/>
      <c r="Y95" s="965"/>
      <c r="Z95" s="965"/>
      <c r="AA95" s="965">
        <v>24</v>
      </c>
      <c r="AB95" s="965"/>
      <c r="AC95" s="965"/>
      <c r="AD95" s="965"/>
      <c r="AE95" s="965"/>
      <c r="AF95" s="965"/>
      <c r="AG95" s="965"/>
      <c r="AH95" s="965">
        <v>1</v>
      </c>
      <c r="AI95" s="965"/>
      <c r="AJ95" s="965"/>
      <c r="AK95" s="965"/>
      <c r="AL95" s="965"/>
      <c r="AM95" s="965"/>
      <c r="AN95" s="965">
        <v>1</v>
      </c>
      <c r="AO95" s="445"/>
      <c r="AP95" s="969"/>
      <c r="AQ95" s="965">
        <v>30</v>
      </c>
      <c r="AR95" s="965"/>
      <c r="AS95" s="970"/>
      <c r="AT95" s="965"/>
      <c r="AU95" s="965"/>
      <c r="AV95" s="965"/>
      <c r="AW95" s="965"/>
      <c r="AX95" s="965"/>
      <c r="AY95" s="964" t="s">
        <v>136</v>
      </c>
      <c r="AZ95" s="969" t="s">
        <v>136</v>
      </c>
      <c r="BA95" s="965"/>
      <c r="BB95" s="965"/>
      <c r="BC95" s="965"/>
      <c r="BD95" s="445"/>
      <c r="BE95" s="445"/>
      <c r="BF95" s="964"/>
      <c r="BG95" s="965">
        <v>3</v>
      </c>
      <c r="BH95" s="965"/>
      <c r="BI95" s="965"/>
      <c r="BJ95" s="965"/>
      <c r="BK95" s="965"/>
      <c r="BL95" s="965"/>
      <c r="BM95" s="965"/>
      <c r="BN95" s="965"/>
      <c r="BO95" s="965"/>
      <c r="BP95" s="964"/>
      <c r="BQ95" s="971"/>
      <c r="BR95" s="970"/>
      <c r="BS95" s="964"/>
      <c r="BT95" s="420"/>
      <c r="BU95" s="420"/>
      <c r="BV95" s="422"/>
      <c r="BW95" s="420"/>
      <c r="BX95" s="445"/>
      <c r="BY95" s="445"/>
      <c r="BZ95" s="445"/>
      <c r="CA95" s="445"/>
      <c r="CB95" s="445"/>
      <c r="CC95" s="702"/>
      <c r="CD95" s="445"/>
      <c r="CE95" s="972" t="str">
        <f>IFERROR(WWWW[[#This Row],['#_Water sources passed]]/WWWW[[#This Row],['#_Water sources tested for fecal coliform ]],"no test")</f>
        <v>no test</v>
      </c>
      <c r="CF95" s="970" t="str">
        <f>IFERROR(WWWW[[#This Row],['#_Household passed]]/WWWW[[#This Row],['#_Household water samples tested for fecal coliform]],"no test")</f>
        <v>no test</v>
      </c>
      <c r="CG95" s="971" t="str">
        <f>IF(AND(WWWW[[#This Row],[% of water sources passed]]="no test",WWWW[[#This Row],[% Household passed]]="no test"),"No Test","Tested")</f>
        <v>No Test</v>
      </c>
      <c r="CH95" s="971">
        <f>WWWW[[#This Row],['#_Constructed/existing protected hand dug well]]-WWWW[[#This Row],['#_Non-functional protected hand dug well]]</f>
        <v>0</v>
      </c>
      <c r="CI95" s="971">
        <f>(WWWW[[#This Row],['#_Constructed/Existing tube wells/boreholes/handpumps_WASH_agency]]+WWWW[[#This Row],['#_Non-Cluster partner water tube-wells/boreholes/handpumps]])-WWWW[[#This Row],['#_Non-functional tube wells/boreholes/handpumps]]</f>
        <v>0</v>
      </c>
      <c r="CJ95" s="971">
        <f>WWWW[[#This Row],['#_Constructed/Existingwater storage tank with gravity fed reticulation system]]-WWWW[[#This Row],['#_Non-functional storage tank gravity fed reticulation system]]</f>
        <v>24</v>
      </c>
      <c r="CK95" s="971">
        <f>(WWWW[[#This Row],['#_Water_Liters_supplied_by_Water boating or water trucking]]/90)/15</f>
        <v>0</v>
      </c>
      <c r="CL95" s="971">
        <f>WWWW[[#This Row],['#_Water_Liters_from_Constructed/Existing water distribution system from river or natural spring]]/90/15</f>
        <v>0</v>
      </c>
      <c r="CM95" s="421">
        <f>IF(WWWW[[#This Row],['#_of water points in TLS/CFS]]*500&gt;WWWW[[#This Row],[Total PoP ]],WWWW[[#This Row],[Total PoP ]],WWWW[[#This Row],['#_of water points in TLS/CFS]]*500)</f>
        <v>500</v>
      </c>
      <c r="CN95" s="421">
        <f>IF(WWWW[[#This Row],['#_of water points in THF]]*500&gt;WWWW[[#This Row],[Total PoP ]],WWWW[[#This Row],[Total PoP ]],WWWW[[#This Row],['#_of water points in THF]]*500)</f>
        <v>0</v>
      </c>
      <c r="CO95" s="421"/>
      <c r="CP9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Q9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R95" s="970">
        <f>IF(WWWW[[#This Row],[Location Type 1]]="Village",WWWW[[#This Row],[Access to safe drinking water for Village]],WWWW[[#This Row],[Access to safe drinking water for Camp]])</f>
        <v>0.95579450418160095</v>
      </c>
      <c r="CS95" s="968">
        <f>WWWW[[#This Row],[%Equitable and continuous access to sufficient quantity of safe drinking water]]*WWWW[[#This Row],[Total PoP ]]</f>
        <v>1600</v>
      </c>
      <c r="CT95" s="970">
        <f>IF((WWWW[[#This Row],['#_Constructed/Existing protected/fenced ponds]]*250)/WWWW[[#This Row],[Total PoP ]]&gt;1,1,(WWWW[[#This Row],['#_Constructed/Existing protected/fenced ponds]]*250)/WWWW[[#This Row],[Total PoP ]])</f>
        <v>0</v>
      </c>
      <c r="CU95" s="968">
        <f>WWWW[[#This Row],[% Access to unimproved water points]]*WWWW[[#This Row],[Total PoP ]]</f>
        <v>0</v>
      </c>
      <c r="CV9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W9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X95" s="968">
        <f>WWWW[[#This Row],[HRP1]]/500</f>
        <v>3.2</v>
      </c>
      <c r="CY95" s="973">
        <f>1-WWWW[[#This Row],[% Equitable and continuous access to sufficient quantity of domestic water]]</f>
        <v>4.4205495818399054E-2</v>
      </c>
      <c r="CZ95" s="968">
        <f>WWWW[[#This Row],[%equitable and continuous access to sufficient quantity of safe drinking and domestic water''s GAP]]*WWWW[[#This Row],[Total PoP ]]</f>
        <v>74.000000000000014</v>
      </c>
      <c r="DA95" s="971">
        <f>IF(WWWW[[#This Row],[Total required water points]]-WWWW[[#This Row],['#Water points coverage]]&lt;0,0,WWWW[[#This Row],[Total required water points]]-WWWW[[#This Row],['#Water points coverage]])</f>
        <v>0</v>
      </c>
      <c r="DB95" s="971">
        <f>ROUND(IF(WWWW[[#This Row],[Total PoP ]]&lt;500,1,WWWW[[#This Row],[Total PoP ]]/500),0)</f>
        <v>3</v>
      </c>
      <c r="DC95" s="971">
        <f>(WWWW[[#This Row],['#_Constructed latrines_by_WASHAgencies]]+WWWW[[#This Row],['#_Non Cluster partner latrines]])-WWWW[[#This Row],['#_Non-functional latrines]]</f>
        <v>30</v>
      </c>
      <c r="DD95" s="619">
        <f>WWWW[[#This Row],[HRP2]]/WWWW[[#This Row],[Total PoP ]]</f>
        <v>0.35842293906810035</v>
      </c>
      <c r="DE9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9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5" s="421">
        <f>IF(WWWW[[#This Row],['# of functional latrines in THF supported by WASH partners during the reporting period2]]="",0,WWWW[[#This Row],['# of functional latrines in THF supported by WASH partners during the reporting period2]]*50)</f>
        <v>0</v>
      </c>
      <c r="DI95" s="971">
        <f>ROUND(IF(WWWW[[#This Row],[Location Type 1]]="camp",WWWW[[#This Row],[Total PoP ]]/20,IF(WWWW[[#This Row],[Location Type 1]]="Temporary Location",WWWW[[#This Row],[Total PoP ]]/50,(WWWW[[#This Row],[Total PoP ]]/6))),0)</f>
        <v>84</v>
      </c>
      <c r="DJ95" s="971">
        <f>IF(WWWW[[#This Row],[Total required Latrines]]-(WWWW[[#This Row],['#_Constructed latrines_by_WASHAgencies]]+WWWW[[#This Row],['#_Non Cluster partner latrines]])&lt;0,0,WWWW[[#This Row],[Total required Latrines]]-(WWWW[[#This Row],['#_Constructed latrines_by_WASHAgencies]]+WWWW[[#This Row],['#_Non Cluster partner latrines]]))</f>
        <v>54</v>
      </c>
      <c r="DK95" s="973">
        <f>1-WWWW[[#This Row],[% people access to functioning Latrine]]</f>
        <v>0.64157706093189959</v>
      </c>
      <c r="DL95" s="972">
        <f>IF(OR(WWWW[[#This Row],['#_Non-functional latrines]]="",WWWW[[#This Row],['#_Non-functional latrines]]=0),0,WWWW[[#This Row],['#_Non-functional latrines]]/(WWWW[[#This Row],['#_Constructed latrines_by_WASHAgencies]]+WWWW[[#This Row],['#_Non Cluster partner latrines]]))</f>
        <v>0</v>
      </c>
      <c r="DM95" s="968">
        <f>IF(500*(WWWW[[#This Row],['#_male hygiene promoters]]+WWWW[[#This Row],['#_female hygiene promoters]])&gt;WWWW[[#This Row],[Total PoP ]],WWWW[[#This Row],[Total PoP ]],500*(WWWW[[#This Row],['#_male hygiene promoters]]+WWWW[[#This Row],['#_female hygiene promoters]]))</f>
        <v>0</v>
      </c>
      <c r="DN9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5" s="971">
        <f>IF(WWWW[[#This Row],['# People with access to soap]]&gt;WWWW[[#This Row],['# People with access to Sanity Pads]],WWWW[[#This Row],['# People with access to soap]],WWWW[[#This Row],['# People with access to Sanity Pads]])</f>
        <v>0</v>
      </c>
      <c r="DQ9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5" s="973">
        <f>IF(WWWW[[#This Row],[HRP3]]/WWWW[[#This Row],[Total PoP ]]&gt;1,1,WWWW[[#This Row],[HRP3]]/WWWW[[#This Row],[Total PoP ]])</f>
        <v>0</v>
      </c>
      <c r="DS95" s="972">
        <f>1-WWWW[[#This Row],[Hygiene Coverage%]]</f>
        <v>1</v>
      </c>
      <c r="DT95" s="970">
        <f>WWWW[[#This Row],['# people reached by regular dedicated hygiene promotion_5]]/WWWW[[#This Row],[Total PoP ]]</f>
        <v>0</v>
      </c>
      <c r="DU9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5" s="971">
        <f>WWWW[[#This Row],['#_Constructed/Existing hand washing stations]]-WWWW[[#This Row],['#_Non-Functional_hand_washing_stations]]</f>
        <v>3</v>
      </c>
      <c r="DX95" s="968">
        <f>IF(WWWW[[#This Row],['# Functional hand washing stations during reporting period]]*20&gt;WWWW[[#This Row],[Total HH]],WWWW[[#This Row],[Total HH]],WWWW[[#This Row],['# Functional hand washing stations during reporting period]]*20)</f>
        <v>60</v>
      </c>
      <c r="DY95" s="968">
        <f>IF(WWWW[[#This Row],[Is sufficient soap available for TLS? (Yes/No)]]="yes",WWWW[[#This Row],['#_Constructed/Existing hand washing stations at TLS/CFS/THF]],0)</f>
        <v>0</v>
      </c>
      <c r="DZ95" s="425">
        <f>IF(WWWW[[#This Row],['# Functional hand washing stations during reporting period]]*100&gt;WWWW[[#This Row],[Total PoP ]],WWWW[[#This Row],[Total PoP ]],WWWW[[#This Row],['# Functional hand washing stations during reporting period]]*100)</f>
        <v>300</v>
      </c>
      <c r="EA95" s="425" t="str">
        <f>IF(OR(WWWW[[#This Row],['#_students at TLS_CFS]]="",WWWW[[#This Row],['#_students at TLS_CFS]]=0),"No","Yes")</f>
        <v>No</v>
      </c>
      <c r="EB9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5" s="570">
        <f>WWWW[[#This Row],[%_of_affected_people_surveyed_who_report_feeling_satistfied_with_the_latrine_design_and_sanitation_service]]*WWWW[[#This Row],[Total PoP ]]</f>
        <v>0</v>
      </c>
      <c r="ED95" s="570">
        <f>WWWW[[#This Row],[%_of_affected_people_surveyed_who_report_feeling_satistfied_with_the_water_point_design_and_water_service]]*WWWW[[#This Row],[Total PoP ]]</f>
        <v>0</v>
      </c>
      <c r="EE95" s="570">
        <f>WWWW[[#This Row],[%_of_complaints_received_that_result_in_timely_corrective_action_and_feedback_to_the_community]]*WWWW[[#This Row],[Total PoP ]]</f>
        <v>0</v>
      </c>
      <c r="EF9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9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5" s="964">
        <f>VLOOKUP(WWWW[[#This Row],[Site Name]],SiteDB6[[Site Name]:[CCCM Management]],6,FALSE)</f>
        <v>0</v>
      </c>
      <c r="EJ95" s="964">
        <f>VLOOKUP(WWWW[[#This Row],[Site Name]],SiteDB6[[Site Name]:[CCCM Focal Agency]],7,FALSE)</f>
        <v>0</v>
      </c>
      <c r="EK95" s="964" t="str">
        <f>VLOOKUP(WWWW[[#This Row],[Site Name]],SiteDB6[[Site Name]:[Location Type 1]],9,FALSE)</f>
        <v>Camp</v>
      </c>
      <c r="EL95" s="964" t="str">
        <f>VLOOKUP(WWWW[[#This Row],[Site Name]],SiteDB6[[Site Name]:[Type of Accommodation]],10,FALSE)</f>
        <v>Camp Like setting</v>
      </c>
      <c r="EM95" s="964" t="str">
        <f>VLOOKUP(WWWW[[#This Row],[Site Name]],SiteDB6[[Site Name]:[Ethnic or GCA/NGCA]],11,FALSE)</f>
        <v>GCA</v>
      </c>
      <c r="EN95" s="964">
        <f>VLOOKUP(WWWW[[#This Row],[Site Name]],SiteDB6[[Site Name]:[Lat]],12,FALSE)</f>
        <v>23.420603</v>
      </c>
      <c r="EO95" s="964">
        <f>VLOOKUP(WWWW[[#This Row],[Site Name]],SiteDB6[[Site Name]:[Long]],13,FALSE)</f>
        <v>98.451791999999998</v>
      </c>
      <c r="EP95" s="964" t="str">
        <f>VLOOKUP(WWWW[[#This Row],[Site Name]],SiteDB6[[Site Name]:[Pcode]],3,FALSE)</f>
        <v>MMR015CMP069</v>
      </c>
      <c r="EQ95" s="969" t="str">
        <f t="shared" si="3"/>
        <v>Covered</v>
      </c>
      <c r="ER95" s="969" t="s">
        <v>3147</v>
      </c>
      <c r="ES95" s="964">
        <f>VLOOKUP(WWWW[[#This Row],[Site Name]],SiteDB6[[Site Name]:[Pop
(Kachin/Shan-CCCM as of March 2023)]],16,FALSE)</f>
        <v>166</v>
      </c>
      <c r="ET95" s="964">
        <f>VLOOKUP(WWWW[[#This Row],[Site Name]],SiteDB6[[Site Name]:[Pop
(Kachin/Shan-CCCM as of March 2023)]],17,FALSE)</f>
        <v>830</v>
      </c>
    </row>
    <row r="96" spans="1:150" hidden="1">
      <c r="A96" s="962" t="s">
        <v>2977</v>
      </c>
      <c r="B96" s="962" t="s">
        <v>192</v>
      </c>
      <c r="C96" s="963" t="s">
        <v>192</v>
      </c>
      <c r="D96" s="963" t="s">
        <v>241</v>
      </c>
      <c r="E96" s="963" t="s">
        <v>515</v>
      </c>
      <c r="F96" s="963" t="s">
        <v>536</v>
      </c>
      <c r="G96" s="964" t="str">
        <f>VLOOKUP(WWWW[[#This Row],[Site Name]],SiteDB6[[Site Name]:[Location Type]],8,FALSE)</f>
        <v>Camp</v>
      </c>
      <c r="H96" s="963" t="s">
        <v>2829</v>
      </c>
      <c r="I96" s="965">
        <v>19</v>
      </c>
      <c r="J96" s="965">
        <v>77</v>
      </c>
      <c r="K96" s="966">
        <v>44511</v>
      </c>
      <c r="L96" s="967">
        <v>44926</v>
      </c>
      <c r="M96" s="965"/>
      <c r="N96" s="965"/>
      <c r="O96" s="965"/>
      <c r="P96" s="965"/>
      <c r="Q96" s="968"/>
      <c r="R96" s="965"/>
      <c r="S96" s="965"/>
      <c r="T96" s="445"/>
      <c r="U96" s="965"/>
      <c r="V96" s="965"/>
      <c r="W96" s="965">
        <v>1</v>
      </c>
      <c r="X96" s="965"/>
      <c r="Y96" s="965"/>
      <c r="Z96" s="965"/>
      <c r="AA96" s="965"/>
      <c r="AB96" s="965"/>
      <c r="AC96" s="965"/>
      <c r="AD96" s="965"/>
      <c r="AE96" s="965"/>
      <c r="AF96" s="965"/>
      <c r="AG96" s="965"/>
      <c r="AH96" s="965"/>
      <c r="AI96" s="965"/>
      <c r="AJ96" s="965"/>
      <c r="AK96" s="965"/>
      <c r="AL96" s="965"/>
      <c r="AM96" s="965"/>
      <c r="AN96" s="965"/>
      <c r="AO96" s="445"/>
      <c r="AP96" s="969"/>
      <c r="AQ96" s="965"/>
      <c r="AR96" s="965">
        <v>4</v>
      </c>
      <c r="AS96" s="970"/>
      <c r="AT96" s="965"/>
      <c r="AU96" s="965"/>
      <c r="AV96" s="965"/>
      <c r="AW96" s="965"/>
      <c r="AX96" s="965"/>
      <c r="AY96" s="964" t="s">
        <v>140</v>
      </c>
      <c r="AZ96" s="969" t="s">
        <v>140</v>
      </c>
      <c r="BA96" s="965"/>
      <c r="BB96" s="965"/>
      <c r="BC96" s="965"/>
      <c r="BD96" s="445"/>
      <c r="BE96" s="445"/>
      <c r="BF96" s="964"/>
      <c r="BG96" s="965">
        <v>8</v>
      </c>
      <c r="BH96" s="965"/>
      <c r="BI96" s="965"/>
      <c r="BJ96" s="965"/>
      <c r="BK96" s="965"/>
      <c r="BL96" s="965"/>
      <c r="BM96" s="965"/>
      <c r="BN96" s="965"/>
      <c r="BO96" s="965"/>
      <c r="BP96" s="964" t="s">
        <v>41</v>
      </c>
      <c r="BQ96" s="971"/>
      <c r="BR96" s="970"/>
      <c r="BS96" s="964"/>
      <c r="BT96" s="420"/>
      <c r="BU96" s="420"/>
      <c r="BV96" s="422"/>
      <c r="BW96" s="420"/>
      <c r="BX96" s="445"/>
      <c r="BY96" s="445"/>
      <c r="BZ96" s="445"/>
      <c r="CA96" s="445"/>
      <c r="CB96" s="445"/>
      <c r="CC96" s="702"/>
      <c r="CD96" s="445"/>
      <c r="CE96" s="972" t="str">
        <f>IFERROR(WWWW[[#This Row],['#_Water sources passed]]/WWWW[[#This Row],['#_Water sources tested for fecal coliform ]],"no test")</f>
        <v>no test</v>
      </c>
      <c r="CF96" s="970" t="str">
        <f>IFERROR(WWWW[[#This Row],['#_Household passed]]/WWWW[[#This Row],['#_Household water samples tested for fecal coliform]],"no test")</f>
        <v>no test</v>
      </c>
      <c r="CG96" s="971" t="str">
        <f>IF(AND(WWWW[[#This Row],[% of water sources passed]]="no test",WWWW[[#This Row],[% Household passed]]="no test"),"No Test","Tested")</f>
        <v>No Test</v>
      </c>
      <c r="CH96" s="971">
        <f>WWWW[[#This Row],['#_Constructed/existing protected hand dug well]]-WWWW[[#This Row],['#_Non-functional protected hand dug well]]</f>
        <v>0</v>
      </c>
      <c r="CI96" s="971">
        <f>(WWWW[[#This Row],['#_Constructed/Existing tube wells/boreholes/handpumps_WASH_agency]]+WWWW[[#This Row],['#_Non-Cluster partner water tube-wells/boreholes/handpumps]])-WWWW[[#This Row],['#_Non-functional tube wells/boreholes/handpumps]]</f>
        <v>1</v>
      </c>
      <c r="CJ96" s="971">
        <f>WWWW[[#This Row],['#_Constructed/Existingwater storage tank with gravity fed reticulation system]]-WWWW[[#This Row],['#_Non-functional storage tank gravity fed reticulation system]]</f>
        <v>0</v>
      </c>
      <c r="CK96" s="971">
        <f>(WWWW[[#This Row],['#_Water_Liters_supplied_by_Water boating or water trucking]]/90)/15</f>
        <v>0</v>
      </c>
      <c r="CL96" s="971">
        <f>WWWW[[#This Row],['#_Water_Liters_from_Constructed/Existing water distribution system from river or natural spring]]/90/15</f>
        <v>0</v>
      </c>
      <c r="CM96" s="421">
        <f>IF(WWWW[[#This Row],['#_of water points in TLS/CFS]]*500&gt;WWWW[[#This Row],[Total PoP ]],WWWW[[#This Row],[Total PoP ]],WWWW[[#This Row],['#_of water points in TLS/CFS]]*500)</f>
        <v>0</v>
      </c>
      <c r="CN96" s="421">
        <f>IF(WWWW[[#This Row],['#_of water points in THF]]*500&gt;WWWW[[#This Row],[Total PoP ]],WWWW[[#This Row],[Total PoP ]],WWWW[[#This Row],['#_of water points in THF]]*500)</f>
        <v>0</v>
      </c>
      <c r="CO96" s="421"/>
      <c r="CP9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6" s="970">
        <f>IF(WWWW[[#This Row],[Location Type 1]]="Village",WWWW[[#This Row],[Access to safe drinking water for Village]],WWWW[[#This Row],[Access to safe drinking water for Camp]])</f>
        <v>1</v>
      </c>
      <c r="CS96" s="968">
        <f>WWWW[[#This Row],[%Equitable and continuous access to sufficient quantity of safe drinking water]]*WWWW[[#This Row],[Total PoP ]]</f>
        <v>77</v>
      </c>
      <c r="CT96" s="970">
        <f>IF((WWWW[[#This Row],['#_Constructed/Existing protected/fenced ponds]]*250)/WWWW[[#This Row],[Total PoP ]]&gt;1,1,(WWWW[[#This Row],['#_Constructed/Existing protected/fenced ponds]]*250)/WWWW[[#This Row],[Total PoP ]])</f>
        <v>0</v>
      </c>
      <c r="CU96" s="968">
        <f>WWWW[[#This Row],[% Access to unimproved water points]]*WWWW[[#This Row],[Total PoP ]]</f>
        <v>0</v>
      </c>
      <c r="CV9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X96" s="968">
        <f>WWWW[[#This Row],[HRP1]]/500</f>
        <v>0.154</v>
      </c>
      <c r="CY96" s="973">
        <f>1-WWWW[[#This Row],[% Equitable and continuous access to sufficient quantity of domestic water]]</f>
        <v>0</v>
      </c>
      <c r="CZ96" s="968">
        <f>WWWW[[#This Row],[%equitable and continuous access to sufficient quantity of safe drinking and domestic water''s GAP]]*WWWW[[#This Row],[Total PoP ]]</f>
        <v>0</v>
      </c>
      <c r="DA96" s="971">
        <f>IF(WWWW[[#This Row],[Total required water points]]-WWWW[[#This Row],['#Water points coverage]]&lt;0,0,WWWW[[#This Row],[Total required water points]]-WWWW[[#This Row],['#Water points coverage]])</f>
        <v>0.84599999999999997</v>
      </c>
      <c r="DB96" s="971">
        <f>ROUND(IF(WWWW[[#This Row],[Total PoP ]]&lt;500,1,WWWW[[#This Row],[Total PoP ]]/500),0)</f>
        <v>1</v>
      </c>
      <c r="DC96" s="971">
        <f>(WWWW[[#This Row],['#_Constructed latrines_by_WASHAgencies]]+WWWW[[#This Row],['#_Non Cluster partner latrines]])-WWWW[[#This Row],['#_Non-functional latrines]]</f>
        <v>4</v>
      </c>
      <c r="DD96" s="619">
        <f>WWWW[[#This Row],[HRP2]]/WWWW[[#This Row],[Total PoP ]]</f>
        <v>1</v>
      </c>
      <c r="DE9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v>
      </c>
      <c r="DF9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6" s="421">
        <f>IF(WWWW[[#This Row],['# of functional latrines in THF supported by WASH partners during the reporting period2]]="",0,WWWW[[#This Row],['# of functional latrines in THF supported by WASH partners during the reporting period2]]*50)</f>
        <v>0</v>
      </c>
      <c r="DI96" s="971">
        <f>ROUND(IF(WWWW[[#This Row],[Location Type 1]]="camp",WWWW[[#This Row],[Total PoP ]]/20,IF(WWWW[[#This Row],[Location Type 1]]="Temporary Location",WWWW[[#This Row],[Total PoP ]]/50,(WWWW[[#This Row],[Total PoP ]]/6))),0)</f>
        <v>4</v>
      </c>
      <c r="DJ96" s="971">
        <f>IF(WWWW[[#This Row],[Total required Latrines]]-(WWWW[[#This Row],['#_Constructed latrines_by_WASHAgencies]]+WWWW[[#This Row],['#_Non Cluster partner latrines]])&lt;0,0,WWWW[[#This Row],[Total required Latrines]]-(WWWW[[#This Row],['#_Constructed latrines_by_WASHAgencies]]+WWWW[[#This Row],['#_Non Cluster partner latrines]]))</f>
        <v>0</v>
      </c>
      <c r="DK96" s="973">
        <f>1-WWWW[[#This Row],[% people access to functioning Latrine]]</f>
        <v>0</v>
      </c>
      <c r="DL96" s="972">
        <f>IF(OR(WWWW[[#This Row],['#_Non-functional latrines]]="",WWWW[[#This Row],['#_Non-functional latrines]]=0),0,WWWW[[#This Row],['#_Non-functional latrines]]/(WWWW[[#This Row],['#_Constructed latrines_by_WASHAgencies]]+WWWW[[#This Row],['#_Non Cluster partner latrines]]))</f>
        <v>0</v>
      </c>
      <c r="DM96" s="968">
        <f>IF(500*(WWWW[[#This Row],['#_male hygiene promoters]]+WWWW[[#This Row],['#_female hygiene promoters]])&gt;WWWW[[#This Row],[Total PoP ]],WWWW[[#This Row],[Total PoP ]],500*(WWWW[[#This Row],['#_male hygiene promoters]]+WWWW[[#This Row],['#_female hygiene promoters]]))</f>
        <v>0</v>
      </c>
      <c r="DN9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6" s="971">
        <f>IF(WWWW[[#This Row],['# People with access to soap]]&gt;WWWW[[#This Row],['# People with access to Sanity Pads]],WWWW[[#This Row],['# People with access to soap]],WWWW[[#This Row],['# People with access to Sanity Pads]])</f>
        <v>0</v>
      </c>
      <c r="DQ9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6" s="973">
        <f>IF(WWWW[[#This Row],[HRP3]]/WWWW[[#This Row],[Total PoP ]]&gt;1,1,WWWW[[#This Row],[HRP3]]/WWWW[[#This Row],[Total PoP ]])</f>
        <v>0</v>
      </c>
      <c r="DS96" s="972">
        <f>1-WWWW[[#This Row],[Hygiene Coverage%]]</f>
        <v>1</v>
      </c>
      <c r="DT96" s="970">
        <f>WWWW[[#This Row],['# people reached by regular dedicated hygiene promotion_5]]/WWWW[[#This Row],[Total PoP ]]</f>
        <v>0</v>
      </c>
      <c r="DU9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6" s="971">
        <f>WWWW[[#This Row],['#_Constructed/Existing hand washing stations]]-WWWW[[#This Row],['#_Non-Functional_hand_washing_stations]]</f>
        <v>8</v>
      </c>
      <c r="DX96" s="968">
        <f>IF(WWWW[[#This Row],['# Functional hand washing stations during reporting period]]*20&gt;WWWW[[#This Row],[Total HH]],WWWW[[#This Row],[Total HH]],WWWW[[#This Row],['# Functional hand washing stations during reporting period]]*20)</f>
        <v>19</v>
      </c>
      <c r="DY96" s="968">
        <f>IF(WWWW[[#This Row],[Is sufficient soap available for TLS? (Yes/No)]]="yes",WWWW[[#This Row],['#_Constructed/Existing hand washing stations at TLS/CFS/THF]],0)</f>
        <v>0</v>
      </c>
      <c r="DZ96" s="425">
        <f>IF(WWWW[[#This Row],['# Functional hand washing stations during reporting period]]*100&gt;WWWW[[#This Row],[Total PoP ]],WWWW[[#This Row],[Total PoP ]],WWWW[[#This Row],['# Functional hand washing stations during reporting period]]*100)</f>
        <v>77</v>
      </c>
      <c r="EA96" s="425" t="str">
        <f>IF(OR(WWWW[[#This Row],['#_students at TLS_CFS]]="",WWWW[[#This Row],['#_students at TLS_CFS]]=0),"No","Yes")</f>
        <v>No</v>
      </c>
      <c r="EB9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6" s="570">
        <f>WWWW[[#This Row],[%_of_affected_people_surveyed_who_report_feeling_satistfied_with_the_latrine_design_and_sanitation_service]]*WWWW[[#This Row],[Total PoP ]]</f>
        <v>0</v>
      </c>
      <c r="ED96" s="570">
        <f>WWWW[[#This Row],[%_of_affected_people_surveyed_who_report_feeling_satistfied_with_the_water_point_design_and_water_service]]*WWWW[[#This Row],[Total PoP ]]</f>
        <v>0</v>
      </c>
      <c r="EE96" s="570">
        <f>WWWW[[#This Row],[%_of_complaints_received_that_result_in_timely_corrective_action_and_feedback_to_the_community]]*WWWW[[#This Row],[Total PoP ]]</f>
        <v>0</v>
      </c>
      <c r="EF9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6" s="964">
        <f>VLOOKUP(WWWW[[#This Row],[Site Name]],SiteDB6[[Site Name]:[CCCM Management]],6,FALSE)</f>
        <v>0</v>
      </c>
      <c r="EJ96" s="964">
        <f>VLOOKUP(WWWW[[#This Row],[Site Name]],SiteDB6[[Site Name]:[CCCM Focal Agency]],7,FALSE)</f>
        <v>0</v>
      </c>
      <c r="EK96" s="964" t="str">
        <f>VLOOKUP(WWWW[[#This Row],[Site Name]],SiteDB6[[Site Name]:[Location Type 1]],9,FALSE)</f>
        <v>Camp</v>
      </c>
      <c r="EL96" s="964" t="str">
        <f>VLOOKUP(WWWW[[#This Row],[Site Name]],SiteDB6[[Site Name]:[Type of Accommodation]],10,FALSE)</f>
        <v>IDPs in host</v>
      </c>
      <c r="EM96" s="964" t="str">
        <f>VLOOKUP(WWWW[[#This Row],[Site Name]],SiteDB6[[Site Name]:[Ethnic or GCA/NGCA]],11,FALSE)</f>
        <v>GCA</v>
      </c>
      <c r="EN96" s="964">
        <f>VLOOKUP(WWWW[[#This Row],[Site Name]],SiteDB6[[Site Name]:[Lat]],12,FALSE)</f>
        <v>23.078210830688501</v>
      </c>
      <c r="EO96" s="964">
        <f>VLOOKUP(WWWW[[#This Row],[Site Name]],SiteDB6[[Site Name]:[Long]],13,FALSE)</f>
        <v>97.411773681640597</v>
      </c>
      <c r="EP96" s="964" t="str">
        <f>VLOOKUP(WWWW[[#This Row],[Site Name]],SiteDB6[[Site Name]:[Pcode]],3,FALSE)</f>
        <v>MMR015CMP074</v>
      </c>
      <c r="EQ96" s="969" t="str">
        <f t="shared" si="3"/>
        <v>Covered</v>
      </c>
      <c r="ER96" s="969" t="s">
        <v>3147</v>
      </c>
      <c r="ES96" s="964">
        <f>VLOOKUP(WWWW[[#This Row],[Site Name]],SiteDB6[[Site Name]:[Pop
(Kachin/Shan-CCCM as of March 2023)]],16,FALSE)</f>
        <v>19</v>
      </c>
      <c r="ET96" s="964">
        <f>VLOOKUP(WWWW[[#This Row],[Site Name]],SiteDB6[[Site Name]:[Pop
(Kachin/Shan-CCCM as of March 2023)]],17,FALSE)</f>
        <v>77</v>
      </c>
    </row>
    <row r="97" spans="1:150" hidden="1">
      <c r="A97" s="962" t="s">
        <v>2977</v>
      </c>
      <c r="B97" s="962" t="s">
        <v>192</v>
      </c>
      <c r="C97" s="963" t="s">
        <v>192</v>
      </c>
      <c r="D97" s="963" t="s">
        <v>2648</v>
      </c>
      <c r="E97" s="963" t="s">
        <v>515</v>
      </c>
      <c r="F97" s="963" t="s">
        <v>519</v>
      </c>
      <c r="G97" s="964" t="str">
        <f>VLOOKUP(WWWW[[#This Row],[Site Name]],SiteDB6[[Site Name]:[Location Type]],8,FALSE)</f>
        <v>Camp</v>
      </c>
      <c r="H97" s="963" t="s">
        <v>1726</v>
      </c>
      <c r="I97" s="965">
        <v>29</v>
      </c>
      <c r="J97" s="965">
        <v>130</v>
      </c>
      <c r="K97" s="966">
        <v>44511</v>
      </c>
      <c r="L97" s="967">
        <v>44926</v>
      </c>
      <c r="M97" s="965"/>
      <c r="N97" s="965">
        <v>1</v>
      </c>
      <c r="O97" s="965"/>
      <c r="P97" s="965"/>
      <c r="Q97" s="968" t="s">
        <v>41</v>
      </c>
      <c r="R97" s="965">
        <v>4</v>
      </c>
      <c r="S97" s="965">
        <v>5</v>
      </c>
      <c r="T97" s="445"/>
      <c r="U97" s="965"/>
      <c r="V97" s="965"/>
      <c r="W97" s="965"/>
      <c r="X97" s="965"/>
      <c r="Y97" s="965"/>
      <c r="Z97" s="965"/>
      <c r="AA97" s="965">
        <v>13</v>
      </c>
      <c r="AB97" s="965"/>
      <c r="AC97" s="965"/>
      <c r="AD97" s="965"/>
      <c r="AE97" s="965"/>
      <c r="AF97" s="965"/>
      <c r="AG97" s="965"/>
      <c r="AH97" s="965"/>
      <c r="AI97" s="965"/>
      <c r="AJ97" s="965"/>
      <c r="AK97" s="965"/>
      <c r="AL97" s="965"/>
      <c r="AM97" s="965"/>
      <c r="AN97" s="965"/>
      <c r="AO97" s="445"/>
      <c r="AP97" s="969"/>
      <c r="AQ97" s="965">
        <v>30</v>
      </c>
      <c r="AR97" s="965"/>
      <c r="AS97" s="970"/>
      <c r="AT97" s="965"/>
      <c r="AU97" s="965"/>
      <c r="AV97" s="965"/>
      <c r="AW97" s="965"/>
      <c r="AX97" s="965"/>
      <c r="AY97" s="964" t="s">
        <v>41</v>
      </c>
      <c r="AZ97" s="969" t="s">
        <v>137</v>
      </c>
      <c r="BA97" s="965"/>
      <c r="BB97" s="965"/>
      <c r="BC97" s="965"/>
      <c r="BD97" s="445"/>
      <c r="BE97" s="445"/>
      <c r="BF97" s="964"/>
      <c r="BG97" s="965">
        <v>7</v>
      </c>
      <c r="BH97" s="965"/>
      <c r="BI97" s="965"/>
      <c r="BJ97" s="965">
        <v>1</v>
      </c>
      <c r="BK97" s="965"/>
      <c r="BL97" s="965"/>
      <c r="BM97" s="965">
        <v>1</v>
      </c>
      <c r="BN97" s="965"/>
      <c r="BO97" s="965"/>
      <c r="BP97" s="964" t="s">
        <v>41</v>
      </c>
      <c r="BQ97" s="971"/>
      <c r="BR97" s="970"/>
      <c r="BS97" s="964"/>
      <c r="BT97" s="420"/>
      <c r="BU97" s="420"/>
      <c r="BV97" s="422"/>
      <c r="BW97" s="420"/>
      <c r="BX97" s="445"/>
      <c r="BY97" s="445"/>
      <c r="BZ97" s="445"/>
      <c r="CA97" s="445"/>
      <c r="CB97" s="445"/>
      <c r="CC97" s="702"/>
      <c r="CD97" s="445"/>
      <c r="CE97" s="972" t="str">
        <f>IFERROR(WWWW[[#This Row],['#_Water sources passed]]/WWWW[[#This Row],['#_Water sources tested for fecal coliform ]],"no test")</f>
        <v>no test</v>
      </c>
      <c r="CF97" s="970" t="str">
        <f>IFERROR(WWWW[[#This Row],['#_Household passed]]/WWWW[[#This Row],['#_Household water samples tested for fecal coliform]],"no test")</f>
        <v>no test</v>
      </c>
      <c r="CG97" s="971" t="str">
        <f>IF(AND(WWWW[[#This Row],[% of water sources passed]]="no test",WWWW[[#This Row],[% Household passed]]="no test"),"No Test","Tested")</f>
        <v>No Test</v>
      </c>
      <c r="CH97" s="971">
        <f>WWWW[[#This Row],['#_Constructed/existing protected hand dug well]]-WWWW[[#This Row],['#_Non-functional protected hand dug well]]</f>
        <v>0</v>
      </c>
      <c r="CI97" s="971">
        <f>(WWWW[[#This Row],['#_Constructed/Existing tube wells/boreholes/handpumps_WASH_agency]]+WWWW[[#This Row],['#_Non-Cluster partner water tube-wells/boreholes/handpumps]])-WWWW[[#This Row],['#_Non-functional tube wells/boreholes/handpumps]]</f>
        <v>0</v>
      </c>
      <c r="CJ97" s="971">
        <f>WWWW[[#This Row],['#_Constructed/Existingwater storage tank with gravity fed reticulation system]]-WWWW[[#This Row],['#_Non-functional storage tank gravity fed reticulation system]]</f>
        <v>13</v>
      </c>
      <c r="CK97" s="971">
        <f>(WWWW[[#This Row],['#_Water_Liters_supplied_by_Water boating or water trucking]]/90)/15</f>
        <v>0</v>
      </c>
      <c r="CL97" s="971">
        <f>WWWW[[#This Row],['#_Water_Liters_from_Constructed/Existing water distribution system from river or natural spring]]/90/15</f>
        <v>0</v>
      </c>
      <c r="CM97" s="421">
        <f>IF(WWWW[[#This Row],['#_of water points in TLS/CFS]]*500&gt;WWWW[[#This Row],[Total PoP ]],WWWW[[#This Row],[Total PoP ]],WWWW[[#This Row],['#_of water points in TLS/CFS]]*500)</f>
        <v>0</v>
      </c>
      <c r="CN97" s="421">
        <f>IF(WWWW[[#This Row],['#_of water points in THF]]*500&gt;WWWW[[#This Row],[Total PoP ]],WWWW[[#This Row],[Total PoP ]],WWWW[[#This Row],['#_of water points in THF]]*500)</f>
        <v>0</v>
      </c>
      <c r="CO97" s="421"/>
      <c r="CP9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7" s="970">
        <f>IF(WWWW[[#This Row],[Location Type 1]]="Village",WWWW[[#This Row],[Access to safe drinking water for Village]],WWWW[[#This Row],[Access to safe drinking water for Camp]])</f>
        <v>1</v>
      </c>
      <c r="CS97" s="968">
        <f>WWWW[[#This Row],[%Equitable and continuous access to sufficient quantity of safe drinking water]]*WWWW[[#This Row],[Total PoP ]]</f>
        <v>130</v>
      </c>
      <c r="CT97" s="970">
        <f>IF((WWWW[[#This Row],['#_Constructed/Existing protected/fenced ponds]]*250)/WWWW[[#This Row],[Total PoP ]]&gt;1,1,(WWWW[[#This Row],['#_Constructed/Existing protected/fenced ponds]]*250)/WWWW[[#This Row],[Total PoP ]])</f>
        <v>0</v>
      </c>
      <c r="CU97" s="968">
        <f>WWWW[[#This Row],[% Access to unimproved water points]]*WWWW[[#This Row],[Total PoP ]]</f>
        <v>0</v>
      </c>
      <c r="CV9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X97" s="968">
        <f>WWWW[[#This Row],[HRP1]]/500</f>
        <v>0.26</v>
      </c>
      <c r="CY97" s="973">
        <f>1-WWWW[[#This Row],[% Equitable and continuous access to sufficient quantity of domestic water]]</f>
        <v>0</v>
      </c>
      <c r="CZ97" s="968">
        <f>WWWW[[#This Row],[%equitable and continuous access to sufficient quantity of safe drinking and domestic water''s GAP]]*WWWW[[#This Row],[Total PoP ]]</f>
        <v>0</v>
      </c>
      <c r="DA97" s="971">
        <f>IF(WWWW[[#This Row],[Total required water points]]-WWWW[[#This Row],['#Water points coverage]]&lt;0,0,WWWW[[#This Row],[Total required water points]]-WWWW[[#This Row],['#Water points coverage]])</f>
        <v>0.74</v>
      </c>
      <c r="DB97" s="971">
        <f>ROUND(IF(WWWW[[#This Row],[Total PoP ]]&lt;500,1,WWWW[[#This Row],[Total PoP ]]/500),0)</f>
        <v>1</v>
      </c>
      <c r="DC97" s="971">
        <f>(WWWW[[#This Row],['#_Constructed latrines_by_WASHAgencies]]+WWWW[[#This Row],['#_Non Cluster partner latrines]])-WWWW[[#This Row],['#_Non-functional latrines]]</f>
        <v>30</v>
      </c>
      <c r="DD97" s="619">
        <f>WWWW[[#This Row],[HRP2]]/WWWW[[#This Row],[Total PoP ]]</f>
        <v>1</v>
      </c>
      <c r="DE9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130</v>
      </c>
      <c r="DF9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7" s="421">
        <f>IF(WWWW[[#This Row],['# of functional latrines in THF supported by WASH partners during the reporting period2]]="",0,WWWW[[#This Row],['# of functional latrines in THF supported by WASH partners during the reporting period2]]*50)</f>
        <v>0</v>
      </c>
      <c r="DI97" s="971">
        <f>ROUND(IF(WWWW[[#This Row],[Location Type 1]]="camp",WWWW[[#This Row],[Total PoP ]]/20,IF(WWWW[[#This Row],[Location Type 1]]="Temporary Location",WWWW[[#This Row],[Total PoP ]]/50,(WWWW[[#This Row],[Total PoP ]]/6))),0)</f>
        <v>7</v>
      </c>
      <c r="DJ97" s="971">
        <f>IF(WWWW[[#This Row],[Total required Latrines]]-(WWWW[[#This Row],['#_Constructed latrines_by_WASHAgencies]]+WWWW[[#This Row],['#_Non Cluster partner latrines]])&lt;0,0,WWWW[[#This Row],[Total required Latrines]]-(WWWW[[#This Row],['#_Constructed latrines_by_WASHAgencies]]+WWWW[[#This Row],['#_Non Cluster partner latrines]]))</f>
        <v>0</v>
      </c>
      <c r="DK97" s="973">
        <f>1-WWWW[[#This Row],[% people access to functioning Latrine]]</f>
        <v>0</v>
      </c>
      <c r="DL97" s="972">
        <f>IF(OR(WWWW[[#This Row],['#_Non-functional latrines]]="",WWWW[[#This Row],['#_Non-functional latrines]]=0),0,WWWW[[#This Row],['#_Non-functional latrines]]/(WWWW[[#This Row],['#_Constructed latrines_by_WASHAgencies]]+WWWW[[#This Row],['#_Non Cluster partner latrines]]))</f>
        <v>0</v>
      </c>
      <c r="DM97" s="968">
        <f>IF(500*(WWWW[[#This Row],['#_male hygiene promoters]]+WWWW[[#This Row],['#_female hygiene promoters]])&gt;WWWW[[#This Row],[Total PoP ]],WWWW[[#This Row],[Total PoP ]],500*(WWWW[[#This Row],['#_male hygiene promoters]]+WWWW[[#This Row],['#_female hygiene promoters]]))</f>
        <v>130</v>
      </c>
      <c r="DN9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7" s="971">
        <f>IF(WWWW[[#This Row],['# People with access to soap]]&gt;WWWW[[#This Row],['# People with access to Sanity Pads]],WWWW[[#This Row],['# People with access to soap]],WWWW[[#This Row],['# People with access to Sanity Pads]])</f>
        <v>0</v>
      </c>
      <c r="DQ97" s="971">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R97" s="973">
        <f>IF(WWWW[[#This Row],[HRP3]]/WWWW[[#This Row],[Total PoP ]]&gt;1,1,WWWW[[#This Row],[HRP3]]/WWWW[[#This Row],[Total PoP ]])</f>
        <v>1</v>
      </c>
      <c r="DS97" s="972">
        <f>1-WWWW[[#This Row],[Hygiene Coverage%]]</f>
        <v>0</v>
      </c>
      <c r="DT97" s="970">
        <f>WWWW[[#This Row],['# people reached by regular dedicated hygiene promotion_5]]/WWWW[[#This Row],[Total PoP ]]</f>
        <v>1</v>
      </c>
      <c r="DU9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7" s="971">
        <f>WWWW[[#This Row],['#_Constructed/Existing hand washing stations]]-WWWW[[#This Row],['#_Non-Functional_hand_washing_stations]]</f>
        <v>7</v>
      </c>
      <c r="DX97" s="968">
        <f>IF(WWWW[[#This Row],['# Functional hand washing stations during reporting period]]*20&gt;WWWW[[#This Row],[Total HH]],WWWW[[#This Row],[Total HH]],WWWW[[#This Row],['# Functional hand washing stations during reporting period]]*20)</f>
        <v>29</v>
      </c>
      <c r="DY97" s="968">
        <f>IF(WWWW[[#This Row],[Is sufficient soap available for TLS? (Yes/No)]]="yes",WWWW[[#This Row],['#_Constructed/Existing hand washing stations at TLS/CFS/THF]],0)</f>
        <v>0</v>
      </c>
      <c r="DZ97" s="425">
        <f>IF(WWWW[[#This Row],['# Functional hand washing stations during reporting period]]*100&gt;WWWW[[#This Row],[Total PoP ]],WWWW[[#This Row],[Total PoP ]],WWWW[[#This Row],['# Functional hand washing stations during reporting period]]*100)</f>
        <v>130</v>
      </c>
      <c r="EA97" s="425" t="str">
        <f>IF(OR(WWWW[[#This Row],['#_students at TLS_CFS]]="",WWWW[[#This Row],['#_students at TLS_CFS]]=0),"No","Yes")</f>
        <v>No</v>
      </c>
      <c r="EB9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7" s="570">
        <f>WWWW[[#This Row],[%_of_affected_people_surveyed_who_report_feeling_satistfied_with_the_latrine_design_and_sanitation_service]]*WWWW[[#This Row],[Total PoP ]]</f>
        <v>0</v>
      </c>
      <c r="ED97" s="570">
        <f>WWWW[[#This Row],[%_of_affected_people_surveyed_who_report_feeling_satistfied_with_the_water_point_design_and_water_service]]*WWWW[[#This Row],[Total PoP ]]</f>
        <v>0</v>
      </c>
      <c r="EE97" s="570">
        <f>WWWW[[#This Row],[%_of_complaints_received_that_result_in_timely_corrective_action_and_feedback_to_the_community]]*WWWW[[#This Row],[Total PoP ]]</f>
        <v>0</v>
      </c>
      <c r="EF9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7" s="964" t="str">
        <f>VLOOKUP(WWWW[[#This Row],[Site Name]],SiteDB6[[Site Name]:[CCCM Management]],6,FALSE)</f>
        <v>Yes</v>
      </c>
      <c r="EJ97" s="964" t="str">
        <f>VLOOKUP(WWWW[[#This Row],[Site Name]],SiteDB6[[Site Name]:[CCCM Focal Agency]],7,FALSE)</f>
        <v>KMSS-LSO</v>
      </c>
      <c r="EK97" s="964" t="str">
        <f>VLOOKUP(WWWW[[#This Row],[Site Name]],SiteDB6[[Site Name]:[Location Type 1]],9,FALSE)</f>
        <v>Camp</v>
      </c>
      <c r="EL97" s="964" t="str">
        <f>VLOOKUP(WWWW[[#This Row],[Site Name]],SiteDB6[[Site Name]:[Type of Accommodation]],10,FALSE)</f>
        <v>Camp</v>
      </c>
      <c r="EM97" s="964" t="str">
        <f>VLOOKUP(WWWW[[#This Row],[Site Name]],SiteDB6[[Site Name]:[Ethnic or GCA/NGCA]],11,FALSE)</f>
        <v>GCA</v>
      </c>
      <c r="EN97" s="964">
        <f>VLOOKUP(WWWW[[#This Row],[Site Name]],SiteDB6[[Site Name]:[Lat]],12,FALSE)</f>
        <v>23.638999999999999</v>
      </c>
      <c r="EO97" s="964">
        <f>VLOOKUP(WWWW[[#This Row],[Site Name]],SiteDB6[[Site Name]:[Long]],13,FALSE)</f>
        <v>97.861999999999995</v>
      </c>
      <c r="EP97" s="964" t="str">
        <f>VLOOKUP(WWWW[[#This Row],[Site Name]],SiteDB6[[Site Name]:[Pcode]],3,FALSE)</f>
        <v>MMR015CMP068</v>
      </c>
      <c r="EQ97" s="969" t="str">
        <f t="shared" si="3"/>
        <v>Covered</v>
      </c>
      <c r="ER97" s="969" t="s">
        <v>3147</v>
      </c>
      <c r="ES97" s="964">
        <f>VLOOKUP(WWWW[[#This Row],[Site Name]],SiteDB6[[Site Name]:[Pop
(Kachin/Shan-CCCM as of March 2023)]],16,FALSE)</f>
        <v>31</v>
      </c>
      <c r="ET97" s="964">
        <f>VLOOKUP(WWWW[[#This Row],[Site Name]],SiteDB6[[Site Name]:[Pop
(Kachin/Shan-CCCM as of March 2023)]],17,FALSE)</f>
        <v>134</v>
      </c>
    </row>
    <row r="98" spans="1:150" hidden="1">
      <c r="A98" s="962" t="s">
        <v>2977</v>
      </c>
      <c r="B98" s="962" t="s">
        <v>192</v>
      </c>
      <c r="C98" s="963" t="s">
        <v>192</v>
      </c>
      <c r="D98" s="963" t="s">
        <v>2648</v>
      </c>
      <c r="E98" s="963" t="s">
        <v>515</v>
      </c>
      <c r="F98" s="963" t="s">
        <v>519</v>
      </c>
      <c r="G98" s="964" t="str">
        <f>VLOOKUP(WWWW[[#This Row],[Site Name]],SiteDB6[[Site Name]:[Location Type]],8,FALSE)</f>
        <v>Camp</v>
      </c>
      <c r="H98" s="963" t="s">
        <v>541</v>
      </c>
      <c r="I98" s="965">
        <v>40</v>
      </c>
      <c r="J98" s="965">
        <v>244</v>
      </c>
      <c r="K98" s="966">
        <v>44511</v>
      </c>
      <c r="L98" s="967">
        <v>44926</v>
      </c>
      <c r="M98" s="965"/>
      <c r="N98" s="965">
        <v>1</v>
      </c>
      <c r="O98" s="965"/>
      <c r="P98" s="965"/>
      <c r="Q98" s="968" t="s">
        <v>41</v>
      </c>
      <c r="R98" s="965">
        <v>3</v>
      </c>
      <c r="S98" s="965">
        <v>3</v>
      </c>
      <c r="T98" s="445">
        <v>1</v>
      </c>
      <c r="U98" s="965"/>
      <c r="V98" s="965"/>
      <c r="W98" s="965">
        <v>1</v>
      </c>
      <c r="X98" s="965">
        <v>2</v>
      </c>
      <c r="Y98" s="965"/>
      <c r="Z98" s="965"/>
      <c r="AA98" s="965"/>
      <c r="AB98" s="965"/>
      <c r="AC98" s="965"/>
      <c r="AD98" s="965"/>
      <c r="AE98" s="965"/>
      <c r="AF98" s="965"/>
      <c r="AG98" s="965"/>
      <c r="AH98" s="965"/>
      <c r="AI98" s="965"/>
      <c r="AJ98" s="965"/>
      <c r="AK98" s="965"/>
      <c r="AL98" s="965"/>
      <c r="AM98" s="965"/>
      <c r="AN98" s="965"/>
      <c r="AO98" s="445"/>
      <c r="AP98" s="969"/>
      <c r="AQ98" s="965">
        <v>12</v>
      </c>
      <c r="AR98" s="965"/>
      <c r="AS98" s="970"/>
      <c r="AT98" s="965"/>
      <c r="AU98" s="965"/>
      <c r="AV98" s="965"/>
      <c r="AW98" s="965"/>
      <c r="AX98" s="965"/>
      <c r="AY98" s="964" t="s">
        <v>41</v>
      </c>
      <c r="AZ98" s="969" t="s">
        <v>136</v>
      </c>
      <c r="BA98" s="965"/>
      <c r="BB98" s="965"/>
      <c r="BC98" s="965">
        <v>1</v>
      </c>
      <c r="BD98" s="445"/>
      <c r="BE98" s="445"/>
      <c r="BF98" s="964"/>
      <c r="BG98" s="965">
        <v>7</v>
      </c>
      <c r="BH98" s="965"/>
      <c r="BI98" s="965"/>
      <c r="BJ98" s="965">
        <v>1</v>
      </c>
      <c r="BK98" s="965"/>
      <c r="BL98" s="965"/>
      <c r="BM98" s="965">
        <v>1</v>
      </c>
      <c r="BN98" s="965"/>
      <c r="BO98" s="965"/>
      <c r="BP98" s="964" t="s">
        <v>41</v>
      </c>
      <c r="BQ98" s="971"/>
      <c r="BR98" s="970"/>
      <c r="BS98" s="964"/>
      <c r="BT98" s="420"/>
      <c r="BU98" s="420"/>
      <c r="BV98" s="422"/>
      <c r="BW98" s="420"/>
      <c r="BX98" s="445"/>
      <c r="BY98" s="445"/>
      <c r="BZ98" s="445"/>
      <c r="CA98" s="445"/>
      <c r="CB98" s="445"/>
      <c r="CC98" s="702"/>
      <c r="CD98" s="445"/>
      <c r="CE98" s="972" t="str">
        <f>IFERROR(WWWW[[#This Row],['#_Water sources passed]]/WWWW[[#This Row],['#_Water sources tested for fecal coliform ]],"no test")</f>
        <v>no test</v>
      </c>
      <c r="CF98" s="970" t="str">
        <f>IFERROR(WWWW[[#This Row],['#_Household passed]]/WWWW[[#This Row],['#_Household water samples tested for fecal coliform]],"no test")</f>
        <v>no test</v>
      </c>
      <c r="CG98" s="971" t="str">
        <f>IF(AND(WWWW[[#This Row],[% of water sources passed]]="no test",WWWW[[#This Row],[% Household passed]]="no test"),"No Test","Tested")</f>
        <v>No Test</v>
      </c>
      <c r="CH98" s="971">
        <f>WWWW[[#This Row],['#_Constructed/existing protected hand dug well]]-WWWW[[#This Row],['#_Non-functional protected hand dug well]]</f>
        <v>1</v>
      </c>
      <c r="CI98" s="971">
        <f>(WWWW[[#This Row],['#_Constructed/Existing tube wells/boreholes/handpumps_WASH_agency]]+WWWW[[#This Row],['#_Non-Cluster partner water tube-wells/boreholes/handpumps]])-WWWW[[#This Row],['#_Non-functional tube wells/boreholes/handpumps]]</f>
        <v>3</v>
      </c>
      <c r="CJ98" s="971">
        <f>WWWW[[#This Row],['#_Constructed/Existingwater storage tank with gravity fed reticulation system]]-WWWW[[#This Row],['#_Non-functional storage tank gravity fed reticulation system]]</f>
        <v>0</v>
      </c>
      <c r="CK98" s="971">
        <f>(WWWW[[#This Row],['#_Water_Liters_supplied_by_Water boating or water trucking]]/90)/15</f>
        <v>0</v>
      </c>
      <c r="CL98" s="971">
        <f>WWWW[[#This Row],['#_Water_Liters_from_Constructed/Existing water distribution system from river or natural spring]]/90/15</f>
        <v>0</v>
      </c>
      <c r="CM98" s="421">
        <f>IF(WWWW[[#This Row],['#_of water points in TLS/CFS]]*500&gt;WWWW[[#This Row],[Total PoP ]],WWWW[[#This Row],[Total PoP ]],WWWW[[#This Row],['#_of water points in TLS/CFS]]*500)</f>
        <v>0</v>
      </c>
      <c r="CN98" s="421">
        <f>IF(WWWW[[#This Row],['#_of water points in THF]]*500&gt;WWWW[[#This Row],[Total PoP ]],WWWW[[#This Row],[Total PoP ]],WWWW[[#This Row],['#_of water points in THF]]*500)</f>
        <v>0</v>
      </c>
      <c r="CO98" s="421"/>
      <c r="CP9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8" s="970">
        <f>IF(WWWW[[#This Row],[Location Type 1]]="Village",WWWW[[#This Row],[Access to safe drinking water for Village]],WWWW[[#This Row],[Access to safe drinking water for Camp]])</f>
        <v>1</v>
      </c>
      <c r="CS98" s="968">
        <f>WWWW[[#This Row],[%Equitable and continuous access to sufficient quantity of safe drinking water]]*WWWW[[#This Row],[Total PoP ]]</f>
        <v>244</v>
      </c>
      <c r="CT98" s="970">
        <f>IF((WWWW[[#This Row],['#_Constructed/Existing protected/fenced ponds]]*250)/WWWW[[#This Row],[Total PoP ]]&gt;1,1,(WWWW[[#This Row],['#_Constructed/Existing protected/fenced ponds]]*250)/WWWW[[#This Row],[Total PoP ]])</f>
        <v>0</v>
      </c>
      <c r="CU98" s="968">
        <f>WWWW[[#This Row],[% Access to unimproved water points]]*WWWW[[#This Row],[Total PoP ]]</f>
        <v>0</v>
      </c>
      <c r="CV9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X98" s="968">
        <f>WWWW[[#This Row],[HRP1]]/500</f>
        <v>0.48799999999999999</v>
      </c>
      <c r="CY98" s="973">
        <f>1-WWWW[[#This Row],[% Equitable and continuous access to sufficient quantity of domestic water]]</f>
        <v>0</v>
      </c>
      <c r="CZ98" s="968">
        <f>WWWW[[#This Row],[%equitable and continuous access to sufficient quantity of safe drinking and domestic water''s GAP]]*WWWW[[#This Row],[Total PoP ]]</f>
        <v>0</v>
      </c>
      <c r="DA98" s="971">
        <f>IF(WWWW[[#This Row],[Total required water points]]-WWWW[[#This Row],['#Water points coverage]]&lt;0,0,WWWW[[#This Row],[Total required water points]]-WWWW[[#This Row],['#Water points coverage]])</f>
        <v>0.51200000000000001</v>
      </c>
      <c r="DB98" s="971">
        <f>ROUND(IF(WWWW[[#This Row],[Total PoP ]]&lt;500,1,WWWW[[#This Row],[Total PoP ]]/500),0)</f>
        <v>1</v>
      </c>
      <c r="DC98" s="971">
        <f>(WWWW[[#This Row],['#_Constructed latrines_by_WASHAgencies]]+WWWW[[#This Row],['#_Non Cluster partner latrines]])-WWWW[[#This Row],['#_Non-functional latrines]]</f>
        <v>12</v>
      </c>
      <c r="DD98" s="619">
        <f>WWWW[[#This Row],[HRP2]]/WWWW[[#This Row],[Total PoP ]]</f>
        <v>0.98360655737704916</v>
      </c>
      <c r="DE9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9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8" s="421">
        <f>IF(WWWW[[#This Row],['# of functional latrines in THF supported by WASH partners during the reporting period2]]="",0,WWWW[[#This Row],['# of functional latrines in THF supported by WASH partners during the reporting period2]]*50)</f>
        <v>0</v>
      </c>
      <c r="DI98" s="971">
        <f>ROUND(IF(WWWW[[#This Row],[Location Type 1]]="camp",WWWW[[#This Row],[Total PoP ]]/20,IF(WWWW[[#This Row],[Location Type 1]]="Temporary Location",WWWW[[#This Row],[Total PoP ]]/50,(WWWW[[#This Row],[Total PoP ]]/6))),0)</f>
        <v>12</v>
      </c>
      <c r="DJ98" s="971">
        <f>IF(WWWW[[#This Row],[Total required Latrines]]-(WWWW[[#This Row],['#_Constructed latrines_by_WASHAgencies]]+WWWW[[#This Row],['#_Non Cluster partner latrines]])&lt;0,0,WWWW[[#This Row],[Total required Latrines]]-(WWWW[[#This Row],['#_Constructed latrines_by_WASHAgencies]]+WWWW[[#This Row],['#_Non Cluster partner latrines]]))</f>
        <v>0</v>
      </c>
      <c r="DK98" s="973">
        <f>1-WWWW[[#This Row],[% people access to functioning Latrine]]</f>
        <v>1.6393442622950838E-2</v>
      </c>
      <c r="DL98" s="972">
        <f>IF(OR(WWWW[[#This Row],['#_Non-functional latrines]]="",WWWW[[#This Row],['#_Non-functional latrines]]=0),0,WWWW[[#This Row],['#_Non-functional latrines]]/(WWWW[[#This Row],['#_Constructed latrines_by_WASHAgencies]]+WWWW[[#This Row],['#_Non Cluster partner latrines]]))</f>
        <v>0</v>
      </c>
      <c r="DM98" s="968">
        <f>IF(500*(WWWW[[#This Row],['#_male hygiene promoters]]+WWWW[[#This Row],['#_female hygiene promoters]])&gt;WWWW[[#This Row],[Total PoP ]],WWWW[[#This Row],[Total PoP ]],500*(WWWW[[#This Row],['#_male hygiene promoters]]+WWWW[[#This Row],['#_female hygiene promoters]]))</f>
        <v>244</v>
      </c>
      <c r="DN9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8" s="971">
        <f>IF(WWWW[[#This Row],['# People with access to soap]]&gt;WWWW[[#This Row],['# People with access to Sanity Pads]],WWWW[[#This Row],['# People with access to soap]],WWWW[[#This Row],['# People with access to Sanity Pads]])</f>
        <v>0</v>
      </c>
      <c r="DQ98" s="971">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R98" s="973">
        <f>IF(WWWW[[#This Row],[HRP3]]/WWWW[[#This Row],[Total PoP ]]&gt;1,1,WWWW[[#This Row],[HRP3]]/WWWW[[#This Row],[Total PoP ]])</f>
        <v>1</v>
      </c>
      <c r="DS98" s="972">
        <f>1-WWWW[[#This Row],[Hygiene Coverage%]]</f>
        <v>0</v>
      </c>
      <c r="DT98" s="970">
        <f>WWWW[[#This Row],['# people reached by regular dedicated hygiene promotion_5]]/WWWW[[#This Row],[Total PoP ]]</f>
        <v>1</v>
      </c>
      <c r="DU9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8" s="971">
        <f>WWWW[[#This Row],['#_Constructed/Existing hand washing stations]]-WWWW[[#This Row],['#_Non-Functional_hand_washing_stations]]</f>
        <v>7</v>
      </c>
      <c r="DX98" s="968">
        <f>IF(WWWW[[#This Row],['# Functional hand washing stations during reporting period]]*20&gt;WWWW[[#This Row],[Total HH]],WWWW[[#This Row],[Total HH]],WWWW[[#This Row],['# Functional hand washing stations during reporting period]]*20)</f>
        <v>40</v>
      </c>
      <c r="DY98" s="968">
        <f>IF(WWWW[[#This Row],[Is sufficient soap available for TLS? (Yes/No)]]="yes",WWWW[[#This Row],['#_Constructed/Existing hand washing stations at TLS/CFS/THF]],0)</f>
        <v>0</v>
      </c>
      <c r="DZ98" s="425">
        <f>IF(WWWW[[#This Row],['# Functional hand washing stations during reporting period]]*100&gt;WWWW[[#This Row],[Total PoP ]],WWWW[[#This Row],[Total PoP ]],WWWW[[#This Row],['# Functional hand washing stations during reporting period]]*100)</f>
        <v>244</v>
      </c>
      <c r="EA98" s="425" t="str">
        <f>IF(OR(WWWW[[#This Row],['#_students at TLS_CFS]]="",WWWW[[#This Row],['#_students at TLS_CFS]]=0),"No","Yes")</f>
        <v>No</v>
      </c>
      <c r="EB9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8" s="570">
        <f>WWWW[[#This Row],[%_of_affected_people_surveyed_who_report_feeling_satistfied_with_the_latrine_design_and_sanitation_service]]*WWWW[[#This Row],[Total PoP ]]</f>
        <v>0</v>
      </c>
      <c r="ED98" s="570">
        <f>WWWW[[#This Row],[%_of_affected_people_surveyed_who_report_feeling_satistfied_with_the_water_point_design_and_water_service]]*WWWW[[#This Row],[Total PoP ]]</f>
        <v>0</v>
      </c>
      <c r="EE98" s="570">
        <f>WWWW[[#This Row],[%_of_complaints_received_that_result_in_timely_corrective_action_and_feedback_to_the_community]]*WWWW[[#This Row],[Total PoP ]]</f>
        <v>0</v>
      </c>
      <c r="EF9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8" s="964" t="str">
        <f>VLOOKUP(WWWW[[#This Row],[Site Name]],SiteDB6[[Site Name]:[CCCM Management]],6,FALSE)</f>
        <v>Yes</v>
      </c>
      <c r="EJ98" s="964" t="str">
        <f>VLOOKUP(WWWW[[#This Row],[Site Name]],SiteDB6[[Site Name]:[CCCM Focal Agency]],7,FALSE)</f>
        <v>KBC-NSS</v>
      </c>
      <c r="EK98" s="964" t="str">
        <f>VLOOKUP(WWWW[[#This Row],[Site Name]],SiteDB6[[Site Name]:[Location Type 1]],9,FALSE)</f>
        <v>Camp</v>
      </c>
      <c r="EL98" s="964" t="str">
        <f>VLOOKUP(WWWW[[#This Row],[Site Name]],SiteDB6[[Site Name]:[Type of Accommodation]],10,FALSE)</f>
        <v>Camp</v>
      </c>
      <c r="EM98" s="964" t="str">
        <f>VLOOKUP(WWWW[[#This Row],[Site Name]],SiteDB6[[Site Name]:[Ethnic or GCA/NGCA]],11,FALSE)</f>
        <v>GCA</v>
      </c>
      <c r="EN98" s="964">
        <f>VLOOKUP(WWWW[[#This Row],[Site Name]],SiteDB6[[Site Name]:[Lat]],12,FALSE)</f>
        <v>23.450914000000001</v>
      </c>
      <c r="EO98" s="964">
        <f>VLOOKUP(WWWW[[#This Row],[Site Name]],SiteDB6[[Site Name]:[Long]],13,FALSE)</f>
        <v>97.926813999999993</v>
      </c>
      <c r="EP98" s="964" t="str">
        <f>VLOOKUP(WWWW[[#This Row],[Site Name]],SiteDB6[[Site Name]:[Pcode]],3,FALSE)</f>
        <v>MMR015CMP016</v>
      </c>
      <c r="EQ98" s="969" t="str">
        <f t="shared" si="3"/>
        <v>Covered</v>
      </c>
      <c r="ER98" s="969" t="s">
        <v>3147</v>
      </c>
      <c r="ES98" s="964">
        <f>VLOOKUP(WWWW[[#This Row],[Site Name]],SiteDB6[[Site Name]:[Pop
(Kachin/Shan-CCCM as of March 2023)]],16,FALSE)</f>
        <v>39</v>
      </c>
      <c r="ET98" s="964">
        <f>VLOOKUP(WWWW[[#This Row],[Site Name]],SiteDB6[[Site Name]:[Pop
(Kachin/Shan-CCCM as of March 2023)]],17,FALSE)</f>
        <v>243</v>
      </c>
    </row>
    <row r="99" spans="1:150" hidden="1">
      <c r="A99" s="962" t="s">
        <v>2977</v>
      </c>
      <c r="B99" s="962" t="s">
        <v>309</v>
      </c>
      <c r="C99" s="963" t="s">
        <v>309</v>
      </c>
      <c r="D99" s="963"/>
      <c r="E99" s="963" t="s">
        <v>515</v>
      </c>
      <c r="F99" s="963" t="s">
        <v>960</v>
      </c>
      <c r="G99" s="964" t="str">
        <f>VLOOKUP(WWWW[[#This Row],[Site Name]],SiteDB6[[Site Name]:[Location Type]],8,FALSE)</f>
        <v>Camp</v>
      </c>
      <c r="H99" s="963" t="s">
        <v>2661</v>
      </c>
      <c r="I99" s="965">
        <v>142</v>
      </c>
      <c r="J99" s="965">
        <v>504</v>
      </c>
      <c r="K99" s="966"/>
      <c r="L99" s="967"/>
      <c r="M99" s="965"/>
      <c r="N99" s="965"/>
      <c r="O99" s="965"/>
      <c r="P99" s="965"/>
      <c r="Q99" s="968"/>
      <c r="R99" s="965"/>
      <c r="S99" s="965"/>
      <c r="T99" s="445"/>
      <c r="U99" s="965"/>
      <c r="V99" s="965"/>
      <c r="W99" s="965"/>
      <c r="X99" s="965"/>
      <c r="Y99" s="965"/>
      <c r="Z99" s="965"/>
      <c r="AA99" s="965"/>
      <c r="AB99" s="965"/>
      <c r="AC99" s="965"/>
      <c r="AD99" s="965"/>
      <c r="AE99" s="965"/>
      <c r="AF99" s="965"/>
      <c r="AG99" s="965"/>
      <c r="AH99" s="965"/>
      <c r="AI99" s="965"/>
      <c r="AJ99" s="965"/>
      <c r="AK99" s="965"/>
      <c r="AL99" s="965"/>
      <c r="AM99" s="965"/>
      <c r="AN99" s="965"/>
      <c r="AO99" s="445"/>
      <c r="AP99" s="969"/>
      <c r="AQ99" s="965"/>
      <c r="AR99" s="965"/>
      <c r="AS99" s="970"/>
      <c r="AT99" s="965"/>
      <c r="AU99" s="965"/>
      <c r="AV99" s="965"/>
      <c r="AW99" s="965"/>
      <c r="AX99" s="965"/>
      <c r="AY99" s="964" t="s">
        <v>140</v>
      </c>
      <c r="AZ99" s="969" t="s">
        <v>140</v>
      </c>
      <c r="BA99" s="965"/>
      <c r="BB99" s="965"/>
      <c r="BC99" s="965"/>
      <c r="BD99" s="445"/>
      <c r="BE99" s="445"/>
      <c r="BF99" s="964"/>
      <c r="BG99" s="965"/>
      <c r="BH99" s="965"/>
      <c r="BI99" s="965"/>
      <c r="BJ99" s="965"/>
      <c r="BK99" s="965"/>
      <c r="BL99" s="965"/>
      <c r="BM99" s="965"/>
      <c r="BN99" s="965"/>
      <c r="BO99" s="965"/>
      <c r="BP99" s="964"/>
      <c r="BQ99" s="971"/>
      <c r="BR99" s="970"/>
      <c r="BS99" s="964"/>
      <c r="BT99" s="420"/>
      <c r="BU99" s="420"/>
      <c r="BV99" s="422"/>
      <c r="BW99" s="420"/>
      <c r="BX99" s="445"/>
      <c r="BY99" s="445"/>
      <c r="BZ99" s="445"/>
      <c r="CA99" s="445"/>
      <c r="CB99" s="445"/>
      <c r="CC99" s="702"/>
      <c r="CD99" s="445"/>
      <c r="CE99" s="972" t="str">
        <f>IFERROR(WWWW[[#This Row],['#_Water sources passed]]/WWWW[[#This Row],['#_Water sources tested for fecal coliform ]],"no test")</f>
        <v>no test</v>
      </c>
      <c r="CF99" s="970" t="str">
        <f>IFERROR(WWWW[[#This Row],['#_Household passed]]/WWWW[[#This Row],['#_Household water samples tested for fecal coliform]],"no test")</f>
        <v>no test</v>
      </c>
      <c r="CG99" s="971" t="str">
        <f>IF(AND(WWWW[[#This Row],[% of water sources passed]]="no test",WWWW[[#This Row],[% Household passed]]="no test"),"No Test","Tested")</f>
        <v>No Test</v>
      </c>
      <c r="CH99" s="971">
        <f>WWWW[[#This Row],['#_Constructed/existing protected hand dug well]]-WWWW[[#This Row],['#_Non-functional protected hand dug well]]</f>
        <v>0</v>
      </c>
      <c r="CI99" s="971">
        <f>(WWWW[[#This Row],['#_Constructed/Existing tube wells/boreholes/handpumps_WASH_agency]]+WWWW[[#This Row],['#_Non-Cluster partner water tube-wells/boreholes/handpumps]])-WWWW[[#This Row],['#_Non-functional tube wells/boreholes/handpumps]]</f>
        <v>0</v>
      </c>
      <c r="CJ99" s="971">
        <f>WWWW[[#This Row],['#_Constructed/Existingwater storage tank with gravity fed reticulation system]]-WWWW[[#This Row],['#_Non-functional storage tank gravity fed reticulation system]]</f>
        <v>0</v>
      </c>
      <c r="CK99" s="971">
        <f>(WWWW[[#This Row],['#_Water_Liters_supplied_by_Water boating or water trucking]]/90)/15</f>
        <v>0</v>
      </c>
      <c r="CL99" s="971">
        <f>WWWW[[#This Row],['#_Water_Liters_from_Constructed/Existing water distribution system from river or natural spring]]/90/15</f>
        <v>0</v>
      </c>
      <c r="CM99" s="421">
        <f>IF(WWWW[[#This Row],['#_of water points in TLS/CFS]]*500&gt;WWWW[[#This Row],[Total PoP ]],WWWW[[#This Row],[Total PoP ]],WWWW[[#This Row],['#_of water points in TLS/CFS]]*500)</f>
        <v>0</v>
      </c>
      <c r="CN99" s="421">
        <f>IF(WWWW[[#This Row],['#_of water points in THF]]*500&gt;WWWW[[#This Row],[Total PoP ]],WWWW[[#This Row],[Total PoP ]],WWWW[[#This Row],['#_of water points in THF]]*500)</f>
        <v>0</v>
      </c>
      <c r="CO99" s="421"/>
      <c r="CP9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9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99" s="970">
        <f>IF(WWWW[[#This Row],[Location Type 1]]="Village",WWWW[[#This Row],[Access to safe drinking water for Village]],WWWW[[#This Row],[Access to safe drinking water for Camp]])</f>
        <v>0</v>
      </c>
      <c r="CS99" s="968">
        <f>WWWW[[#This Row],[%Equitable and continuous access to sufficient quantity of safe drinking water]]*WWWW[[#This Row],[Total PoP ]]</f>
        <v>0</v>
      </c>
      <c r="CT99" s="970">
        <f>IF((WWWW[[#This Row],['#_Constructed/Existing protected/fenced ponds]]*250)/WWWW[[#This Row],[Total PoP ]]&gt;1,1,(WWWW[[#This Row],['#_Constructed/Existing protected/fenced ponds]]*250)/WWWW[[#This Row],[Total PoP ]])</f>
        <v>0</v>
      </c>
      <c r="CU99" s="968">
        <f>WWWW[[#This Row],[% Access to unimproved water points]]*WWWW[[#This Row],[Total PoP ]]</f>
        <v>0</v>
      </c>
      <c r="CV9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9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99" s="968">
        <f>WWWW[[#This Row],[HRP1]]/500</f>
        <v>0</v>
      </c>
      <c r="CY99" s="973">
        <f>1-WWWW[[#This Row],[% Equitable and continuous access to sufficient quantity of domestic water]]</f>
        <v>1</v>
      </c>
      <c r="CZ99" s="968">
        <f>WWWW[[#This Row],[%equitable and continuous access to sufficient quantity of safe drinking and domestic water''s GAP]]*WWWW[[#This Row],[Total PoP ]]</f>
        <v>504</v>
      </c>
      <c r="DA99" s="971">
        <f>IF(WWWW[[#This Row],[Total required water points]]-WWWW[[#This Row],['#Water points coverage]]&lt;0,0,WWWW[[#This Row],[Total required water points]]-WWWW[[#This Row],['#Water points coverage]])</f>
        <v>1</v>
      </c>
      <c r="DB99" s="971">
        <f>ROUND(IF(WWWW[[#This Row],[Total PoP ]]&lt;500,1,WWWW[[#This Row],[Total PoP ]]/500),0)</f>
        <v>1</v>
      </c>
      <c r="DC99" s="971">
        <f>(WWWW[[#This Row],['#_Constructed latrines_by_WASHAgencies]]+WWWW[[#This Row],['#_Non Cluster partner latrines]])-WWWW[[#This Row],['#_Non-functional latrines]]</f>
        <v>0</v>
      </c>
      <c r="DD99" s="619">
        <f>WWWW[[#This Row],[HRP2]]/WWWW[[#This Row],[Total PoP ]]</f>
        <v>0</v>
      </c>
      <c r="DE9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9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9" s="421">
        <f>IF(WWWW[[#This Row],['# of functional latrines in THF supported by WASH partners during the reporting period2]]="",0,WWWW[[#This Row],['# of functional latrines in THF supported by WASH partners during the reporting period2]]*50)</f>
        <v>0</v>
      </c>
      <c r="DI99" s="971">
        <f>ROUND(IF(WWWW[[#This Row],[Location Type 1]]="camp",WWWW[[#This Row],[Total PoP ]]/20,IF(WWWW[[#This Row],[Location Type 1]]="Temporary Location",WWWW[[#This Row],[Total PoP ]]/50,(WWWW[[#This Row],[Total PoP ]]/6))),0)</f>
        <v>25</v>
      </c>
      <c r="DJ99" s="971">
        <f>IF(WWWW[[#This Row],[Total required Latrines]]-(WWWW[[#This Row],['#_Constructed latrines_by_WASHAgencies]]+WWWW[[#This Row],['#_Non Cluster partner latrines]])&lt;0,0,WWWW[[#This Row],[Total required Latrines]]-(WWWW[[#This Row],['#_Constructed latrines_by_WASHAgencies]]+WWWW[[#This Row],['#_Non Cluster partner latrines]]))</f>
        <v>25</v>
      </c>
      <c r="DK99" s="973">
        <f>1-WWWW[[#This Row],[% people access to functioning Latrine]]</f>
        <v>1</v>
      </c>
      <c r="DL99" s="972">
        <f>IF(OR(WWWW[[#This Row],['#_Non-functional latrines]]="",WWWW[[#This Row],['#_Non-functional latrines]]=0),0,WWWW[[#This Row],['#_Non-functional latrines]]/(WWWW[[#This Row],['#_Constructed latrines_by_WASHAgencies]]+WWWW[[#This Row],['#_Non Cluster partner latrines]]))</f>
        <v>0</v>
      </c>
      <c r="DM99" s="968">
        <f>IF(500*(WWWW[[#This Row],['#_male hygiene promoters]]+WWWW[[#This Row],['#_female hygiene promoters]])&gt;WWWW[[#This Row],[Total PoP ]],WWWW[[#This Row],[Total PoP ]],500*(WWWW[[#This Row],['#_male hygiene promoters]]+WWWW[[#This Row],['#_female hygiene promoters]]))</f>
        <v>0</v>
      </c>
      <c r="DN9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9" s="971">
        <f>IF(WWWW[[#This Row],['# People with access to soap]]&gt;WWWW[[#This Row],['# People with access to Sanity Pads]],WWWW[[#This Row],['# People with access to soap]],WWWW[[#This Row],['# People with access to Sanity Pads]])</f>
        <v>0</v>
      </c>
      <c r="DQ9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9" s="973">
        <f>IF(WWWW[[#This Row],[HRP3]]/WWWW[[#This Row],[Total PoP ]]&gt;1,1,WWWW[[#This Row],[HRP3]]/WWWW[[#This Row],[Total PoP ]])</f>
        <v>0</v>
      </c>
      <c r="DS99" s="972">
        <f>1-WWWW[[#This Row],[Hygiene Coverage%]]</f>
        <v>1</v>
      </c>
      <c r="DT99" s="970">
        <f>WWWW[[#This Row],['# people reached by regular dedicated hygiene promotion_5]]/WWWW[[#This Row],[Total PoP ]]</f>
        <v>0</v>
      </c>
      <c r="DU9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9" s="971">
        <f>WWWW[[#This Row],['#_Constructed/Existing hand washing stations]]-WWWW[[#This Row],['#_Non-Functional_hand_washing_stations]]</f>
        <v>0</v>
      </c>
      <c r="DX99" s="968">
        <f>IF(WWWW[[#This Row],['# Functional hand washing stations during reporting period]]*20&gt;WWWW[[#This Row],[Total HH]],WWWW[[#This Row],[Total HH]],WWWW[[#This Row],['# Functional hand washing stations during reporting period]]*20)</f>
        <v>0</v>
      </c>
      <c r="DY99" s="968">
        <f>IF(WWWW[[#This Row],[Is sufficient soap available for TLS? (Yes/No)]]="yes",WWWW[[#This Row],['#_Constructed/Existing hand washing stations at TLS/CFS/THF]],0)</f>
        <v>0</v>
      </c>
      <c r="DZ99" s="425">
        <f>IF(WWWW[[#This Row],['# Functional hand washing stations during reporting period]]*100&gt;WWWW[[#This Row],[Total PoP ]],WWWW[[#This Row],[Total PoP ]],WWWW[[#This Row],['# Functional hand washing stations during reporting period]]*100)</f>
        <v>0</v>
      </c>
      <c r="EA99" s="425" t="str">
        <f>IF(OR(WWWW[[#This Row],['#_students at TLS_CFS]]="",WWWW[[#This Row],['#_students at TLS_CFS]]=0),"No","Yes")</f>
        <v>No</v>
      </c>
      <c r="EB9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9" s="570">
        <f>WWWW[[#This Row],[%_of_affected_people_surveyed_who_report_feeling_satistfied_with_the_latrine_design_and_sanitation_service]]*WWWW[[#This Row],[Total PoP ]]</f>
        <v>0</v>
      </c>
      <c r="ED99" s="570">
        <f>WWWW[[#This Row],[%_of_affected_people_surveyed_who_report_feeling_satistfied_with_the_water_point_design_and_water_service]]*WWWW[[#This Row],[Total PoP ]]</f>
        <v>0</v>
      </c>
      <c r="EE99" s="570">
        <f>WWWW[[#This Row],[%_of_complaints_received_that_result_in_timely_corrective_action_and_feedback_to_the_community]]*WWWW[[#This Row],[Total PoP ]]</f>
        <v>0</v>
      </c>
      <c r="EF9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9" s="964">
        <f>VLOOKUP(WWWW[[#This Row],[Site Name]],SiteDB6[[Site Name]:[CCCM Management]],6,FALSE)</f>
        <v>0</v>
      </c>
      <c r="EJ99" s="964" t="str">
        <f>VLOOKUP(WWWW[[#This Row],[Site Name]],SiteDB6[[Site Name]:[CCCM Focal Agency]],7,FALSE)</f>
        <v>uncovered</v>
      </c>
      <c r="EK99" s="964" t="str">
        <f>VLOOKUP(WWWW[[#This Row],[Site Name]],SiteDB6[[Site Name]:[Location Type 1]],9,FALSE)</f>
        <v>Camp</v>
      </c>
      <c r="EL99" s="964" t="str">
        <f>VLOOKUP(WWWW[[#This Row],[Site Name]],SiteDB6[[Site Name]:[Type of Accommodation]],10,FALSE)</f>
        <v>IDPs in host</v>
      </c>
      <c r="EM99" s="964" t="str">
        <f>VLOOKUP(WWWW[[#This Row],[Site Name]],SiteDB6[[Site Name]:[Ethnic or GCA/NGCA]],11,FALSE)</f>
        <v>GCA</v>
      </c>
      <c r="EN99" s="964">
        <f>VLOOKUP(WWWW[[#This Row],[Site Name]],SiteDB6[[Site Name]:[Lat]],12,FALSE)</f>
        <v>22.325900000000001</v>
      </c>
      <c r="EO99" s="964">
        <f>VLOOKUP(WWWW[[#This Row],[Site Name]],SiteDB6[[Site Name]:[Long]],13,FALSE)</f>
        <v>97.021000000000001</v>
      </c>
      <c r="EP99" s="964" t="str">
        <f>VLOOKUP(WWWW[[#This Row],[Site Name]],SiteDB6[[Site Name]:[Pcode]],3,FALSE)</f>
        <v>MMR015CMP075</v>
      </c>
      <c r="EQ99" s="969" t="str">
        <f t="shared" si="3"/>
        <v>Notcovered</v>
      </c>
      <c r="ER99" s="969"/>
      <c r="ES99" s="964">
        <f>VLOOKUP(WWWW[[#This Row],[Site Name]],SiteDB6[[Site Name]:[Pop
(Kachin/Shan-CCCM as of March 2023)]],16,FALSE)</f>
        <v>941</v>
      </c>
      <c r="ET99" s="964">
        <f>VLOOKUP(WWWW[[#This Row],[Site Name]],SiteDB6[[Site Name]:[Pop
(Kachin/Shan-CCCM as of March 2023)]],17,FALSE)</f>
        <v>3558</v>
      </c>
    </row>
    <row r="100" spans="1:150" hidden="1">
      <c r="A100" s="962" t="s">
        <v>2977</v>
      </c>
      <c r="B100" s="962" t="s">
        <v>309</v>
      </c>
      <c r="C100" s="963" t="s">
        <v>309</v>
      </c>
      <c r="D100" s="963"/>
      <c r="E100" s="963" t="s">
        <v>515</v>
      </c>
      <c r="F100" s="963" t="s">
        <v>963</v>
      </c>
      <c r="G100" s="964" t="s">
        <v>620</v>
      </c>
      <c r="H100" s="963" t="s">
        <v>2589</v>
      </c>
      <c r="I100" s="965">
        <v>219</v>
      </c>
      <c r="J100" s="965">
        <v>653</v>
      </c>
      <c r="K100" s="966"/>
      <c r="L100" s="967"/>
      <c r="M100" s="965"/>
      <c r="N100" s="965"/>
      <c r="O100" s="965"/>
      <c r="P100" s="965"/>
      <c r="Q100" s="968"/>
      <c r="R100" s="965"/>
      <c r="S100" s="965"/>
      <c r="T100" s="44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445"/>
      <c r="AP100" s="969"/>
      <c r="AQ100" s="965"/>
      <c r="AR100" s="965"/>
      <c r="AS100" s="970"/>
      <c r="AT100" s="965"/>
      <c r="AU100" s="965"/>
      <c r="AV100" s="965"/>
      <c r="AW100" s="965"/>
      <c r="AX100" s="965"/>
      <c r="AY100" s="964" t="s">
        <v>140</v>
      </c>
      <c r="AZ100" s="969" t="s">
        <v>140</v>
      </c>
      <c r="BA100" s="965"/>
      <c r="BB100" s="965"/>
      <c r="BC100" s="965"/>
      <c r="BD100" s="445"/>
      <c r="BE100" s="445"/>
      <c r="BF100" s="964"/>
      <c r="BG100" s="965"/>
      <c r="BH100" s="965"/>
      <c r="BI100" s="965"/>
      <c r="BJ100" s="965"/>
      <c r="BK100" s="965"/>
      <c r="BL100" s="965"/>
      <c r="BM100" s="965"/>
      <c r="BN100" s="965"/>
      <c r="BO100" s="965"/>
      <c r="BP100" s="964"/>
      <c r="BQ100" s="971"/>
      <c r="BR100" s="970"/>
      <c r="BS100" s="964"/>
      <c r="BT100" s="420"/>
      <c r="BU100" s="420"/>
      <c r="BV100" s="422"/>
      <c r="BW100" s="420"/>
      <c r="BX100" s="445"/>
      <c r="BY100" s="445"/>
      <c r="BZ100" s="445"/>
      <c r="CA100" s="445"/>
      <c r="CB100" s="445"/>
      <c r="CC100" s="702"/>
      <c r="CD100" s="445"/>
      <c r="CE100" s="972" t="str">
        <f>IFERROR(WWWW[[#This Row],['#_Water sources passed]]/WWWW[[#This Row],['#_Water sources tested for fecal coliform ]],"no test")</f>
        <v>no test</v>
      </c>
      <c r="CF100" s="970" t="str">
        <f>IFERROR(WWWW[[#This Row],['#_Household passed]]/WWWW[[#This Row],['#_Household water samples tested for fecal coliform]],"no test")</f>
        <v>no test</v>
      </c>
      <c r="CG100" s="971" t="str">
        <f>IF(AND(WWWW[[#This Row],[% of water sources passed]]="no test",WWWW[[#This Row],[% Household passed]]="no test"),"No Test","Tested")</f>
        <v>No Test</v>
      </c>
      <c r="CH100" s="971">
        <f>WWWW[[#This Row],['#_Constructed/existing protected hand dug well]]-WWWW[[#This Row],['#_Non-functional protected hand dug well]]</f>
        <v>0</v>
      </c>
      <c r="CI100" s="971">
        <f>(WWWW[[#This Row],['#_Constructed/Existing tube wells/boreholes/handpumps_WASH_agency]]+WWWW[[#This Row],['#_Non-Cluster partner water tube-wells/boreholes/handpumps]])-WWWW[[#This Row],['#_Non-functional tube wells/boreholes/handpumps]]</f>
        <v>0</v>
      </c>
      <c r="CJ100" s="971">
        <f>WWWW[[#This Row],['#_Constructed/Existingwater storage tank with gravity fed reticulation system]]-WWWW[[#This Row],['#_Non-functional storage tank gravity fed reticulation system]]</f>
        <v>0</v>
      </c>
      <c r="CK100" s="971">
        <f>(WWWW[[#This Row],['#_Water_Liters_supplied_by_Water boating or water trucking]]/90)/15</f>
        <v>0</v>
      </c>
      <c r="CL100" s="971">
        <f>WWWW[[#This Row],['#_Water_Liters_from_Constructed/Existing water distribution system from river or natural spring]]/90/15</f>
        <v>0</v>
      </c>
      <c r="CM100" s="421">
        <f>IF(WWWW[[#This Row],['#_of water points in TLS/CFS]]*500&gt;WWWW[[#This Row],[Total PoP ]],WWWW[[#This Row],[Total PoP ]],WWWW[[#This Row],['#_of water points in TLS/CFS]]*500)</f>
        <v>0</v>
      </c>
      <c r="CN100" s="421">
        <f>IF(WWWW[[#This Row],['#_of water points in THF]]*500&gt;WWWW[[#This Row],[Total PoP ]],WWWW[[#This Row],[Total PoP ]],WWWW[[#This Row],['#_of water points in THF]]*500)</f>
        <v>0</v>
      </c>
      <c r="CO100" s="421"/>
      <c r="CP10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0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00" s="970">
        <f>IF(WWWW[[#This Row],[Location Type 1]]="Village",WWWW[[#This Row],[Access to safe drinking water for Village]],WWWW[[#This Row],[Access to safe drinking water for Camp]])</f>
        <v>0</v>
      </c>
      <c r="CS100" s="968">
        <f>WWWW[[#This Row],[%Equitable and continuous access to sufficient quantity of safe drinking water]]*WWWW[[#This Row],[Total PoP ]]</f>
        <v>0</v>
      </c>
      <c r="CT100" s="970">
        <f>IF((WWWW[[#This Row],['#_Constructed/Existing protected/fenced ponds]]*250)/WWWW[[#This Row],[Total PoP ]]&gt;1,1,(WWWW[[#This Row],['#_Constructed/Existing protected/fenced ponds]]*250)/WWWW[[#This Row],[Total PoP ]])</f>
        <v>0</v>
      </c>
      <c r="CU100" s="968">
        <f>WWWW[[#This Row],[% Access to unimproved water points]]*WWWW[[#This Row],[Total PoP ]]</f>
        <v>0</v>
      </c>
      <c r="CV10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0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00" s="968">
        <f>WWWW[[#This Row],[HRP1]]/500</f>
        <v>0</v>
      </c>
      <c r="CY100" s="973">
        <f>1-WWWW[[#This Row],[% Equitable and continuous access to sufficient quantity of domestic water]]</f>
        <v>1</v>
      </c>
      <c r="CZ100" s="968">
        <f>WWWW[[#This Row],[%equitable and continuous access to sufficient quantity of safe drinking and domestic water''s GAP]]*WWWW[[#This Row],[Total PoP ]]</f>
        <v>653</v>
      </c>
      <c r="DA100" s="971">
        <f>IF(WWWW[[#This Row],[Total required water points]]-WWWW[[#This Row],['#Water points coverage]]&lt;0,0,WWWW[[#This Row],[Total required water points]]-WWWW[[#This Row],['#Water points coverage]])</f>
        <v>1</v>
      </c>
      <c r="DB100" s="971">
        <f>ROUND(IF(WWWW[[#This Row],[Total PoP ]]&lt;500,1,WWWW[[#This Row],[Total PoP ]]/500),0)</f>
        <v>1</v>
      </c>
      <c r="DC100" s="971">
        <f>(WWWW[[#This Row],['#_Constructed latrines_by_WASHAgencies]]+WWWW[[#This Row],['#_Non Cluster partner latrines]])-WWWW[[#This Row],['#_Non-functional latrines]]</f>
        <v>0</v>
      </c>
      <c r="DD100" s="619">
        <f>WWWW[[#This Row],[HRP2]]/WWWW[[#This Row],[Total PoP ]]</f>
        <v>0</v>
      </c>
      <c r="DE10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0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0" s="421">
        <f>IF(WWWW[[#This Row],['# of functional latrines in THF supported by WASH partners during the reporting period2]]="",0,WWWW[[#This Row],['# of functional latrines in THF supported by WASH partners during the reporting period2]]*50)</f>
        <v>0</v>
      </c>
      <c r="DI100" s="971">
        <f>ROUND(IF(WWWW[[#This Row],[Location Type 1]]="camp",WWWW[[#This Row],[Total PoP ]]/20,IF(WWWW[[#This Row],[Location Type 1]]="Temporary Location",WWWW[[#This Row],[Total PoP ]]/50,(WWWW[[#This Row],[Total PoP ]]/6))),0)</f>
        <v>109</v>
      </c>
      <c r="DJ100" s="971">
        <f>IF(WWWW[[#This Row],[Total required Latrines]]-(WWWW[[#This Row],['#_Constructed latrines_by_WASHAgencies]]+WWWW[[#This Row],['#_Non Cluster partner latrines]])&lt;0,0,WWWW[[#This Row],[Total required Latrines]]-(WWWW[[#This Row],['#_Constructed latrines_by_WASHAgencies]]+WWWW[[#This Row],['#_Non Cluster partner latrines]]))</f>
        <v>109</v>
      </c>
      <c r="DK100" s="973">
        <f>1-WWWW[[#This Row],[% people access to functioning Latrine]]</f>
        <v>1</v>
      </c>
      <c r="DL100" s="972">
        <f>IF(OR(WWWW[[#This Row],['#_Non-functional latrines]]="",WWWW[[#This Row],['#_Non-functional latrines]]=0),0,WWWW[[#This Row],['#_Non-functional latrines]]/(WWWW[[#This Row],['#_Constructed latrines_by_WASHAgencies]]+WWWW[[#This Row],['#_Non Cluster partner latrines]]))</f>
        <v>0</v>
      </c>
      <c r="DM100" s="968">
        <f>IF(500*(WWWW[[#This Row],['#_male hygiene promoters]]+WWWW[[#This Row],['#_female hygiene promoters]])&gt;WWWW[[#This Row],[Total PoP ]],WWWW[[#This Row],[Total PoP ]],500*(WWWW[[#This Row],['#_male hygiene promoters]]+WWWW[[#This Row],['#_female hygiene promoters]]))</f>
        <v>0</v>
      </c>
      <c r="DN10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0" s="971">
        <f>IF(WWWW[[#This Row],['# People with access to soap]]&gt;WWWW[[#This Row],['# People with access to Sanity Pads]],WWWW[[#This Row],['# People with access to soap]],WWWW[[#This Row],['# People with access to Sanity Pads]])</f>
        <v>0</v>
      </c>
      <c r="DQ100"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0" s="973">
        <f>IF(WWWW[[#This Row],[HRP3]]/WWWW[[#This Row],[Total PoP ]]&gt;1,1,WWWW[[#This Row],[HRP3]]/WWWW[[#This Row],[Total PoP ]])</f>
        <v>0</v>
      </c>
      <c r="DS100" s="972">
        <f>1-WWWW[[#This Row],[Hygiene Coverage%]]</f>
        <v>1</v>
      </c>
      <c r="DT100" s="970">
        <f>WWWW[[#This Row],['# people reached by regular dedicated hygiene promotion_5]]/WWWW[[#This Row],[Total PoP ]]</f>
        <v>0</v>
      </c>
      <c r="DU10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0" s="971">
        <f>WWWW[[#This Row],['#_Constructed/Existing hand washing stations]]-WWWW[[#This Row],['#_Non-Functional_hand_washing_stations]]</f>
        <v>0</v>
      </c>
      <c r="DX100" s="968">
        <f>IF(WWWW[[#This Row],['# Functional hand washing stations during reporting period]]*20&gt;WWWW[[#This Row],[Total HH]],WWWW[[#This Row],[Total HH]],WWWW[[#This Row],['# Functional hand washing stations during reporting period]]*20)</f>
        <v>0</v>
      </c>
      <c r="DY100" s="968">
        <f>IF(WWWW[[#This Row],[Is sufficient soap available for TLS? (Yes/No)]]="yes",WWWW[[#This Row],['#_Constructed/Existing hand washing stations at TLS/CFS/THF]],0)</f>
        <v>0</v>
      </c>
      <c r="DZ100" s="425">
        <f>IF(WWWW[[#This Row],['# Functional hand washing stations during reporting period]]*100&gt;WWWW[[#This Row],[Total PoP ]],WWWW[[#This Row],[Total PoP ]],WWWW[[#This Row],['# Functional hand washing stations during reporting period]]*100)</f>
        <v>0</v>
      </c>
      <c r="EA100" s="425" t="str">
        <f>IF(OR(WWWW[[#This Row],['#_students at TLS_CFS]]="",WWWW[[#This Row],['#_students at TLS_CFS]]=0),"No","Yes")</f>
        <v>No</v>
      </c>
      <c r="EB10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0" s="570">
        <f>WWWW[[#This Row],[%_of_affected_people_surveyed_who_report_feeling_satistfied_with_the_latrine_design_and_sanitation_service]]*WWWW[[#This Row],[Total PoP ]]</f>
        <v>0</v>
      </c>
      <c r="ED100" s="570">
        <f>WWWW[[#This Row],[%_of_affected_people_surveyed_who_report_feeling_satistfied_with_the_water_point_design_and_water_service]]*WWWW[[#This Row],[Total PoP ]]</f>
        <v>0</v>
      </c>
      <c r="EE100" s="570">
        <f>WWWW[[#This Row],[%_of_complaints_received_that_result_in_timely_corrective_action_and_feedback_to_the_community]]*WWWW[[#This Row],[Total PoP ]]</f>
        <v>0</v>
      </c>
      <c r="EF10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0" s="964">
        <f>VLOOKUP(WWWW[[#This Row],[Site Name]],SiteDB6[[Site Name]:[CCCM Management]],6,FALSE)</f>
        <v>0</v>
      </c>
      <c r="EJ100" s="964">
        <f>VLOOKUP(WWWW[[#This Row],[Site Name]],SiteDB6[[Site Name]:[CCCM Focal Agency]],7,FALSE)</f>
        <v>0</v>
      </c>
      <c r="EK100" s="964" t="str">
        <f>VLOOKUP(WWWW[[#This Row],[Site Name]],SiteDB6[[Site Name]:[Location Type 1]],9,FALSE)</f>
        <v>Relocated</v>
      </c>
      <c r="EL100" s="964" t="str">
        <f>VLOOKUP(WWWW[[#This Row],[Site Name]],SiteDB6[[Site Name]:[Type of Accommodation]],10,FALSE)</f>
        <v>Relocated-Individual House</v>
      </c>
      <c r="EM100" s="964" t="str">
        <f>VLOOKUP(WWWW[[#This Row],[Site Name]],SiteDB6[[Site Name]:[Ethnic or GCA/NGCA]],11,FALSE)</f>
        <v>GCA</v>
      </c>
      <c r="EN100" s="964">
        <f>VLOOKUP(WWWW[[#This Row],[Site Name]],SiteDB6[[Site Name]:[Lat]],12,FALSE)</f>
        <v>23.415991000000002</v>
      </c>
      <c r="EO100" s="964">
        <f>VLOOKUP(WWWW[[#This Row],[Site Name]],SiteDB6[[Site Name]:[Long]],13,FALSE)</f>
        <v>98.471779999999995</v>
      </c>
      <c r="EP100" s="964" t="str">
        <f>VLOOKUP(WWWW[[#This Row],[Site Name]],SiteDB6[[Site Name]:[Pcode]],3,FALSE)</f>
        <v>MMR015CMP073</v>
      </c>
      <c r="EQ100" s="969" t="str">
        <f t="shared" si="3"/>
        <v>Notcovered</v>
      </c>
      <c r="ER100" s="969"/>
      <c r="ES100" s="964">
        <f>VLOOKUP(WWWW[[#This Row],[Site Name]],SiteDB6[[Site Name]:[Pop
(Kachin/Shan-CCCM as of March 2023)]],16,FALSE)</f>
        <v>219</v>
      </c>
      <c r="ET100" s="964">
        <f>VLOOKUP(WWWW[[#This Row],[Site Name]],SiteDB6[[Site Name]:[Pop
(Kachin/Shan-CCCM as of March 2023)]],17,FALSE)</f>
        <v>653</v>
      </c>
    </row>
    <row r="101" spans="1:150" hidden="1">
      <c r="A101" s="962" t="s">
        <v>2977</v>
      </c>
      <c r="B101" s="962" t="s">
        <v>2969</v>
      </c>
      <c r="C101" s="963" t="s">
        <v>2969</v>
      </c>
      <c r="D101" s="963" t="s">
        <v>2970</v>
      </c>
      <c r="E101" s="963" t="s">
        <v>515</v>
      </c>
      <c r="F101" s="963" t="s">
        <v>536</v>
      </c>
      <c r="G101" s="964" t="str">
        <f>VLOOKUP(WWWW[[#This Row],[Site Name]],SiteDB6[[Site Name]:[Location Type]],8,FALSE)</f>
        <v>Camp</v>
      </c>
      <c r="H101" s="963" t="s">
        <v>543</v>
      </c>
      <c r="I101" s="965">
        <v>60</v>
      </c>
      <c r="J101" s="965">
        <v>270</v>
      </c>
      <c r="K101" s="966">
        <v>44511</v>
      </c>
      <c r="L101" s="967">
        <v>44926</v>
      </c>
      <c r="M101" s="965"/>
      <c r="N101" s="965"/>
      <c r="O101" s="965">
        <v>1</v>
      </c>
      <c r="P101" s="965"/>
      <c r="Q101" s="968" t="s">
        <v>41</v>
      </c>
      <c r="R101" s="965">
        <v>4</v>
      </c>
      <c r="S101" s="965">
        <v>3</v>
      </c>
      <c r="T101" s="445">
        <v>1</v>
      </c>
      <c r="U101" s="965"/>
      <c r="V101" s="965"/>
      <c r="W101" s="965">
        <v>1</v>
      </c>
      <c r="X101" s="965">
        <v>1</v>
      </c>
      <c r="Y101" s="965"/>
      <c r="Z101" s="965"/>
      <c r="AA101" s="965"/>
      <c r="AB101" s="965"/>
      <c r="AC101" s="965"/>
      <c r="AD101" s="965"/>
      <c r="AE101" s="965"/>
      <c r="AF101" s="965"/>
      <c r="AG101" s="965"/>
      <c r="AH101" s="965"/>
      <c r="AI101" s="965"/>
      <c r="AJ101" s="965"/>
      <c r="AK101" s="965"/>
      <c r="AL101" s="965"/>
      <c r="AM101" s="965">
        <v>2</v>
      </c>
      <c r="AN101" s="965"/>
      <c r="AO101" s="445"/>
      <c r="AP101" s="969"/>
      <c r="AQ101" s="965">
        <v>16</v>
      </c>
      <c r="AR101" s="965"/>
      <c r="AS101" s="970"/>
      <c r="AT101" s="965"/>
      <c r="AU101" s="965"/>
      <c r="AV101" s="965"/>
      <c r="AW101" s="965"/>
      <c r="AX101" s="965"/>
      <c r="AY101" s="964" t="s">
        <v>41</v>
      </c>
      <c r="AZ101" s="969" t="s">
        <v>137</v>
      </c>
      <c r="BA101" s="965"/>
      <c r="BB101" s="965"/>
      <c r="BC101" s="965"/>
      <c r="BD101" s="445"/>
      <c r="BE101" s="445"/>
      <c r="BF101" s="964"/>
      <c r="BG101" s="965">
        <v>11</v>
      </c>
      <c r="BH101" s="965"/>
      <c r="BI101" s="965"/>
      <c r="BJ101" s="965">
        <v>2</v>
      </c>
      <c r="BK101" s="965"/>
      <c r="BL101" s="965"/>
      <c r="BM101" s="965">
        <v>1</v>
      </c>
      <c r="BN101" s="965"/>
      <c r="BO101" s="965"/>
      <c r="BP101" s="964" t="s">
        <v>41</v>
      </c>
      <c r="BQ101" s="971"/>
      <c r="BR101" s="970"/>
      <c r="BS101" s="964"/>
      <c r="BT101" s="420"/>
      <c r="BU101" s="420"/>
      <c r="BV101" s="422"/>
      <c r="BW101" s="420"/>
      <c r="BX101" s="445"/>
      <c r="BY101" s="445"/>
      <c r="BZ101" s="445"/>
      <c r="CA101" s="445"/>
      <c r="CB101" s="445"/>
      <c r="CC101" s="702"/>
      <c r="CD101" s="445"/>
      <c r="CE101" s="972" t="str">
        <f>IFERROR(WWWW[[#This Row],['#_Water sources passed]]/WWWW[[#This Row],['#_Water sources tested for fecal coliform ]],"no test")</f>
        <v>no test</v>
      </c>
      <c r="CF101" s="970" t="str">
        <f>IFERROR(WWWW[[#This Row],['#_Household passed]]/WWWW[[#This Row],['#_Household water samples tested for fecal coliform]],"no test")</f>
        <v>no test</v>
      </c>
      <c r="CG101" s="971" t="str">
        <f>IF(AND(WWWW[[#This Row],[% of water sources passed]]="no test",WWWW[[#This Row],[% Household passed]]="no test"),"No Test","Tested")</f>
        <v>No Test</v>
      </c>
      <c r="CH101" s="971">
        <f>WWWW[[#This Row],['#_Constructed/existing protected hand dug well]]-WWWW[[#This Row],['#_Non-functional protected hand dug well]]</f>
        <v>1</v>
      </c>
      <c r="CI101" s="971">
        <f>(WWWW[[#This Row],['#_Constructed/Existing tube wells/boreholes/handpumps_WASH_agency]]+WWWW[[#This Row],['#_Non-Cluster partner water tube-wells/boreholes/handpumps]])-WWWW[[#This Row],['#_Non-functional tube wells/boreholes/handpumps]]</f>
        <v>2</v>
      </c>
      <c r="CJ101" s="971">
        <f>WWWW[[#This Row],['#_Constructed/Existingwater storage tank with gravity fed reticulation system]]-WWWW[[#This Row],['#_Non-functional storage tank gravity fed reticulation system]]</f>
        <v>0</v>
      </c>
      <c r="CK101" s="971">
        <f>(WWWW[[#This Row],['#_Water_Liters_supplied_by_Water boating or water trucking]]/90)/15</f>
        <v>0</v>
      </c>
      <c r="CL101" s="971">
        <f>WWWW[[#This Row],['#_Water_Liters_from_Constructed/Existing water distribution system from river or natural spring]]/90/15</f>
        <v>0</v>
      </c>
      <c r="CM101" s="421">
        <f>IF(WWWW[[#This Row],['#_of water points in TLS/CFS]]*500&gt;WWWW[[#This Row],[Total PoP ]],WWWW[[#This Row],[Total PoP ]],WWWW[[#This Row],['#_of water points in TLS/CFS]]*500)</f>
        <v>0</v>
      </c>
      <c r="CN101" s="421">
        <f>IF(WWWW[[#This Row],['#_of water points in THF]]*500&gt;WWWW[[#This Row],[Total PoP ]],WWWW[[#This Row],[Total PoP ]],WWWW[[#This Row],['#_of water points in THF]]*500)</f>
        <v>0</v>
      </c>
      <c r="CO101" s="421"/>
      <c r="CP10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1" s="970">
        <f>IF(WWWW[[#This Row],[Location Type 1]]="Village",WWWW[[#This Row],[Access to safe drinking water for Village]],WWWW[[#This Row],[Access to safe drinking water for Camp]])</f>
        <v>1</v>
      </c>
      <c r="CS101" s="968">
        <f>WWWW[[#This Row],[%Equitable and continuous access to sufficient quantity of safe drinking water]]*WWWW[[#This Row],[Total PoP ]]</f>
        <v>270</v>
      </c>
      <c r="CT101" s="970">
        <f>IF((WWWW[[#This Row],['#_Constructed/Existing protected/fenced ponds]]*250)/WWWW[[#This Row],[Total PoP ]]&gt;1,1,(WWWW[[#This Row],['#_Constructed/Existing protected/fenced ponds]]*250)/WWWW[[#This Row],[Total PoP ]])</f>
        <v>0</v>
      </c>
      <c r="CU101" s="968">
        <f>WWWW[[#This Row],[% Access to unimproved water points]]*WWWW[[#This Row],[Total PoP ]]</f>
        <v>0</v>
      </c>
      <c r="CV10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X101" s="968">
        <f>WWWW[[#This Row],[HRP1]]/500</f>
        <v>0.54</v>
      </c>
      <c r="CY101" s="973">
        <f>1-WWWW[[#This Row],[% Equitable and continuous access to sufficient quantity of domestic water]]</f>
        <v>0</v>
      </c>
      <c r="CZ101" s="968">
        <f>WWWW[[#This Row],[%equitable and continuous access to sufficient quantity of safe drinking and domestic water''s GAP]]*WWWW[[#This Row],[Total PoP ]]</f>
        <v>0</v>
      </c>
      <c r="DA101" s="971">
        <f>IF(WWWW[[#This Row],[Total required water points]]-WWWW[[#This Row],['#Water points coverage]]&lt;0,0,WWWW[[#This Row],[Total required water points]]-WWWW[[#This Row],['#Water points coverage]])</f>
        <v>0.45999999999999996</v>
      </c>
      <c r="DB101" s="971">
        <f>ROUND(IF(WWWW[[#This Row],[Total PoP ]]&lt;500,1,WWWW[[#This Row],[Total PoP ]]/500),0)</f>
        <v>1</v>
      </c>
      <c r="DC101" s="971">
        <f>(WWWW[[#This Row],['#_Constructed latrines_by_WASHAgencies]]+WWWW[[#This Row],['#_Non Cluster partner latrines]])-WWWW[[#This Row],['#_Non-functional latrines]]</f>
        <v>16</v>
      </c>
      <c r="DD101" s="619">
        <f>WWWW[[#This Row],[HRP2]]/WWWW[[#This Row],[Total PoP ]]</f>
        <v>1</v>
      </c>
      <c r="DE10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270</v>
      </c>
      <c r="DF10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1" s="421">
        <f>IF(WWWW[[#This Row],['# of functional latrines in THF supported by WASH partners during the reporting period2]]="",0,WWWW[[#This Row],['# of functional latrines in THF supported by WASH partners during the reporting period2]]*50)</f>
        <v>0</v>
      </c>
      <c r="DI101" s="971">
        <f>ROUND(IF(WWWW[[#This Row],[Location Type 1]]="camp",WWWW[[#This Row],[Total PoP ]]/20,IF(WWWW[[#This Row],[Location Type 1]]="Temporary Location",WWWW[[#This Row],[Total PoP ]]/50,(WWWW[[#This Row],[Total PoP ]]/6))),0)</f>
        <v>14</v>
      </c>
      <c r="DJ101" s="971">
        <f>IF(WWWW[[#This Row],[Total required Latrines]]-(WWWW[[#This Row],['#_Constructed latrines_by_WASHAgencies]]+WWWW[[#This Row],['#_Non Cluster partner latrines]])&lt;0,0,WWWW[[#This Row],[Total required Latrines]]-(WWWW[[#This Row],['#_Constructed latrines_by_WASHAgencies]]+WWWW[[#This Row],['#_Non Cluster partner latrines]]))</f>
        <v>0</v>
      </c>
      <c r="DK101" s="973">
        <f>1-WWWW[[#This Row],[% people access to functioning Latrine]]</f>
        <v>0</v>
      </c>
      <c r="DL101" s="972">
        <f>IF(OR(WWWW[[#This Row],['#_Non-functional latrines]]="",WWWW[[#This Row],['#_Non-functional latrines]]=0),0,WWWW[[#This Row],['#_Non-functional latrines]]/(WWWW[[#This Row],['#_Constructed latrines_by_WASHAgencies]]+WWWW[[#This Row],['#_Non Cluster partner latrines]]))</f>
        <v>0</v>
      </c>
      <c r="DM101" s="968">
        <f>IF(500*(WWWW[[#This Row],['#_male hygiene promoters]]+WWWW[[#This Row],['#_female hygiene promoters]])&gt;WWWW[[#This Row],[Total PoP ]],WWWW[[#This Row],[Total PoP ]],500*(WWWW[[#This Row],['#_male hygiene promoters]]+WWWW[[#This Row],['#_female hygiene promoters]]))</f>
        <v>270</v>
      </c>
      <c r="DN10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1" s="971">
        <f>IF(WWWW[[#This Row],['# People with access to soap]]&gt;WWWW[[#This Row],['# People with access to Sanity Pads]],WWWW[[#This Row],['# People with access to soap]],WWWW[[#This Row],['# People with access to Sanity Pads]])</f>
        <v>0</v>
      </c>
      <c r="DQ101" s="971">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R101" s="973">
        <f>IF(WWWW[[#This Row],[HRP3]]/WWWW[[#This Row],[Total PoP ]]&gt;1,1,WWWW[[#This Row],[HRP3]]/WWWW[[#This Row],[Total PoP ]])</f>
        <v>1</v>
      </c>
      <c r="DS101" s="972">
        <f>1-WWWW[[#This Row],[Hygiene Coverage%]]</f>
        <v>0</v>
      </c>
      <c r="DT101" s="970">
        <f>WWWW[[#This Row],['# people reached by regular dedicated hygiene promotion_5]]/WWWW[[#This Row],[Total PoP ]]</f>
        <v>1</v>
      </c>
      <c r="DU10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1" s="971">
        <f>WWWW[[#This Row],['#_Constructed/Existing hand washing stations]]-WWWW[[#This Row],['#_Non-Functional_hand_washing_stations]]</f>
        <v>11</v>
      </c>
      <c r="DX101" s="968">
        <f>IF(WWWW[[#This Row],['# Functional hand washing stations during reporting period]]*20&gt;WWWW[[#This Row],[Total HH]],WWWW[[#This Row],[Total HH]],WWWW[[#This Row],['# Functional hand washing stations during reporting period]]*20)</f>
        <v>60</v>
      </c>
      <c r="DY101" s="968">
        <f>IF(WWWW[[#This Row],[Is sufficient soap available for TLS? (Yes/No)]]="yes",WWWW[[#This Row],['#_Constructed/Existing hand washing stations at TLS/CFS/THF]],0)</f>
        <v>2</v>
      </c>
      <c r="DZ101" s="425">
        <f>IF(WWWW[[#This Row],['# Functional hand washing stations during reporting period]]*100&gt;WWWW[[#This Row],[Total PoP ]],WWWW[[#This Row],[Total PoP ]],WWWW[[#This Row],['# Functional hand washing stations during reporting period]]*100)</f>
        <v>270</v>
      </c>
      <c r="EA101" s="425" t="str">
        <f>IF(OR(WWWW[[#This Row],['#_students at TLS_CFS]]="",WWWW[[#This Row],['#_students at TLS_CFS]]=0),"No","Yes")</f>
        <v>No</v>
      </c>
      <c r="EB10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1" s="570">
        <f>WWWW[[#This Row],[%_of_affected_people_surveyed_who_report_feeling_satistfied_with_the_latrine_design_and_sanitation_service]]*WWWW[[#This Row],[Total PoP ]]</f>
        <v>0</v>
      </c>
      <c r="ED101" s="570">
        <f>WWWW[[#This Row],[%_of_affected_people_surveyed_who_report_feeling_satistfied_with_the_water_point_design_and_water_service]]*WWWW[[#This Row],[Total PoP ]]</f>
        <v>0</v>
      </c>
      <c r="EE101" s="570">
        <f>WWWW[[#This Row],[%_of_complaints_received_that_result_in_timely_corrective_action_and_feedback_to_the_community]]*WWWW[[#This Row],[Total PoP ]]</f>
        <v>0</v>
      </c>
      <c r="EF10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1" s="964" t="str">
        <f>VLOOKUP(WWWW[[#This Row],[Site Name]],SiteDB6[[Site Name]:[CCCM Management]],6,FALSE)</f>
        <v>Yes</v>
      </c>
      <c r="EJ101" s="964" t="str">
        <f>VLOOKUP(WWWW[[#This Row],[Site Name]],SiteDB6[[Site Name]:[CCCM Focal Agency]],7,FALSE)</f>
        <v>KMSS-LSO</v>
      </c>
      <c r="EK101" s="964" t="str">
        <f>VLOOKUP(WWWW[[#This Row],[Site Name]],SiteDB6[[Site Name]:[Location Type 1]],9,FALSE)</f>
        <v>Camp</v>
      </c>
      <c r="EL101" s="964" t="str">
        <f>VLOOKUP(WWWW[[#This Row],[Site Name]],SiteDB6[[Site Name]:[Type of Accommodation]],10,FALSE)</f>
        <v>Camp</v>
      </c>
      <c r="EM101" s="964" t="str">
        <f>VLOOKUP(WWWW[[#This Row],[Site Name]],SiteDB6[[Site Name]:[Ethnic or GCA/NGCA]],11,FALSE)</f>
        <v>GCA</v>
      </c>
      <c r="EN101" s="964">
        <f>VLOOKUP(WWWW[[#This Row],[Site Name]],SiteDB6[[Site Name]:[Lat]],12,FALSE)</f>
        <v>23.099304</v>
      </c>
      <c r="EO101" s="964">
        <f>VLOOKUP(WWWW[[#This Row],[Site Name]],SiteDB6[[Site Name]:[Long]],13,FALSE)</f>
        <v>97.400671000000003</v>
      </c>
      <c r="EP101" s="964" t="str">
        <f>VLOOKUP(WWWW[[#This Row],[Site Name]],SiteDB6[[Site Name]:[Pcode]],3,FALSE)</f>
        <v>MMR015CMP066</v>
      </c>
      <c r="EQ101" s="969" t="str">
        <f t="shared" si="3"/>
        <v>Covered</v>
      </c>
      <c r="ER101" s="969" t="s">
        <v>3147</v>
      </c>
      <c r="ES101" s="964">
        <f>VLOOKUP(WWWW[[#This Row],[Site Name]],SiteDB6[[Site Name]:[Pop
(Kachin/Shan-CCCM as of March 2023)]],16,FALSE)</f>
        <v>60</v>
      </c>
      <c r="ET101" s="964">
        <f>VLOOKUP(WWWW[[#This Row],[Site Name]],SiteDB6[[Site Name]:[Pop
(Kachin/Shan-CCCM as of March 2023)]],17,FALSE)</f>
        <v>272</v>
      </c>
    </row>
    <row r="102" spans="1:150" hidden="1">
      <c r="A102" s="962" t="s">
        <v>2977</v>
      </c>
      <c r="B102" s="962" t="s">
        <v>192</v>
      </c>
      <c r="C102" s="963" t="s">
        <v>192</v>
      </c>
      <c r="D102" s="963" t="s">
        <v>2648</v>
      </c>
      <c r="E102" s="963" t="s">
        <v>515</v>
      </c>
      <c r="F102" s="963" t="s">
        <v>519</v>
      </c>
      <c r="G102" s="964" t="str">
        <f>VLOOKUP(WWWW[[#This Row],[Site Name]],SiteDB6[[Site Name]:[Location Type]],8,FALSE)</f>
        <v>Camp</v>
      </c>
      <c r="H102" s="963" t="s">
        <v>1616</v>
      </c>
      <c r="I102" s="965">
        <v>74</v>
      </c>
      <c r="J102" s="965">
        <v>502</v>
      </c>
      <c r="K102" s="966">
        <v>44511</v>
      </c>
      <c r="L102" s="967">
        <v>44926</v>
      </c>
      <c r="M102" s="965"/>
      <c r="N102" s="965"/>
      <c r="O102" s="965"/>
      <c r="P102" s="965"/>
      <c r="Q102" s="968"/>
      <c r="R102" s="965">
        <v>6</v>
      </c>
      <c r="S102" s="965">
        <v>3</v>
      </c>
      <c r="T102" s="445"/>
      <c r="U102" s="965"/>
      <c r="V102" s="965"/>
      <c r="W102" s="965"/>
      <c r="X102" s="965"/>
      <c r="Y102" s="965"/>
      <c r="Z102" s="965"/>
      <c r="AA102" s="965">
        <v>8</v>
      </c>
      <c r="AB102" s="965"/>
      <c r="AC102" s="965"/>
      <c r="AD102" s="965"/>
      <c r="AE102" s="965"/>
      <c r="AF102" s="965"/>
      <c r="AG102" s="965"/>
      <c r="AH102" s="965"/>
      <c r="AI102" s="965"/>
      <c r="AJ102" s="965"/>
      <c r="AK102" s="965"/>
      <c r="AL102" s="965"/>
      <c r="AM102" s="965">
        <v>1</v>
      </c>
      <c r="AN102" s="965">
        <v>2</v>
      </c>
      <c r="AO102" s="445"/>
      <c r="AP102" s="969"/>
      <c r="AQ102" s="965">
        <v>85</v>
      </c>
      <c r="AR102" s="965"/>
      <c r="AS102" s="970"/>
      <c r="AT102" s="965"/>
      <c r="AU102" s="965"/>
      <c r="AV102" s="965"/>
      <c r="AW102" s="965"/>
      <c r="AX102" s="965">
        <v>5</v>
      </c>
      <c r="AY102" s="964" t="s">
        <v>41</v>
      </c>
      <c r="AZ102" s="969" t="s">
        <v>904</v>
      </c>
      <c r="BA102" s="965"/>
      <c r="BB102" s="965"/>
      <c r="BC102" s="965"/>
      <c r="BD102" s="445"/>
      <c r="BE102" s="445"/>
      <c r="BF102" s="964"/>
      <c r="BG102" s="965">
        <v>2</v>
      </c>
      <c r="BH102" s="965"/>
      <c r="BI102" s="965"/>
      <c r="BJ102" s="965">
        <v>1</v>
      </c>
      <c r="BK102" s="965"/>
      <c r="BL102" s="965">
        <v>1</v>
      </c>
      <c r="BM102" s="965"/>
      <c r="BN102" s="965"/>
      <c r="BO102" s="965"/>
      <c r="BP102" s="964" t="s">
        <v>41</v>
      </c>
      <c r="BQ102" s="971"/>
      <c r="BR102" s="970"/>
      <c r="BS102" s="964"/>
      <c r="BT102" s="420"/>
      <c r="BU102" s="420"/>
      <c r="BV102" s="422"/>
      <c r="BW102" s="420"/>
      <c r="BX102" s="445"/>
      <c r="BY102" s="445"/>
      <c r="BZ102" s="445"/>
      <c r="CA102" s="445"/>
      <c r="CB102" s="445"/>
      <c r="CC102" s="702"/>
      <c r="CD102" s="445"/>
      <c r="CE102" s="972" t="str">
        <f>IFERROR(WWWW[[#This Row],['#_Water sources passed]]/WWWW[[#This Row],['#_Water sources tested for fecal coliform ]],"no test")</f>
        <v>no test</v>
      </c>
      <c r="CF102" s="970" t="str">
        <f>IFERROR(WWWW[[#This Row],['#_Household passed]]/WWWW[[#This Row],['#_Household water samples tested for fecal coliform]],"no test")</f>
        <v>no test</v>
      </c>
      <c r="CG102" s="971" t="str">
        <f>IF(AND(WWWW[[#This Row],[% of water sources passed]]="no test",WWWW[[#This Row],[% Household passed]]="no test"),"No Test","Tested")</f>
        <v>No Test</v>
      </c>
      <c r="CH102" s="971">
        <f>WWWW[[#This Row],['#_Constructed/existing protected hand dug well]]-WWWW[[#This Row],['#_Non-functional protected hand dug well]]</f>
        <v>0</v>
      </c>
      <c r="CI102" s="971">
        <f>(WWWW[[#This Row],['#_Constructed/Existing tube wells/boreholes/handpumps_WASH_agency]]+WWWW[[#This Row],['#_Non-Cluster partner water tube-wells/boreholes/handpumps]])-WWWW[[#This Row],['#_Non-functional tube wells/boreholes/handpumps]]</f>
        <v>0</v>
      </c>
      <c r="CJ102" s="971">
        <f>WWWW[[#This Row],['#_Constructed/Existingwater storage tank with gravity fed reticulation system]]-WWWW[[#This Row],['#_Non-functional storage tank gravity fed reticulation system]]</f>
        <v>8</v>
      </c>
      <c r="CK102" s="971">
        <f>(WWWW[[#This Row],['#_Water_Liters_supplied_by_Water boating or water trucking]]/90)/15</f>
        <v>0</v>
      </c>
      <c r="CL102" s="971">
        <f>WWWW[[#This Row],['#_Water_Liters_from_Constructed/Existing water distribution system from river or natural spring]]/90/15</f>
        <v>0</v>
      </c>
      <c r="CM102" s="421">
        <f>IF(WWWW[[#This Row],['#_of water points in TLS/CFS]]*500&gt;WWWW[[#This Row],[Total PoP ]],WWWW[[#This Row],[Total PoP ]],WWWW[[#This Row],['#_of water points in TLS/CFS]]*500)</f>
        <v>502</v>
      </c>
      <c r="CN102" s="421">
        <f>IF(WWWW[[#This Row],['#_of water points in THF]]*500&gt;WWWW[[#This Row],[Total PoP ]],WWWW[[#This Row],[Total PoP ]],WWWW[[#This Row],['#_of water points in THF]]*500)</f>
        <v>0</v>
      </c>
      <c r="CO102" s="421"/>
      <c r="CP10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2" s="970">
        <f>IF(WWWW[[#This Row],[Location Type 1]]="Village",WWWW[[#This Row],[Access to safe drinking water for Village]],WWWW[[#This Row],[Access to safe drinking water for Camp]])</f>
        <v>1</v>
      </c>
      <c r="CS102" s="968">
        <f>WWWW[[#This Row],[%Equitable and continuous access to sufficient quantity of safe drinking water]]*WWWW[[#This Row],[Total PoP ]]</f>
        <v>502</v>
      </c>
      <c r="CT102" s="970">
        <f>IF((WWWW[[#This Row],['#_Constructed/Existing protected/fenced ponds]]*250)/WWWW[[#This Row],[Total PoP ]]&gt;1,1,(WWWW[[#This Row],['#_Constructed/Existing protected/fenced ponds]]*250)/WWWW[[#This Row],[Total PoP ]])</f>
        <v>0</v>
      </c>
      <c r="CU102" s="968">
        <f>WWWW[[#This Row],[% Access to unimproved water points]]*WWWW[[#This Row],[Total PoP ]]</f>
        <v>0</v>
      </c>
      <c r="CV10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102" s="968">
        <f>WWWW[[#This Row],[HRP1]]/500</f>
        <v>1.004</v>
      </c>
      <c r="CY102" s="973">
        <f>1-WWWW[[#This Row],[% Equitable and continuous access to sufficient quantity of domestic water]]</f>
        <v>0</v>
      </c>
      <c r="CZ102" s="968">
        <f>WWWW[[#This Row],[%equitable and continuous access to sufficient quantity of safe drinking and domestic water''s GAP]]*WWWW[[#This Row],[Total PoP ]]</f>
        <v>0</v>
      </c>
      <c r="DA102" s="971">
        <f>IF(WWWW[[#This Row],[Total required water points]]-WWWW[[#This Row],['#Water points coverage]]&lt;0,0,WWWW[[#This Row],[Total required water points]]-WWWW[[#This Row],['#Water points coverage]])</f>
        <v>0</v>
      </c>
      <c r="DB102" s="971">
        <f>ROUND(IF(WWWW[[#This Row],[Total PoP ]]&lt;500,1,WWWW[[#This Row],[Total PoP ]]/500),0)</f>
        <v>1</v>
      </c>
      <c r="DC102" s="971">
        <f>(WWWW[[#This Row],['#_Constructed latrines_by_WASHAgencies]]+WWWW[[#This Row],['#_Non Cluster partner latrines]])-WWWW[[#This Row],['#_Non-functional latrines]]</f>
        <v>85</v>
      </c>
      <c r="DD102" s="619">
        <f>WWWW[[#This Row],[HRP2]]/WWWW[[#This Row],[Total PoP ]]</f>
        <v>1</v>
      </c>
      <c r="DE10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10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2" s="421">
        <f>IF(WWWW[[#This Row],['# of functional latrines in THF supported by WASH partners during the reporting period2]]="",0,WWWW[[#This Row],['# of functional latrines in THF supported by WASH partners during the reporting period2]]*50)</f>
        <v>0</v>
      </c>
      <c r="DI102" s="971">
        <f>ROUND(IF(WWWW[[#This Row],[Location Type 1]]="camp",WWWW[[#This Row],[Total PoP ]]/20,IF(WWWW[[#This Row],[Location Type 1]]="Temporary Location",WWWW[[#This Row],[Total PoP ]]/50,(WWWW[[#This Row],[Total PoP ]]/6))),0)</f>
        <v>25</v>
      </c>
      <c r="DJ102" s="971">
        <f>IF(WWWW[[#This Row],[Total required Latrines]]-(WWWW[[#This Row],['#_Constructed latrines_by_WASHAgencies]]+WWWW[[#This Row],['#_Non Cluster partner latrines]])&lt;0,0,WWWW[[#This Row],[Total required Latrines]]-(WWWW[[#This Row],['#_Constructed latrines_by_WASHAgencies]]+WWWW[[#This Row],['#_Non Cluster partner latrines]]))</f>
        <v>0</v>
      </c>
      <c r="DK102" s="973">
        <f>1-WWWW[[#This Row],[% people access to functioning Latrine]]</f>
        <v>0</v>
      </c>
      <c r="DL102" s="972">
        <f>IF(OR(WWWW[[#This Row],['#_Non-functional latrines]]="",WWWW[[#This Row],['#_Non-functional latrines]]=0),0,WWWW[[#This Row],['#_Non-functional latrines]]/(WWWW[[#This Row],['#_Constructed latrines_by_WASHAgencies]]+WWWW[[#This Row],['#_Non Cluster partner latrines]]))</f>
        <v>0</v>
      </c>
      <c r="DM102" s="968">
        <f>IF(500*(WWWW[[#This Row],['#_male hygiene promoters]]+WWWW[[#This Row],['#_female hygiene promoters]])&gt;WWWW[[#This Row],[Total PoP ]],WWWW[[#This Row],[Total PoP ]],500*(WWWW[[#This Row],['#_male hygiene promoters]]+WWWW[[#This Row],['#_female hygiene promoters]]))</f>
        <v>500</v>
      </c>
      <c r="DN10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2" s="971">
        <f>IF(WWWW[[#This Row],['# People with access to soap]]&gt;WWWW[[#This Row],['# People with access to Sanity Pads]],WWWW[[#This Row],['# People with access to soap]],WWWW[[#This Row],['# People with access to Sanity Pads]])</f>
        <v>0</v>
      </c>
      <c r="DQ102"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02" s="973">
        <f>IF(WWWW[[#This Row],[HRP3]]/WWWW[[#This Row],[Total PoP ]]&gt;1,1,WWWW[[#This Row],[HRP3]]/WWWW[[#This Row],[Total PoP ]])</f>
        <v>0.99601593625498008</v>
      </c>
      <c r="DS102" s="972">
        <f>1-WWWW[[#This Row],[Hygiene Coverage%]]</f>
        <v>3.9840637450199168E-3</v>
      </c>
      <c r="DT102" s="970">
        <f>WWWW[[#This Row],['# people reached by regular dedicated hygiene promotion_5]]/WWWW[[#This Row],[Total PoP ]]</f>
        <v>0.99601593625498008</v>
      </c>
      <c r="DU10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2" s="971">
        <f>WWWW[[#This Row],['#_Constructed/Existing hand washing stations]]-WWWW[[#This Row],['#_Non-Functional_hand_washing_stations]]</f>
        <v>2</v>
      </c>
      <c r="DX102" s="968">
        <f>IF(WWWW[[#This Row],['# Functional hand washing stations during reporting period]]*20&gt;WWWW[[#This Row],[Total HH]],WWWW[[#This Row],[Total HH]],WWWW[[#This Row],['# Functional hand washing stations during reporting period]]*20)</f>
        <v>40</v>
      </c>
      <c r="DY102" s="968">
        <f>IF(WWWW[[#This Row],[Is sufficient soap available for TLS? (Yes/No)]]="yes",WWWW[[#This Row],['#_Constructed/Existing hand washing stations at TLS/CFS/THF]],0)</f>
        <v>1</v>
      </c>
      <c r="DZ102" s="425">
        <f>IF(WWWW[[#This Row],['# Functional hand washing stations during reporting period]]*100&gt;WWWW[[#This Row],[Total PoP ]],WWWW[[#This Row],[Total PoP ]],WWWW[[#This Row],['# Functional hand washing stations during reporting period]]*100)</f>
        <v>200</v>
      </c>
      <c r="EA102" s="425" t="str">
        <f>IF(OR(WWWW[[#This Row],['#_students at TLS_CFS]]="",WWWW[[#This Row],['#_students at TLS_CFS]]=0),"No","Yes")</f>
        <v>No</v>
      </c>
      <c r="EB10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2" s="570">
        <f>WWWW[[#This Row],[%_of_affected_people_surveyed_who_report_feeling_satistfied_with_the_latrine_design_and_sanitation_service]]*WWWW[[#This Row],[Total PoP ]]</f>
        <v>0</v>
      </c>
      <c r="ED102" s="570">
        <f>WWWW[[#This Row],[%_of_affected_people_surveyed_who_report_feeling_satistfied_with_the_water_point_design_and_water_service]]*WWWW[[#This Row],[Total PoP ]]</f>
        <v>0</v>
      </c>
      <c r="EE102" s="570">
        <f>WWWW[[#This Row],[%_of_complaints_received_that_result_in_timely_corrective_action_and_feedback_to_the_community]]*WWWW[[#This Row],[Total PoP ]]</f>
        <v>0</v>
      </c>
      <c r="EF10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H10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2" s="964" t="str">
        <f>VLOOKUP(WWWW[[#This Row],[Site Name]],SiteDB6[[Site Name]:[CCCM Management]],6,FALSE)</f>
        <v>Yes</v>
      </c>
      <c r="EJ102" s="964" t="str">
        <f>VLOOKUP(WWWW[[#This Row],[Site Name]],SiteDB6[[Site Name]:[CCCM Focal Agency]],7,FALSE)</f>
        <v>KMSS-LSO</v>
      </c>
      <c r="EK102" s="964" t="str">
        <f>VLOOKUP(WWWW[[#This Row],[Site Name]],SiteDB6[[Site Name]:[Location Type 1]],9,FALSE)</f>
        <v>Camp</v>
      </c>
      <c r="EL102" s="964" t="str">
        <f>VLOOKUP(WWWW[[#This Row],[Site Name]],SiteDB6[[Site Name]:[Type of Accommodation]],10,FALSE)</f>
        <v>Camp</v>
      </c>
      <c r="EM102" s="964" t="str">
        <f>VLOOKUP(WWWW[[#This Row],[Site Name]],SiteDB6[[Site Name]:[Ethnic or GCA/NGCA]],11,FALSE)</f>
        <v>GCA</v>
      </c>
      <c r="EN102" s="964">
        <f>VLOOKUP(WWWW[[#This Row],[Site Name]],SiteDB6[[Site Name]:[Lat]],12,FALSE)</f>
        <v>23.591999999999999</v>
      </c>
      <c r="EO102" s="964">
        <f>VLOOKUP(WWWW[[#This Row],[Site Name]],SiteDB6[[Site Name]:[Long]],13,FALSE)</f>
        <v>97.796999999999997</v>
      </c>
      <c r="EP102" s="964" t="str">
        <f>VLOOKUP(WWWW[[#This Row],[Site Name]],SiteDB6[[Site Name]:[Pcode]],3,FALSE)</f>
        <v>MMR015CMP038</v>
      </c>
      <c r="EQ102" s="969" t="str">
        <f t="shared" si="3"/>
        <v>Covered</v>
      </c>
      <c r="ER102" s="969" t="s">
        <v>3147</v>
      </c>
      <c r="ES102" s="964">
        <f>VLOOKUP(WWWW[[#This Row],[Site Name]],SiteDB6[[Site Name]:[Pop
(Kachin/Shan-CCCM as of March 2023)]],16,FALSE)</f>
        <v>75</v>
      </c>
      <c r="ET102" s="964">
        <f>VLOOKUP(WWWW[[#This Row],[Site Name]],SiteDB6[[Site Name]:[Pop
(Kachin/Shan-CCCM as of March 2023)]],17,FALSE)</f>
        <v>395</v>
      </c>
    </row>
    <row r="103" spans="1:150" hidden="1">
      <c r="A103" s="962" t="s">
        <v>2977</v>
      </c>
      <c r="B103" s="962" t="s">
        <v>3117</v>
      </c>
      <c r="C103" s="963" t="s">
        <v>2808</v>
      </c>
      <c r="D103" s="963" t="s">
        <v>3118</v>
      </c>
      <c r="E103" s="963" t="s">
        <v>515</v>
      </c>
      <c r="F103" s="963" t="s">
        <v>525</v>
      </c>
      <c r="G103" s="964" t="s">
        <v>43</v>
      </c>
      <c r="H103" s="963" t="s">
        <v>2993</v>
      </c>
      <c r="I103" s="965">
        <v>11</v>
      </c>
      <c r="J103" s="965">
        <v>37</v>
      </c>
      <c r="K103" s="966">
        <v>44774</v>
      </c>
      <c r="L103" s="967">
        <v>45046</v>
      </c>
      <c r="M103" s="965"/>
      <c r="N103" s="965"/>
      <c r="O103" s="965"/>
      <c r="P103" s="965"/>
      <c r="Q103" s="968"/>
      <c r="R103" s="965"/>
      <c r="S103" s="965"/>
      <c r="T103" s="445"/>
      <c r="U103" s="965"/>
      <c r="V103" s="965"/>
      <c r="W103" s="965"/>
      <c r="X103" s="965"/>
      <c r="Y103" s="965"/>
      <c r="Z103" s="965"/>
      <c r="AA103" s="965">
        <v>1</v>
      </c>
      <c r="AB103" s="965"/>
      <c r="AC103" s="965"/>
      <c r="AD103" s="965"/>
      <c r="AE103" s="965"/>
      <c r="AF103" s="965"/>
      <c r="AG103" s="965">
        <v>26</v>
      </c>
      <c r="AH103" s="965"/>
      <c r="AI103" s="965"/>
      <c r="AJ103" s="965"/>
      <c r="AK103" s="965"/>
      <c r="AL103" s="965"/>
      <c r="AM103" s="965"/>
      <c r="AN103" s="965"/>
      <c r="AO103" s="445"/>
      <c r="AP103" s="969"/>
      <c r="AQ103" s="965"/>
      <c r="AR103" s="965"/>
      <c r="AS103" s="970"/>
      <c r="AT103" s="965"/>
      <c r="AU103" s="965"/>
      <c r="AV103" s="965"/>
      <c r="AW103" s="965"/>
      <c r="AX103" s="965"/>
      <c r="AY103" s="964" t="s">
        <v>136</v>
      </c>
      <c r="AZ103" s="964" t="s">
        <v>136</v>
      </c>
      <c r="BA103" s="965"/>
      <c r="BB103" s="965"/>
      <c r="BC103" s="965"/>
      <c r="BD103" s="445"/>
      <c r="BE103" s="445"/>
      <c r="BF103" s="964"/>
      <c r="BG103" s="965"/>
      <c r="BH103" s="965"/>
      <c r="BI103" s="965"/>
      <c r="BJ103" s="965"/>
      <c r="BK103" s="965"/>
      <c r="BL103" s="965"/>
      <c r="BM103" s="965"/>
      <c r="BN103" s="965"/>
      <c r="BO103" s="965"/>
      <c r="BP103" s="964"/>
      <c r="BQ103" s="971"/>
      <c r="BR103" s="970"/>
      <c r="BS103" s="964"/>
      <c r="BT103" s="420"/>
      <c r="BU103" s="420"/>
      <c r="BV103" s="422"/>
      <c r="BW103" s="420"/>
      <c r="BX103" s="445"/>
      <c r="BY103" s="445"/>
      <c r="BZ103" s="445"/>
      <c r="CA103" s="445"/>
      <c r="CB103" s="445"/>
      <c r="CC103" s="702"/>
      <c r="CD103" s="445"/>
      <c r="CE103" s="972" t="str">
        <f>IFERROR(WWWW[[#This Row],['#_Water sources passed]]/WWWW[[#This Row],['#_Water sources tested for fecal coliform ]],"no test")</f>
        <v>no test</v>
      </c>
      <c r="CF103" s="970" t="str">
        <f>IFERROR(WWWW[[#This Row],['#_Household passed]]/WWWW[[#This Row],['#_Household water samples tested for fecal coliform]],"no test")</f>
        <v>no test</v>
      </c>
      <c r="CG103" s="971" t="str">
        <f>IF(AND(WWWW[[#This Row],[% of water sources passed]]="no test",WWWW[[#This Row],[% Household passed]]="no test"),"No Test","Tested")</f>
        <v>No Test</v>
      </c>
      <c r="CH103" s="971">
        <f>WWWW[[#This Row],['#_Constructed/existing protected hand dug well]]-WWWW[[#This Row],['#_Non-functional protected hand dug well]]</f>
        <v>0</v>
      </c>
      <c r="CI103" s="971">
        <f>(WWWW[[#This Row],['#_Constructed/Existing tube wells/boreholes/handpumps_WASH_agency]]+WWWW[[#This Row],['#_Non-Cluster partner water tube-wells/boreholes/handpumps]])-WWWW[[#This Row],['#_Non-functional tube wells/boreholes/handpumps]]</f>
        <v>0</v>
      </c>
      <c r="CJ103" s="971">
        <f>WWWW[[#This Row],['#_Constructed/Existingwater storage tank with gravity fed reticulation system]]-WWWW[[#This Row],['#_Non-functional storage tank gravity fed reticulation system]]</f>
        <v>1</v>
      </c>
      <c r="CK103" s="971">
        <f>(WWWW[[#This Row],['#_Water_Liters_supplied_by_Water boating or water trucking]]/90)/15</f>
        <v>0</v>
      </c>
      <c r="CL103" s="971">
        <f>WWWW[[#This Row],['#_Water_Liters_from_Constructed/Existing water distribution system from river or natural spring]]/90/15</f>
        <v>0</v>
      </c>
      <c r="CM103" s="421">
        <f>IF(WWWW[[#This Row],['#_of water points in TLS/CFS]]*500&gt;WWWW[[#This Row],[Total PoP ]],WWWW[[#This Row],[Total PoP ]],WWWW[[#This Row],['#_of water points in TLS/CFS]]*500)</f>
        <v>0</v>
      </c>
      <c r="CN103" s="421">
        <f>IF(WWWW[[#This Row],['#_of water points in THF]]*500&gt;WWWW[[#This Row],[Total PoP ]],WWWW[[#This Row],[Total PoP ]],WWWW[[#This Row],['#_of water points in THF]]*500)</f>
        <v>0</v>
      </c>
      <c r="CO103" s="421"/>
      <c r="CP10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3" s="970">
        <f>IF(WWWW[[#This Row],[Location Type 1]]="Village",WWWW[[#This Row],[Access to safe drinking water for Village]],WWWW[[#This Row],[Access to safe drinking water for Camp]])</f>
        <v>1</v>
      </c>
      <c r="CS103" s="968">
        <f>WWWW[[#This Row],[%Equitable and continuous access to sufficient quantity of safe drinking water]]*WWWW[[#This Row],[Total PoP ]]</f>
        <v>37</v>
      </c>
      <c r="CT103" s="970">
        <f>IF((WWWW[[#This Row],['#_Constructed/Existing protected/fenced ponds]]*250)/WWWW[[#This Row],[Total PoP ]]&gt;1,1,(WWWW[[#This Row],['#_Constructed/Existing protected/fenced ponds]]*250)/WWWW[[#This Row],[Total PoP ]])</f>
        <v>0</v>
      </c>
      <c r="CU103" s="968">
        <f>WWWW[[#This Row],[% Access to unimproved water points]]*WWWW[[#This Row],[Total PoP ]]</f>
        <v>0</v>
      </c>
      <c r="CV10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v>
      </c>
      <c r="CX103" s="968">
        <f>WWWW[[#This Row],[HRP1]]/500</f>
        <v>7.3999999999999996E-2</v>
      </c>
      <c r="CY103" s="973">
        <f>1-WWWW[[#This Row],[% Equitable and continuous access to sufficient quantity of domestic water]]</f>
        <v>0</v>
      </c>
      <c r="CZ103" s="968">
        <f>WWWW[[#This Row],[%equitable and continuous access to sufficient quantity of safe drinking and domestic water''s GAP]]*WWWW[[#This Row],[Total PoP ]]</f>
        <v>0</v>
      </c>
      <c r="DA103" s="971">
        <f>IF(WWWW[[#This Row],[Total required water points]]-WWWW[[#This Row],['#Water points coverage]]&lt;0,0,WWWW[[#This Row],[Total required water points]]-WWWW[[#This Row],['#Water points coverage]])</f>
        <v>0.92600000000000005</v>
      </c>
      <c r="DB103" s="971">
        <f>ROUND(IF(WWWW[[#This Row],[Total PoP ]]&lt;500,1,WWWW[[#This Row],[Total PoP ]]/500),0)</f>
        <v>1</v>
      </c>
      <c r="DC103" s="971">
        <f>(WWWW[[#This Row],['#_Constructed latrines_by_WASHAgencies]]+WWWW[[#This Row],['#_Non Cluster partner latrines]])-WWWW[[#This Row],['#_Non-functional latrines]]</f>
        <v>0</v>
      </c>
      <c r="DD103" s="619">
        <f>WWWW[[#This Row],[HRP2]]/WWWW[[#This Row],[Total PoP ]]</f>
        <v>0</v>
      </c>
      <c r="DE10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0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3" s="421">
        <f>IF(WWWW[[#This Row],['# of functional latrines in THF supported by WASH partners during the reporting period2]]="",0,WWWW[[#This Row],['# of functional latrines in THF supported by WASH partners during the reporting period2]]*50)</f>
        <v>0</v>
      </c>
      <c r="DI103" s="971">
        <f>ROUND(IF(WWWW[[#This Row],[Location Type 1]]="camp",WWWW[[#This Row],[Total PoP ]]/20,IF(WWWW[[#This Row],[Location Type 1]]="Temporary Location",WWWW[[#This Row],[Total PoP ]]/50,(WWWW[[#This Row],[Total PoP ]]/6))),0)</f>
        <v>2</v>
      </c>
      <c r="DJ103" s="971">
        <f>IF(WWWW[[#This Row],[Total required Latrines]]-(WWWW[[#This Row],['#_Constructed latrines_by_WASHAgencies]]+WWWW[[#This Row],['#_Non Cluster partner latrines]])&lt;0,0,WWWW[[#This Row],[Total required Latrines]]-(WWWW[[#This Row],['#_Constructed latrines_by_WASHAgencies]]+WWWW[[#This Row],['#_Non Cluster partner latrines]]))</f>
        <v>2</v>
      </c>
      <c r="DK103" s="973">
        <f>1-WWWW[[#This Row],[% people access to functioning Latrine]]</f>
        <v>1</v>
      </c>
      <c r="DL103" s="972">
        <f>IF(OR(WWWW[[#This Row],['#_Non-functional latrines]]="",WWWW[[#This Row],['#_Non-functional latrines]]=0),0,WWWW[[#This Row],['#_Non-functional latrines]]/(WWWW[[#This Row],['#_Constructed latrines_by_WASHAgencies]]+WWWW[[#This Row],['#_Non Cluster partner latrines]]))</f>
        <v>0</v>
      </c>
      <c r="DM103" s="968">
        <f>IF(500*(WWWW[[#This Row],['#_male hygiene promoters]]+WWWW[[#This Row],['#_female hygiene promoters]])&gt;WWWW[[#This Row],[Total PoP ]],WWWW[[#This Row],[Total PoP ]],500*(WWWW[[#This Row],['#_male hygiene promoters]]+WWWW[[#This Row],['#_female hygiene promoters]]))</f>
        <v>0</v>
      </c>
      <c r="DN10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3" s="971">
        <f>IF(WWWW[[#This Row],['# People with access to soap]]&gt;WWWW[[#This Row],['# People with access to Sanity Pads]],WWWW[[#This Row],['# People with access to soap]],WWWW[[#This Row],['# People with access to Sanity Pads]])</f>
        <v>0</v>
      </c>
      <c r="DQ10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3" s="973">
        <f>IF(WWWW[[#This Row],[HRP3]]/WWWW[[#This Row],[Total PoP ]]&gt;1,1,WWWW[[#This Row],[HRP3]]/WWWW[[#This Row],[Total PoP ]])</f>
        <v>0</v>
      </c>
      <c r="DS103" s="972">
        <f>1-WWWW[[#This Row],[Hygiene Coverage%]]</f>
        <v>1</v>
      </c>
      <c r="DT103" s="970">
        <f>WWWW[[#This Row],['# people reached by regular dedicated hygiene promotion_5]]/WWWW[[#This Row],[Total PoP ]]</f>
        <v>0</v>
      </c>
      <c r="DU10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3" s="971">
        <f>WWWW[[#This Row],['#_Constructed/Existing hand washing stations]]-WWWW[[#This Row],['#_Non-Functional_hand_washing_stations]]</f>
        <v>0</v>
      </c>
      <c r="DX103" s="968">
        <f>IF(WWWW[[#This Row],['# Functional hand washing stations during reporting period]]*20&gt;WWWW[[#This Row],[Total HH]],WWWW[[#This Row],[Total HH]],WWWW[[#This Row],['# Functional hand washing stations during reporting period]]*20)</f>
        <v>0</v>
      </c>
      <c r="DY103" s="968">
        <f>IF(WWWW[[#This Row],[Is sufficient soap available for TLS? (Yes/No)]]="yes",WWWW[[#This Row],['#_Constructed/Existing hand washing stations at TLS/CFS/THF]],0)</f>
        <v>0</v>
      </c>
      <c r="DZ103" s="425">
        <f>IF(WWWW[[#This Row],['# Functional hand washing stations during reporting period]]*100&gt;WWWW[[#This Row],[Total PoP ]],WWWW[[#This Row],[Total PoP ]],WWWW[[#This Row],['# Functional hand washing stations during reporting period]]*100)</f>
        <v>0</v>
      </c>
      <c r="EA103" s="425" t="str">
        <f>IF(OR(WWWW[[#This Row],['#_students at TLS_CFS]]="",WWWW[[#This Row],['#_students at TLS_CFS]]=0),"No","Yes")</f>
        <v>No</v>
      </c>
      <c r="EB10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3" s="570">
        <f>WWWW[[#This Row],[%_of_affected_people_surveyed_who_report_feeling_satistfied_with_the_latrine_design_and_sanitation_service]]*WWWW[[#This Row],[Total PoP ]]</f>
        <v>0</v>
      </c>
      <c r="ED103" s="570">
        <f>WWWW[[#This Row],[%_of_affected_people_surveyed_who_report_feeling_satistfied_with_the_water_point_design_and_water_service]]*WWWW[[#This Row],[Total PoP ]]</f>
        <v>0</v>
      </c>
      <c r="EE103" s="570">
        <f>WWWW[[#This Row],[%_of_complaints_received_that_result_in_timely_corrective_action_and_feedback_to_the_community]]*WWWW[[#This Row],[Total PoP ]]</f>
        <v>0</v>
      </c>
      <c r="EF10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3" s="964">
        <f>VLOOKUP(WWWW[[#This Row],[Site Name]],SiteDB6[[Site Name]:[CCCM Management]],6,FALSE)</f>
        <v>0</v>
      </c>
      <c r="EJ103" s="964" t="str">
        <f>VLOOKUP(WWWW[[#This Row],[Site Name]],SiteDB6[[Site Name]:[CCCM Focal Agency]],7,FALSE)</f>
        <v>Uncovered</v>
      </c>
      <c r="EK103" s="964" t="str">
        <f>VLOOKUP(WWWW[[#This Row],[Site Name]],SiteDB6[[Site Name]:[Location Type 1]],9,FALSE)</f>
        <v>Camp</v>
      </c>
      <c r="EL103" s="964" t="str">
        <f>VLOOKUP(WWWW[[#This Row],[Site Name]],SiteDB6[[Site Name]:[Type of Accommodation]],10,FALSE)</f>
        <v>Camp like setting</v>
      </c>
      <c r="EM103" s="964" t="str">
        <f>VLOOKUP(WWWW[[#This Row],[Site Name]],SiteDB6[[Site Name]:[Ethnic or GCA/NGCA]],11,FALSE)</f>
        <v>GCA</v>
      </c>
      <c r="EN103" s="964">
        <f>VLOOKUP(WWWW[[#This Row],[Site Name]],SiteDB6[[Site Name]:[Lat]],12,FALSE)</f>
        <v>0</v>
      </c>
      <c r="EO103" s="964" t="str">
        <f>VLOOKUP(WWWW[[#This Row],[Site Name]],SiteDB6[[Site Name]:[Long]],13,FALSE)</f>
        <v>not available</v>
      </c>
      <c r="EP103" s="964" t="str">
        <f>VLOOKUP(WWWW[[#This Row],[Site Name]],SiteDB6[[Site Name]:[Pcode]],3,FALSE)</f>
        <v>MMR015CMP089</v>
      </c>
      <c r="EQ103" s="969" t="str">
        <f t="shared" si="3"/>
        <v>Covered</v>
      </c>
      <c r="ER103" s="969" t="s">
        <v>3147</v>
      </c>
      <c r="ES103" s="964">
        <f>VLOOKUP(WWWW[[#This Row],[Site Name]],SiteDB6[[Site Name]:[Pop
(Kachin/Shan-CCCM as of March 2023)]],16,FALSE)</f>
        <v>11</v>
      </c>
      <c r="ET103" s="964">
        <f>VLOOKUP(WWWW[[#This Row],[Site Name]],SiteDB6[[Site Name]:[Pop
(Kachin/Shan-CCCM as of March 2023)]],17,FALSE)</f>
        <v>32</v>
      </c>
    </row>
    <row r="104" spans="1:150" hidden="1">
      <c r="A104" s="962" t="s">
        <v>2977</v>
      </c>
      <c r="B104" s="962" t="s">
        <v>192</v>
      </c>
      <c r="C104" s="963" t="s">
        <v>192</v>
      </c>
      <c r="D104" s="963" t="s">
        <v>241</v>
      </c>
      <c r="E104" s="963" t="s">
        <v>515</v>
      </c>
      <c r="F104" s="963" t="s">
        <v>960</v>
      </c>
      <c r="G104" s="964" t="str">
        <f>VLOOKUP(WWWW[[#This Row],[Site Name]],SiteDB6[[Site Name]:[Location Type]],8,FALSE)</f>
        <v>Camp</v>
      </c>
      <c r="H104" s="963" t="s">
        <v>2857</v>
      </c>
      <c r="I104" s="965">
        <v>11</v>
      </c>
      <c r="J104" s="965">
        <v>40</v>
      </c>
      <c r="K104" s="966">
        <v>44511</v>
      </c>
      <c r="L104" s="967">
        <v>44875</v>
      </c>
      <c r="M104" s="965"/>
      <c r="N104" s="965"/>
      <c r="O104" s="965"/>
      <c r="P104" s="965"/>
      <c r="Q104" s="968"/>
      <c r="R104" s="965"/>
      <c r="S104" s="965"/>
      <c r="T104" s="44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445"/>
      <c r="AP104" s="969"/>
      <c r="AQ104" s="965"/>
      <c r="AR104" s="965">
        <v>3</v>
      </c>
      <c r="AS104" s="970"/>
      <c r="AT104" s="965"/>
      <c r="AU104" s="965"/>
      <c r="AV104" s="965"/>
      <c r="AW104" s="965"/>
      <c r="AX104" s="965"/>
      <c r="AY104" s="964" t="s">
        <v>140</v>
      </c>
      <c r="AZ104" s="969" t="s">
        <v>140</v>
      </c>
      <c r="BA104" s="965"/>
      <c r="BB104" s="965"/>
      <c r="BC104" s="965"/>
      <c r="BD104" s="445"/>
      <c r="BE104" s="445"/>
      <c r="BF104" s="964"/>
      <c r="BG104" s="965"/>
      <c r="BH104" s="965"/>
      <c r="BI104" s="965"/>
      <c r="BJ104" s="965"/>
      <c r="BK104" s="965"/>
      <c r="BL104" s="965"/>
      <c r="BM104" s="965"/>
      <c r="BN104" s="965"/>
      <c r="BO104" s="965"/>
      <c r="BP104" s="964" t="s">
        <v>41</v>
      </c>
      <c r="BQ104" s="971"/>
      <c r="BR104" s="970"/>
      <c r="BS104" s="964"/>
      <c r="BT104" s="420"/>
      <c r="BU104" s="420"/>
      <c r="BV104" s="422"/>
      <c r="BW104" s="420"/>
      <c r="BX104" s="445"/>
      <c r="BY104" s="445"/>
      <c r="BZ104" s="445"/>
      <c r="CA104" s="445"/>
      <c r="CB104" s="445"/>
      <c r="CC104" s="702"/>
      <c r="CD104" s="445"/>
      <c r="CE104" s="972" t="str">
        <f>IFERROR(WWWW[[#This Row],['#_Water sources passed]]/WWWW[[#This Row],['#_Water sources tested for fecal coliform ]],"no test")</f>
        <v>no test</v>
      </c>
      <c r="CF104" s="970" t="str">
        <f>IFERROR(WWWW[[#This Row],['#_Household passed]]/WWWW[[#This Row],['#_Household water samples tested for fecal coliform]],"no test")</f>
        <v>no test</v>
      </c>
      <c r="CG104" s="971" t="str">
        <f>IF(AND(WWWW[[#This Row],[% of water sources passed]]="no test",WWWW[[#This Row],[% Household passed]]="no test"),"No Test","Tested")</f>
        <v>No Test</v>
      </c>
      <c r="CH104" s="971">
        <f>WWWW[[#This Row],['#_Constructed/existing protected hand dug well]]-WWWW[[#This Row],['#_Non-functional protected hand dug well]]</f>
        <v>0</v>
      </c>
      <c r="CI104" s="971">
        <f>(WWWW[[#This Row],['#_Constructed/Existing tube wells/boreholes/handpumps_WASH_agency]]+WWWW[[#This Row],['#_Non-Cluster partner water tube-wells/boreholes/handpumps]])-WWWW[[#This Row],['#_Non-functional tube wells/boreholes/handpumps]]</f>
        <v>0</v>
      </c>
      <c r="CJ104" s="971">
        <f>WWWW[[#This Row],['#_Constructed/Existingwater storage tank with gravity fed reticulation system]]-WWWW[[#This Row],['#_Non-functional storage tank gravity fed reticulation system]]</f>
        <v>0</v>
      </c>
      <c r="CK104" s="971">
        <f>(WWWW[[#This Row],['#_Water_Liters_supplied_by_Water boating or water trucking]]/90)/15</f>
        <v>0</v>
      </c>
      <c r="CL104" s="971">
        <f>WWWW[[#This Row],['#_Water_Liters_from_Constructed/Existing water distribution system from river or natural spring]]/90/15</f>
        <v>0</v>
      </c>
      <c r="CM104" s="421">
        <f>IF(WWWW[[#This Row],['#_of water points in TLS/CFS]]*500&gt;WWWW[[#This Row],[Total PoP ]],WWWW[[#This Row],[Total PoP ]],WWWW[[#This Row],['#_of water points in TLS/CFS]]*500)</f>
        <v>0</v>
      </c>
      <c r="CN104" s="421">
        <f>IF(WWWW[[#This Row],['#_of water points in THF]]*500&gt;WWWW[[#This Row],[Total PoP ]],WWWW[[#This Row],[Total PoP ]],WWWW[[#This Row],['#_of water points in THF]]*500)</f>
        <v>0</v>
      </c>
      <c r="CO104" s="421"/>
      <c r="CP10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0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04" s="970">
        <f>IF(WWWW[[#This Row],[Location Type 1]]="Village",WWWW[[#This Row],[Access to safe drinking water for Village]],WWWW[[#This Row],[Access to safe drinking water for Camp]])</f>
        <v>0</v>
      </c>
      <c r="CS104" s="968">
        <f>WWWW[[#This Row],[%Equitable and continuous access to sufficient quantity of safe drinking water]]*WWWW[[#This Row],[Total PoP ]]</f>
        <v>0</v>
      </c>
      <c r="CT104" s="970">
        <f>IF((WWWW[[#This Row],['#_Constructed/Existing protected/fenced ponds]]*250)/WWWW[[#This Row],[Total PoP ]]&gt;1,1,(WWWW[[#This Row],['#_Constructed/Existing protected/fenced ponds]]*250)/WWWW[[#This Row],[Total PoP ]])</f>
        <v>0</v>
      </c>
      <c r="CU104" s="968">
        <f>WWWW[[#This Row],[% Access to unimproved water points]]*WWWW[[#This Row],[Total PoP ]]</f>
        <v>0</v>
      </c>
      <c r="CV10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0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04" s="968">
        <f>WWWW[[#This Row],[HRP1]]/500</f>
        <v>0</v>
      </c>
      <c r="CY104" s="973">
        <f>1-WWWW[[#This Row],[% Equitable and continuous access to sufficient quantity of domestic water]]</f>
        <v>1</v>
      </c>
      <c r="CZ104" s="968">
        <f>WWWW[[#This Row],[%equitable and continuous access to sufficient quantity of safe drinking and domestic water''s GAP]]*WWWW[[#This Row],[Total PoP ]]</f>
        <v>40</v>
      </c>
      <c r="DA104" s="971">
        <f>IF(WWWW[[#This Row],[Total required water points]]-WWWW[[#This Row],['#Water points coverage]]&lt;0,0,WWWW[[#This Row],[Total required water points]]-WWWW[[#This Row],['#Water points coverage]])</f>
        <v>1</v>
      </c>
      <c r="DB104" s="971">
        <f>ROUND(IF(WWWW[[#This Row],[Total PoP ]]&lt;500,1,WWWW[[#This Row],[Total PoP ]]/500),0)</f>
        <v>1</v>
      </c>
      <c r="DC104" s="971">
        <f>(WWWW[[#This Row],['#_Constructed latrines_by_WASHAgencies]]+WWWW[[#This Row],['#_Non Cluster partner latrines]])-WWWW[[#This Row],['#_Non-functional latrines]]</f>
        <v>3</v>
      </c>
      <c r="DD104" s="619">
        <f>WWWW[[#This Row],[HRP2]]/WWWW[[#This Row],[Total PoP ]]</f>
        <v>1</v>
      </c>
      <c r="DE10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0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4" s="421">
        <f>IF(WWWW[[#This Row],['# of functional latrines in THF supported by WASH partners during the reporting period2]]="",0,WWWW[[#This Row],['# of functional latrines in THF supported by WASH partners during the reporting period2]]*50)</f>
        <v>0</v>
      </c>
      <c r="DI104" s="971">
        <f>ROUND(IF(WWWW[[#This Row],[Location Type 1]]="camp",WWWW[[#This Row],[Total PoP ]]/20,IF(WWWW[[#This Row],[Location Type 1]]="Temporary Location",WWWW[[#This Row],[Total PoP ]]/50,(WWWW[[#This Row],[Total PoP ]]/6))),0)</f>
        <v>2</v>
      </c>
      <c r="DJ104" s="971">
        <f>IF(WWWW[[#This Row],[Total required Latrines]]-(WWWW[[#This Row],['#_Constructed latrines_by_WASHAgencies]]+WWWW[[#This Row],['#_Non Cluster partner latrines]])&lt;0,0,WWWW[[#This Row],[Total required Latrines]]-(WWWW[[#This Row],['#_Constructed latrines_by_WASHAgencies]]+WWWW[[#This Row],['#_Non Cluster partner latrines]]))</f>
        <v>0</v>
      </c>
      <c r="DK104" s="973">
        <f>1-WWWW[[#This Row],[% people access to functioning Latrine]]</f>
        <v>0</v>
      </c>
      <c r="DL104" s="972">
        <f>IF(OR(WWWW[[#This Row],['#_Non-functional latrines]]="",WWWW[[#This Row],['#_Non-functional latrines]]=0),0,WWWW[[#This Row],['#_Non-functional latrines]]/(WWWW[[#This Row],['#_Constructed latrines_by_WASHAgencies]]+WWWW[[#This Row],['#_Non Cluster partner latrines]]))</f>
        <v>0</v>
      </c>
      <c r="DM104" s="968">
        <f>IF(500*(WWWW[[#This Row],['#_male hygiene promoters]]+WWWW[[#This Row],['#_female hygiene promoters]])&gt;WWWW[[#This Row],[Total PoP ]],WWWW[[#This Row],[Total PoP ]],500*(WWWW[[#This Row],['#_male hygiene promoters]]+WWWW[[#This Row],['#_female hygiene promoters]]))</f>
        <v>0</v>
      </c>
      <c r="DN10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4" s="971">
        <f>IF(WWWW[[#This Row],['# People with access to soap]]&gt;WWWW[[#This Row],['# People with access to Sanity Pads]],WWWW[[#This Row],['# People with access to soap]],WWWW[[#This Row],['# People with access to Sanity Pads]])</f>
        <v>0</v>
      </c>
      <c r="DQ10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4" s="973">
        <f>IF(WWWW[[#This Row],[HRP3]]/WWWW[[#This Row],[Total PoP ]]&gt;1,1,WWWW[[#This Row],[HRP3]]/WWWW[[#This Row],[Total PoP ]])</f>
        <v>0</v>
      </c>
      <c r="DS104" s="972">
        <f>1-WWWW[[#This Row],[Hygiene Coverage%]]</f>
        <v>1</v>
      </c>
      <c r="DT104" s="970">
        <f>WWWW[[#This Row],['# people reached by regular dedicated hygiene promotion_5]]/WWWW[[#This Row],[Total PoP ]]</f>
        <v>0</v>
      </c>
      <c r="DU10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4" s="971">
        <f>WWWW[[#This Row],['#_Constructed/Existing hand washing stations]]-WWWW[[#This Row],['#_Non-Functional_hand_washing_stations]]</f>
        <v>0</v>
      </c>
      <c r="DX104" s="968">
        <f>IF(WWWW[[#This Row],['# Functional hand washing stations during reporting period]]*20&gt;WWWW[[#This Row],[Total HH]],WWWW[[#This Row],[Total HH]],WWWW[[#This Row],['# Functional hand washing stations during reporting period]]*20)</f>
        <v>0</v>
      </c>
      <c r="DY104" s="968">
        <f>IF(WWWW[[#This Row],[Is sufficient soap available for TLS? (Yes/No)]]="yes",WWWW[[#This Row],['#_Constructed/Existing hand washing stations at TLS/CFS/THF]],0)</f>
        <v>0</v>
      </c>
      <c r="DZ104" s="425">
        <f>IF(WWWW[[#This Row],['# Functional hand washing stations during reporting period]]*100&gt;WWWW[[#This Row],[Total PoP ]],WWWW[[#This Row],[Total PoP ]],WWWW[[#This Row],['# Functional hand washing stations during reporting period]]*100)</f>
        <v>0</v>
      </c>
      <c r="EA104" s="425" t="str">
        <f>IF(OR(WWWW[[#This Row],['#_students at TLS_CFS]]="",WWWW[[#This Row],['#_students at TLS_CFS]]=0),"No","Yes")</f>
        <v>No</v>
      </c>
      <c r="EB10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4" s="570">
        <f>WWWW[[#This Row],[%_of_affected_people_surveyed_who_report_feeling_satistfied_with_the_latrine_design_and_sanitation_service]]*WWWW[[#This Row],[Total PoP ]]</f>
        <v>0</v>
      </c>
      <c r="ED104" s="570">
        <f>WWWW[[#This Row],[%_of_affected_people_surveyed_who_report_feeling_satistfied_with_the_water_point_design_and_water_service]]*WWWW[[#This Row],[Total PoP ]]</f>
        <v>0</v>
      </c>
      <c r="EE104" s="570">
        <f>WWWW[[#This Row],[%_of_complaints_received_that_result_in_timely_corrective_action_and_feedback_to_the_community]]*WWWW[[#This Row],[Total PoP ]]</f>
        <v>0</v>
      </c>
      <c r="EF10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4" s="964">
        <f>VLOOKUP(WWWW[[#This Row],[Site Name]],SiteDB6[[Site Name]:[CCCM Management]],6,FALSE)</f>
        <v>0</v>
      </c>
      <c r="EJ104" s="964">
        <f>VLOOKUP(WWWW[[#This Row],[Site Name]],SiteDB6[[Site Name]:[CCCM Focal Agency]],7,FALSE)</f>
        <v>0</v>
      </c>
      <c r="EK104" s="964" t="str">
        <f>VLOOKUP(WWWW[[#This Row],[Site Name]],SiteDB6[[Site Name]:[Location Type 1]],9,FALSE)</f>
        <v>Camp</v>
      </c>
      <c r="EL104" s="964" t="str">
        <f>VLOOKUP(WWWW[[#This Row],[Site Name]],SiteDB6[[Site Name]:[Type of Accommodation]],10,FALSE)</f>
        <v>Camp like setting</v>
      </c>
      <c r="EM104" s="964" t="str">
        <f>VLOOKUP(WWWW[[#This Row],[Site Name]],SiteDB6[[Site Name]:[Ethnic or GCA/NGCA]],11,FALSE)</f>
        <v>GCA</v>
      </c>
      <c r="EN104" s="964">
        <f>VLOOKUP(WWWW[[#This Row],[Site Name]],SiteDB6[[Site Name]:[Lat]],12,FALSE)</f>
        <v>0</v>
      </c>
      <c r="EO104" s="964">
        <f>VLOOKUP(WWWW[[#This Row],[Site Name]],SiteDB6[[Site Name]:[Long]],13,FALSE)</f>
        <v>0</v>
      </c>
      <c r="EP104" s="964" t="str">
        <f>VLOOKUP(WWWW[[#This Row],[Site Name]],SiteDB6[[Site Name]:[Pcode]],3,FALSE)</f>
        <v>MMR015CMP077</v>
      </c>
      <c r="EQ104" s="969" t="str">
        <f t="shared" si="3"/>
        <v>Covered</v>
      </c>
      <c r="ER104" s="969" t="s">
        <v>3147</v>
      </c>
      <c r="ES104" s="964">
        <f>VLOOKUP(WWWW[[#This Row],[Site Name]],SiteDB6[[Site Name]:[Pop
(Kachin/Shan-CCCM as of March 2023)]],16,FALSE)</f>
        <v>7</v>
      </c>
      <c r="ET104" s="964">
        <f>VLOOKUP(WWWW[[#This Row],[Site Name]],SiteDB6[[Site Name]:[Pop
(Kachin/Shan-CCCM as of March 2023)]],17,FALSE)</f>
        <v>25</v>
      </c>
    </row>
    <row r="105" spans="1:150" hidden="1">
      <c r="A105" s="962" t="s">
        <v>2977</v>
      </c>
      <c r="B105" s="962" t="s">
        <v>192</v>
      </c>
      <c r="C105" s="963" t="s">
        <v>192</v>
      </c>
      <c r="D105" s="963" t="s">
        <v>2648</v>
      </c>
      <c r="E105" s="963" t="s">
        <v>515</v>
      </c>
      <c r="F105" s="963" t="s">
        <v>522</v>
      </c>
      <c r="G105" s="964" t="s">
        <v>43</v>
      </c>
      <c r="H105" s="963" t="s">
        <v>548</v>
      </c>
      <c r="I105" s="965">
        <v>28</v>
      </c>
      <c r="J105" s="965">
        <v>125</v>
      </c>
      <c r="K105" s="966">
        <v>44511</v>
      </c>
      <c r="L105" s="967">
        <v>44926</v>
      </c>
      <c r="M105" s="965"/>
      <c r="N105" s="965"/>
      <c r="O105" s="965">
        <v>1</v>
      </c>
      <c r="P105" s="965"/>
      <c r="Q105" s="968" t="s">
        <v>41</v>
      </c>
      <c r="R105" s="965"/>
      <c r="S105" s="965"/>
      <c r="T105" s="445"/>
      <c r="U105" s="965"/>
      <c r="V105" s="965"/>
      <c r="W105" s="965">
        <v>1</v>
      </c>
      <c r="X105" s="965">
        <v>1</v>
      </c>
      <c r="Y105" s="965"/>
      <c r="Z105" s="965"/>
      <c r="AA105" s="965">
        <v>1</v>
      </c>
      <c r="AB105" s="965"/>
      <c r="AC105" s="965"/>
      <c r="AD105" s="965"/>
      <c r="AE105" s="965"/>
      <c r="AF105" s="965"/>
      <c r="AG105" s="965"/>
      <c r="AH105" s="965"/>
      <c r="AI105" s="965"/>
      <c r="AJ105" s="965"/>
      <c r="AK105" s="965"/>
      <c r="AL105" s="965"/>
      <c r="AM105" s="965"/>
      <c r="AN105" s="965"/>
      <c r="AO105" s="445"/>
      <c r="AP105" s="969"/>
      <c r="AQ105" s="965">
        <v>18</v>
      </c>
      <c r="AR105" s="965"/>
      <c r="AS105" s="970"/>
      <c r="AT105" s="965"/>
      <c r="AU105" s="965"/>
      <c r="AV105" s="965"/>
      <c r="AW105" s="965"/>
      <c r="AX105" s="965"/>
      <c r="AY105" s="964" t="s">
        <v>41</v>
      </c>
      <c r="AZ105" s="969" t="s">
        <v>137</v>
      </c>
      <c r="BA105" s="965"/>
      <c r="BB105" s="965"/>
      <c r="BC105" s="965"/>
      <c r="BD105" s="445"/>
      <c r="BE105" s="445"/>
      <c r="BF105" s="964"/>
      <c r="BG105" s="965">
        <v>7</v>
      </c>
      <c r="BH105" s="965"/>
      <c r="BI105" s="965"/>
      <c r="BJ105" s="965">
        <v>5</v>
      </c>
      <c r="BK105" s="965"/>
      <c r="BL105" s="965"/>
      <c r="BM105" s="965">
        <v>1</v>
      </c>
      <c r="BN105" s="965"/>
      <c r="BO105" s="965"/>
      <c r="BP105" s="964" t="s">
        <v>41</v>
      </c>
      <c r="BQ105" s="971"/>
      <c r="BR105" s="970"/>
      <c r="BS105" s="964"/>
      <c r="BT105" s="420"/>
      <c r="BU105" s="420"/>
      <c r="BV105" s="422"/>
      <c r="BW105" s="420"/>
      <c r="BX105" s="445"/>
      <c r="BY105" s="445"/>
      <c r="BZ105" s="445"/>
      <c r="CA105" s="445"/>
      <c r="CB105" s="445"/>
      <c r="CC105" s="702"/>
      <c r="CD105" s="445"/>
      <c r="CE105" s="972" t="str">
        <f>IFERROR(WWWW[[#This Row],['#_Water sources passed]]/WWWW[[#This Row],['#_Water sources tested for fecal coliform ]],"no test")</f>
        <v>no test</v>
      </c>
      <c r="CF105" s="970" t="str">
        <f>IFERROR(WWWW[[#This Row],['#_Household passed]]/WWWW[[#This Row],['#_Household water samples tested for fecal coliform]],"no test")</f>
        <v>no test</v>
      </c>
      <c r="CG105" s="971" t="str">
        <f>IF(AND(WWWW[[#This Row],[% of water sources passed]]="no test",WWWW[[#This Row],[% Household passed]]="no test"),"No Test","Tested")</f>
        <v>No Test</v>
      </c>
      <c r="CH105" s="971">
        <f>WWWW[[#This Row],['#_Constructed/existing protected hand dug well]]-WWWW[[#This Row],['#_Non-functional protected hand dug well]]</f>
        <v>0</v>
      </c>
      <c r="CI105" s="971">
        <f>(WWWW[[#This Row],['#_Constructed/Existing tube wells/boreholes/handpumps_WASH_agency]]+WWWW[[#This Row],['#_Non-Cluster partner water tube-wells/boreholes/handpumps]])-WWWW[[#This Row],['#_Non-functional tube wells/boreholes/handpumps]]</f>
        <v>2</v>
      </c>
      <c r="CJ105" s="971">
        <f>WWWW[[#This Row],['#_Constructed/Existingwater storage tank with gravity fed reticulation system]]-WWWW[[#This Row],['#_Non-functional storage tank gravity fed reticulation system]]</f>
        <v>1</v>
      </c>
      <c r="CK105" s="971">
        <f>(WWWW[[#This Row],['#_Water_Liters_supplied_by_Water boating or water trucking]]/90)/15</f>
        <v>0</v>
      </c>
      <c r="CL105" s="971">
        <f>WWWW[[#This Row],['#_Water_Liters_from_Constructed/Existing water distribution system from river or natural spring]]/90/15</f>
        <v>0</v>
      </c>
      <c r="CM105" s="421">
        <f>IF(WWWW[[#This Row],['#_of water points in TLS/CFS]]*500&gt;WWWW[[#This Row],[Total PoP ]],WWWW[[#This Row],[Total PoP ]],WWWW[[#This Row],['#_of water points in TLS/CFS]]*500)</f>
        <v>0</v>
      </c>
      <c r="CN105" s="421">
        <f>IF(WWWW[[#This Row],['#_of water points in THF]]*500&gt;WWWW[[#This Row],[Total PoP ]],WWWW[[#This Row],[Total PoP ]],WWWW[[#This Row],['#_of water points in THF]]*500)</f>
        <v>0</v>
      </c>
      <c r="CO105" s="421"/>
      <c r="CP10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5" s="970">
        <f>IF(WWWW[[#This Row],[Location Type 1]]="Village",WWWW[[#This Row],[Access to safe drinking water for Village]],WWWW[[#This Row],[Access to safe drinking water for Camp]])</f>
        <v>1</v>
      </c>
      <c r="CS105" s="968">
        <f>WWWW[[#This Row],[%Equitable and continuous access to sufficient quantity of safe drinking water]]*WWWW[[#This Row],[Total PoP ]]</f>
        <v>125</v>
      </c>
      <c r="CT105" s="970">
        <f>IF((WWWW[[#This Row],['#_Constructed/Existing protected/fenced ponds]]*250)/WWWW[[#This Row],[Total PoP ]]&gt;1,1,(WWWW[[#This Row],['#_Constructed/Existing protected/fenced ponds]]*250)/WWWW[[#This Row],[Total PoP ]])</f>
        <v>0</v>
      </c>
      <c r="CU105" s="968">
        <f>WWWW[[#This Row],[% Access to unimproved water points]]*WWWW[[#This Row],[Total PoP ]]</f>
        <v>0</v>
      </c>
      <c r="CV10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X105" s="968">
        <f>WWWW[[#This Row],[HRP1]]/500</f>
        <v>0.25</v>
      </c>
      <c r="CY105" s="973">
        <f>1-WWWW[[#This Row],[% Equitable and continuous access to sufficient quantity of domestic water]]</f>
        <v>0</v>
      </c>
      <c r="CZ105" s="968">
        <f>WWWW[[#This Row],[%equitable and continuous access to sufficient quantity of safe drinking and domestic water''s GAP]]*WWWW[[#This Row],[Total PoP ]]</f>
        <v>0</v>
      </c>
      <c r="DA105" s="971">
        <f>IF(WWWW[[#This Row],[Total required water points]]-WWWW[[#This Row],['#Water points coverage]]&lt;0,0,WWWW[[#This Row],[Total required water points]]-WWWW[[#This Row],['#Water points coverage]])</f>
        <v>0.75</v>
      </c>
      <c r="DB105" s="971">
        <f>ROUND(IF(WWWW[[#This Row],[Total PoP ]]&lt;500,1,WWWW[[#This Row],[Total PoP ]]/500),0)</f>
        <v>1</v>
      </c>
      <c r="DC105" s="971">
        <f>(WWWW[[#This Row],['#_Constructed latrines_by_WASHAgencies]]+WWWW[[#This Row],['#_Non Cluster partner latrines]])-WWWW[[#This Row],['#_Non-functional latrines]]</f>
        <v>18</v>
      </c>
      <c r="DD105" s="619">
        <f>WWWW[[#This Row],[HRP2]]/WWWW[[#This Row],[Total PoP ]]</f>
        <v>1</v>
      </c>
      <c r="DE10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125</v>
      </c>
      <c r="DF10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5" s="421">
        <f>IF(WWWW[[#This Row],['# of functional latrines in THF supported by WASH partners during the reporting period2]]="",0,WWWW[[#This Row],['# of functional latrines in THF supported by WASH partners during the reporting period2]]*50)</f>
        <v>0</v>
      </c>
      <c r="DI105" s="971">
        <f>ROUND(IF(WWWW[[#This Row],[Location Type 1]]="camp",WWWW[[#This Row],[Total PoP ]]/20,IF(WWWW[[#This Row],[Location Type 1]]="Temporary Location",WWWW[[#This Row],[Total PoP ]]/50,(WWWW[[#This Row],[Total PoP ]]/6))),0)</f>
        <v>6</v>
      </c>
      <c r="DJ105" s="971">
        <f>IF(WWWW[[#This Row],[Total required Latrines]]-(WWWW[[#This Row],['#_Constructed latrines_by_WASHAgencies]]+WWWW[[#This Row],['#_Non Cluster partner latrines]])&lt;0,0,WWWW[[#This Row],[Total required Latrines]]-(WWWW[[#This Row],['#_Constructed latrines_by_WASHAgencies]]+WWWW[[#This Row],['#_Non Cluster partner latrines]]))</f>
        <v>0</v>
      </c>
      <c r="DK105" s="973">
        <f>1-WWWW[[#This Row],[% people access to functioning Latrine]]</f>
        <v>0</v>
      </c>
      <c r="DL105" s="972">
        <f>IF(OR(WWWW[[#This Row],['#_Non-functional latrines]]="",WWWW[[#This Row],['#_Non-functional latrines]]=0),0,WWWW[[#This Row],['#_Non-functional latrines]]/(WWWW[[#This Row],['#_Constructed latrines_by_WASHAgencies]]+WWWW[[#This Row],['#_Non Cluster partner latrines]]))</f>
        <v>0</v>
      </c>
      <c r="DM105" s="968">
        <f>IF(500*(WWWW[[#This Row],['#_male hygiene promoters]]+WWWW[[#This Row],['#_female hygiene promoters]])&gt;WWWW[[#This Row],[Total PoP ]],WWWW[[#This Row],[Total PoP ]],500*(WWWW[[#This Row],['#_male hygiene promoters]]+WWWW[[#This Row],['#_female hygiene promoters]]))</f>
        <v>125</v>
      </c>
      <c r="DN10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5" s="971">
        <f>IF(WWWW[[#This Row],['# People with access to soap]]&gt;WWWW[[#This Row],['# People with access to Sanity Pads]],WWWW[[#This Row],['# People with access to soap]],WWWW[[#This Row],['# People with access to Sanity Pads]])</f>
        <v>0</v>
      </c>
      <c r="DQ105" s="971">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R105" s="973">
        <f>IF(WWWW[[#This Row],[HRP3]]/WWWW[[#This Row],[Total PoP ]]&gt;1,1,WWWW[[#This Row],[HRP3]]/WWWW[[#This Row],[Total PoP ]])</f>
        <v>1</v>
      </c>
      <c r="DS105" s="972">
        <f>1-WWWW[[#This Row],[Hygiene Coverage%]]</f>
        <v>0</v>
      </c>
      <c r="DT105" s="970">
        <f>WWWW[[#This Row],['# people reached by regular dedicated hygiene promotion_5]]/WWWW[[#This Row],[Total PoP ]]</f>
        <v>1</v>
      </c>
      <c r="DU10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5" s="971">
        <f>WWWW[[#This Row],['#_Constructed/Existing hand washing stations]]-WWWW[[#This Row],['#_Non-Functional_hand_washing_stations]]</f>
        <v>7</v>
      </c>
      <c r="DX105" s="968">
        <f>IF(WWWW[[#This Row],['# Functional hand washing stations during reporting period]]*20&gt;WWWW[[#This Row],[Total HH]],WWWW[[#This Row],[Total HH]],WWWW[[#This Row],['# Functional hand washing stations during reporting period]]*20)</f>
        <v>28</v>
      </c>
      <c r="DY105" s="968">
        <f>IF(WWWW[[#This Row],[Is sufficient soap available for TLS? (Yes/No)]]="yes",WWWW[[#This Row],['#_Constructed/Existing hand washing stations at TLS/CFS/THF]],0)</f>
        <v>0</v>
      </c>
      <c r="DZ105" s="425">
        <f>IF(WWWW[[#This Row],['# Functional hand washing stations during reporting period]]*100&gt;WWWW[[#This Row],[Total PoP ]],WWWW[[#This Row],[Total PoP ]],WWWW[[#This Row],['# Functional hand washing stations during reporting period]]*100)</f>
        <v>125</v>
      </c>
      <c r="EA105" s="425" t="str">
        <f>IF(OR(WWWW[[#This Row],['#_students at TLS_CFS]]="",WWWW[[#This Row],['#_students at TLS_CFS]]=0),"No","Yes")</f>
        <v>No</v>
      </c>
      <c r="EB10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5" s="570">
        <f>WWWW[[#This Row],[%_of_affected_people_surveyed_who_report_feeling_satistfied_with_the_latrine_design_and_sanitation_service]]*WWWW[[#This Row],[Total PoP ]]</f>
        <v>0</v>
      </c>
      <c r="ED105" s="570">
        <f>WWWW[[#This Row],[%_of_affected_people_surveyed_who_report_feeling_satistfied_with_the_water_point_design_and_water_service]]*WWWW[[#This Row],[Total PoP ]]</f>
        <v>0</v>
      </c>
      <c r="EE105" s="570">
        <f>WWWW[[#This Row],[%_of_complaints_received_that_result_in_timely_corrective_action_and_feedback_to_the_community]]*WWWW[[#This Row],[Total PoP ]]</f>
        <v>0</v>
      </c>
      <c r="EF10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5" s="964" t="str">
        <f>VLOOKUP(WWWW[[#This Row],[Site Name]],SiteDB6[[Site Name]:[CCCM Management]],6,FALSE)</f>
        <v>Yes</v>
      </c>
      <c r="EJ105" s="964" t="str">
        <f>VLOOKUP(WWWW[[#This Row],[Site Name]],SiteDB6[[Site Name]:[CCCM Focal Agency]],7,FALSE)</f>
        <v>KBC-NSS</v>
      </c>
      <c r="EK105" s="964" t="str">
        <f>VLOOKUP(WWWW[[#This Row],[Site Name]],SiteDB6[[Site Name]:[Location Type 1]],9,FALSE)</f>
        <v>Camp</v>
      </c>
      <c r="EL105" s="964" t="str">
        <f>VLOOKUP(WWWW[[#This Row],[Site Name]],SiteDB6[[Site Name]:[Type of Accommodation]],10,FALSE)</f>
        <v>Closed Camp</v>
      </c>
      <c r="EM105" s="964" t="str">
        <f>VLOOKUP(WWWW[[#This Row],[Site Name]],SiteDB6[[Site Name]:[Ethnic or GCA/NGCA]],11,FALSE)</f>
        <v>GCA</v>
      </c>
      <c r="EN105" s="964">
        <f>VLOOKUP(WWWW[[#This Row],[Site Name]],SiteDB6[[Site Name]:[Lat]],12,FALSE)</f>
        <v>23.250678000000001</v>
      </c>
      <c r="EO105" s="964">
        <f>VLOOKUP(WWWW[[#This Row],[Site Name]],SiteDB6[[Site Name]:[Long]],13,FALSE)</f>
        <v>97.124403000000001</v>
      </c>
      <c r="EP105" s="964" t="str">
        <f>VLOOKUP(WWWW[[#This Row],[Site Name]],SiteDB6[[Site Name]:[Pcode]],3,FALSE)</f>
        <v>MMR015CMP009</v>
      </c>
      <c r="EQ105" s="969" t="str">
        <f t="shared" si="3"/>
        <v>Covered</v>
      </c>
      <c r="ER105" s="969" t="s">
        <v>3147</v>
      </c>
      <c r="ES105" s="964">
        <f>VLOOKUP(WWWW[[#This Row],[Site Name]],SiteDB6[[Site Name]:[Pop
(Kachin/Shan-CCCM as of March 2023)]],16,FALSE)</f>
        <v>0</v>
      </c>
      <c r="ET105" s="964">
        <f>VLOOKUP(WWWW[[#This Row],[Site Name]],SiteDB6[[Site Name]:[Pop
(Kachin/Shan-CCCM as of March 2023)]],17,FALSE)</f>
        <v>0</v>
      </c>
    </row>
    <row r="106" spans="1:150" hidden="1">
      <c r="A106" s="962" t="s">
        <v>2977</v>
      </c>
      <c r="B106" s="962" t="s">
        <v>192</v>
      </c>
      <c r="C106" s="963" t="s">
        <v>192</v>
      </c>
      <c r="D106" s="963" t="s">
        <v>2648</v>
      </c>
      <c r="E106" s="963" t="s">
        <v>515</v>
      </c>
      <c r="F106" s="963" t="s">
        <v>519</v>
      </c>
      <c r="G106" s="964" t="str">
        <f>VLOOKUP(WWWW[[#This Row],[Site Name]],SiteDB6[[Site Name]:[Location Type]],8,FALSE)</f>
        <v>Camp</v>
      </c>
      <c r="H106" s="963" t="s">
        <v>554</v>
      </c>
      <c r="I106" s="965">
        <v>26</v>
      </c>
      <c r="J106" s="965">
        <v>104</v>
      </c>
      <c r="K106" s="966">
        <v>44511</v>
      </c>
      <c r="L106" s="967">
        <v>44926</v>
      </c>
      <c r="M106" s="965"/>
      <c r="N106" s="965"/>
      <c r="O106" s="965"/>
      <c r="P106" s="965"/>
      <c r="Q106" s="968"/>
      <c r="R106" s="965"/>
      <c r="S106" s="965"/>
      <c r="T106" s="445"/>
      <c r="U106" s="965"/>
      <c r="V106" s="965"/>
      <c r="W106" s="965"/>
      <c r="X106" s="965">
        <v>1</v>
      </c>
      <c r="Y106" s="965"/>
      <c r="Z106" s="965"/>
      <c r="AA106" s="965"/>
      <c r="AB106" s="965"/>
      <c r="AC106" s="965"/>
      <c r="AD106" s="965"/>
      <c r="AE106" s="965"/>
      <c r="AF106" s="965"/>
      <c r="AG106" s="965"/>
      <c r="AH106" s="965"/>
      <c r="AI106" s="965"/>
      <c r="AJ106" s="965"/>
      <c r="AK106" s="965"/>
      <c r="AL106" s="965"/>
      <c r="AM106" s="965"/>
      <c r="AN106" s="965"/>
      <c r="AO106" s="445"/>
      <c r="AP106" s="969"/>
      <c r="AQ106" s="965">
        <v>4</v>
      </c>
      <c r="AR106" s="965"/>
      <c r="AS106" s="970"/>
      <c r="AT106" s="965"/>
      <c r="AU106" s="965"/>
      <c r="AV106" s="965"/>
      <c r="AW106" s="965"/>
      <c r="AX106" s="965"/>
      <c r="AY106" s="964" t="s">
        <v>140</v>
      </c>
      <c r="AZ106" s="969" t="s">
        <v>140</v>
      </c>
      <c r="BA106" s="965"/>
      <c r="BB106" s="965"/>
      <c r="BC106" s="965"/>
      <c r="BD106" s="445"/>
      <c r="BE106" s="445"/>
      <c r="BF106" s="964"/>
      <c r="BG106" s="965">
        <v>8</v>
      </c>
      <c r="BH106" s="965"/>
      <c r="BI106" s="965"/>
      <c r="BJ106" s="965">
        <v>3</v>
      </c>
      <c r="BK106" s="965"/>
      <c r="BL106" s="965"/>
      <c r="BM106" s="965"/>
      <c r="BN106" s="965"/>
      <c r="BO106" s="965"/>
      <c r="BP106" s="964" t="s">
        <v>41</v>
      </c>
      <c r="BQ106" s="971"/>
      <c r="BR106" s="970"/>
      <c r="BS106" s="964"/>
      <c r="BT106" s="420"/>
      <c r="BU106" s="420"/>
      <c r="BV106" s="422"/>
      <c r="BW106" s="420"/>
      <c r="BX106" s="445"/>
      <c r="BY106" s="445"/>
      <c r="BZ106" s="445"/>
      <c r="CA106" s="445"/>
      <c r="CB106" s="445"/>
      <c r="CC106" s="702"/>
      <c r="CD106" s="445"/>
      <c r="CE106" s="972" t="str">
        <f>IFERROR(WWWW[[#This Row],['#_Water sources passed]]/WWWW[[#This Row],['#_Water sources tested for fecal coliform ]],"no test")</f>
        <v>no test</v>
      </c>
      <c r="CF106" s="970" t="str">
        <f>IFERROR(WWWW[[#This Row],['#_Household passed]]/WWWW[[#This Row],['#_Household water samples tested for fecal coliform]],"no test")</f>
        <v>no test</v>
      </c>
      <c r="CG106" s="971" t="str">
        <f>IF(AND(WWWW[[#This Row],[% of water sources passed]]="no test",WWWW[[#This Row],[% Household passed]]="no test"),"No Test","Tested")</f>
        <v>No Test</v>
      </c>
      <c r="CH106" s="971">
        <f>WWWW[[#This Row],['#_Constructed/existing protected hand dug well]]-WWWW[[#This Row],['#_Non-functional protected hand dug well]]</f>
        <v>0</v>
      </c>
      <c r="CI106" s="971">
        <f>(WWWW[[#This Row],['#_Constructed/Existing tube wells/boreholes/handpumps_WASH_agency]]+WWWW[[#This Row],['#_Non-Cluster partner water tube-wells/boreholes/handpumps]])-WWWW[[#This Row],['#_Non-functional tube wells/boreholes/handpumps]]</f>
        <v>1</v>
      </c>
      <c r="CJ106" s="971">
        <f>WWWW[[#This Row],['#_Constructed/Existingwater storage tank with gravity fed reticulation system]]-WWWW[[#This Row],['#_Non-functional storage tank gravity fed reticulation system]]</f>
        <v>0</v>
      </c>
      <c r="CK106" s="971">
        <f>(WWWW[[#This Row],['#_Water_Liters_supplied_by_Water boating or water trucking]]/90)/15</f>
        <v>0</v>
      </c>
      <c r="CL106" s="971">
        <f>WWWW[[#This Row],['#_Water_Liters_from_Constructed/Existing water distribution system from river or natural spring]]/90/15</f>
        <v>0</v>
      </c>
      <c r="CM106" s="421">
        <f>IF(WWWW[[#This Row],['#_of water points in TLS/CFS]]*500&gt;WWWW[[#This Row],[Total PoP ]],WWWW[[#This Row],[Total PoP ]],WWWW[[#This Row],['#_of water points in TLS/CFS]]*500)</f>
        <v>0</v>
      </c>
      <c r="CN106" s="421">
        <f>IF(WWWW[[#This Row],['#_of water points in THF]]*500&gt;WWWW[[#This Row],[Total PoP ]],WWWW[[#This Row],[Total PoP ]],WWWW[[#This Row],['#_of water points in THF]]*500)</f>
        <v>0</v>
      </c>
      <c r="CO106" s="421"/>
      <c r="CP10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6" s="970">
        <f>IF(WWWW[[#This Row],[Location Type 1]]="Village",WWWW[[#This Row],[Access to safe drinking water for Village]],WWWW[[#This Row],[Access to safe drinking water for Camp]])</f>
        <v>1</v>
      </c>
      <c r="CS106" s="968">
        <f>WWWW[[#This Row],[%Equitable and continuous access to sufficient quantity of safe drinking water]]*WWWW[[#This Row],[Total PoP ]]</f>
        <v>104</v>
      </c>
      <c r="CT106" s="970">
        <f>IF((WWWW[[#This Row],['#_Constructed/Existing protected/fenced ponds]]*250)/WWWW[[#This Row],[Total PoP ]]&gt;1,1,(WWWW[[#This Row],['#_Constructed/Existing protected/fenced ponds]]*250)/WWWW[[#This Row],[Total PoP ]])</f>
        <v>0</v>
      </c>
      <c r="CU106" s="968">
        <f>WWWW[[#This Row],[% Access to unimproved water points]]*WWWW[[#This Row],[Total PoP ]]</f>
        <v>0</v>
      </c>
      <c r="CV10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X106" s="968">
        <f>WWWW[[#This Row],[HRP1]]/500</f>
        <v>0.20799999999999999</v>
      </c>
      <c r="CY106" s="973">
        <f>1-WWWW[[#This Row],[% Equitable and continuous access to sufficient quantity of domestic water]]</f>
        <v>0</v>
      </c>
      <c r="CZ106" s="968">
        <f>WWWW[[#This Row],[%equitable and continuous access to sufficient quantity of safe drinking and domestic water''s GAP]]*WWWW[[#This Row],[Total PoP ]]</f>
        <v>0</v>
      </c>
      <c r="DA106" s="971">
        <f>IF(WWWW[[#This Row],[Total required water points]]-WWWW[[#This Row],['#Water points coverage]]&lt;0,0,WWWW[[#This Row],[Total required water points]]-WWWW[[#This Row],['#Water points coverage]])</f>
        <v>0.79200000000000004</v>
      </c>
      <c r="DB106" s="971">
        <f>ROUND(IF(WWWW[[#This Row],[Total PoP ]]&lt;500,1,WWWW[[#This Row],[Total PoP ]]/500),0)</f>
        <v>1</v>
      </c>
      <c r="DC106" s="971">
        <f>(WWWW[[#This Row],['#_Constructed latrines_by_WASHAgencies]]+WWWW[[#This Row],['#_Non Cluster partner latrines]])-WWWW[[#This Row],['#_Non-functional latrines]]</f>
        <v>4</v>
      </c>
      <c r="DD106" s="619">
        <f>WWWW[[#This Row],[HRP2]]/WWWW[[#This Row],[Total PoP ]]</f>
        <v>0.76923076923076927</v>
      </c>
      <c r="DE10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10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6" s="421">
        <f>IF(WWWW[[#This Row],['# of functional latrines in THF supported by WASH partners during the reporting period2]]="",0,WWWW[[#This Row],['# of functional latrines in THF supported by WASH partners during the reporting period2]]*50)</f>
        <v>0</v>
      </c>
      <c r="DI106" s="971">
        <f>ROUND(IF(WWWW[[#This Row],[Location Type 1]]="camp",WWWW[[#This Row],[Total PoP ]]/20,IF(WWWW[[#This Row],[Location Type 1]]="Temporary Location",WWWW[[#This Row],[Total PoP ]]/50,(WWWW[[#This Row],[Total PoP ]]/6))),0)</f>
        <v>5</v>
      </c>
      <c r="DJ106" s="971">
        <f>IF(WWWW[[#This Row],[Total required Latrines]]-(WWWW[[#This Row],['#_Constructed latrines_by_WASHAgencies]]+WWWW[[#This Row],['#_Non Cluster partner latrines]])&lt;0,0,WWWW[[#This Row],[Total required Latrines]]-(WWWW[[#This Row],['#_Constructed latrines_by_WASHAgencies]]+WWWW[[#This Row],['#_Non Cluster partner latrines]]))</f>
        <v>1</v>
      </c>
      <c r="DK106" s="973">
        <f>1-WWWW[[#This Row],[% people access to functioning Latrine]]</f>
        <v>0.23076923076923073</v>
      </c>
      <c r="DL106" s="972">
        <f>IF(OR(WWWW[[#This Row],['#_Non-functional latrines]]="",WWWW[[#This Row],['#_Non-functional latrines]]=0),0,WWWW[[#This Row],['#_Non-functional latrines]]/(WWWW[[#This Row],['#_Constructed latrines_by_WASHAgencies]]+WWWW[[#This Row],['#_Non Cluster partner latrines]]))</f>
        <v>0</v>
      </c>
      <c r="DM106" s="968">
        <f>IF(500*(WWWW[[#This Row],['#_male hygiene promoters]]+WWWW[[#This Row],['#_female hygiene promoters]])&gt;WWWW[[#This Row],[Total PoP ]],WWWW[[#This Row],[Total PoP ]],500*(WWWW[[#This Row],['#_male hygiene promoters]]+WWWW[[#This Row],['#_female hygiene promoters]]))</f>
        <v>0</v>
      </c>
      <c r="DN10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6" s="971">
        <f>IF(WWWW[[#This Row],['# People with access to soap]]&gt;WWWW[[#This Row],['# People with access to Sanity Pads]],WWWW[[#This Row],['# People with access to soap]],WWWW[[#This Row],['# People with access to Sanity Pads]])</f>
        <v>0</v>
      </c>
      <c r="DQ10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6" s="973">
        <f>IF(WWWW[[#This Row],[HRP3]]/WWWW[[#This Row],[Total PoP ]]&gt;1,1,WWWW[[#This Row],[HRP3]]/WWWW[[#This Row],[Total PoP ]])</f>
        <v>0</v>
      </c>
      <c r="DS106" s="972">
        <f>1-WWWW[[#This Row],[Hygiene Coverage%]]</f>
        <v>1</v>
      </c>
      <c r="DT106" s="970">
        <f>WWWW[[#This Row],['# people reached by regular dedicated hygiene promotion_5]]/WWWW[[#This Row],[Total PoP ]]</f>
        <v>0</v>
      </c>
      <c r="DU10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6" s="971">
        <f>WWWW[[#This Row],['#_Constructed/Existing hand washing stations]]-WWWW[[#This Row],['#_Non-Functional_hand_washing_stations]]</f>
        <v>8</v>
      </c>
      <c r="DX106" s="968">
        <f>IF(WWWW[[#This Row],['# Functional hand washing stations during reporting period]]*20&gt;WWWW[[#This Row],[Total HH]],WWWW[[#This Row],[Total HH]],WWWW[[#This Row],['# Functional hand washing stations during reporting period]]*20)</f>
        <v>26</v>
      </c>
      <c r="DY106" s="968">
        <f>IF(WWWW[[#This Row],[Is sufficient soap available for TLS? (Yes/No)]]="yes",WWWW[[#This Row],['#_Constructed/Existing hand washing stations at TLS/CFS/THF]],0)</f>
        <v>0</v>
      </c>
      <c r="DZ106" s="425">
        <f>IF(WWWW[[#This Row],['# Functional hand washing stations during reporting period]]*100&gt;WWWW[[#This Row],[Total PoP ]],WWWW[[#This Row],[Total PoP ]],WWWW[[#This Row],['# Functional hand washing stations during reporting period]]*100)</f>
        <v>104</v>
      </c>
      <c r="EA106" s="425" t="str">
        <f>IF(OR(WWWW[[#This Row],['#_students at TLS_CFS]]="",WWWW[[#This Row],['#_students at TLS_CFS]]=0),"No","Yes")</f>
        <v>No</v>
      </c>
      <c r="EB10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6" s="570">
        <f>WWWW[[#This Row],[%_of_affected_people_surveyed_who_report_feeling_satistfied_with_the_latrine_design_and_sanitation_service]]*WWWW[[#This Row],[Total PoP ]]</f>
        <v>0</v>
      </c>
      <c r="ED106" s="570">
        <f>WWWW[[#This Row],[%_of_affected_people_surveyed_who_report_feeling_satistfied_with_the_water_point_design_and_water_service]]*WWWW[[#This Row],[Total PoP ]]</f>
        <v>0</v>
      </c>
      <c r="EE106" s="570">
        <f>WWWW[[#This Row],[%_of_complaints_received_that_result_in_timely_corrective_action_and_feedback_to_the_community]]*WWWW[[#This Row],[Total PoP ]]</f>
        <v>0</v>
      </c>
      <c r="EF10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6" s="964">
        <f>VLOOKUP(WWWW[[#This Row],[Site Name]],SiteDB6[[Site Name]:[CCCM Management]],6,FALSE)</f>
        <v>0</v>
      </c>
      <c r="EJ106" s="964" t="str">
        <f>VLOOKUP(WWWW[[#This Row],[Site Name]],SiteDB6[[Site Name]:[CCCM Focal Agency]],7,FALSE)</f>
        <v>uncovered</v>
      </c>
      <c r="EK106" s="964" t="str">
        <f>VLOOKUP(WWWW[[#This Row],[Site Name]],SiteDB6[[Site Name]:[Location Type 1]],9,FALSE)</f>
        <v>Camp</v>
      </c>
      <c r="EL106" s="964" t="str">
        <f>VLOOKUP(WWWW[[#This Row],[Site Name]],SiteDB6[[Site Name]:[Type of Accommodation]],10,FALSE)</f>
        <v>Camp like setting</v>
      </c>
      <c r="EM106" s="964" t="str">
        <f>VLOOKUP(WWWW[[#This Row],[Site Name]],SiteDB6[[Site Name]:[Ethnic or GCA/NGCA]],11,FALSE)</f>
        <v>GCA</v>
      </c>
      <c r="EN106" s="964">
        <f>VLOOKUP(WWWW[[#This Row],[Site Name]],SiteDB6[[Site Name]:[Lat]],12,FALSE)</f>
        <v>23.621317999999999</v>
      </c>
      <c r="EO106" s="964">
        <f>VLOOKUP(WWWW[[#This Row],[Site Name]],SiteDB6[[Site Name]:[Long]],13,FALSE)</f>
        <v>97.795981999999995</v>
      </c>
      <c r="EP106" s="964" t="str">
        <f>VLOOKUP(WWWW[[#This Row],[Site Name]],SiteDB6[[Site Name]:[Pcode]],3,FALSE)</f>
        <v>MMR015CMP064</v>
      </c>
      <c r="EQ106" s="969" t="str">
        <f t="shared" si="3"/>
        <v>Covered</v>
      </c>
      <c r="ER106" s="969" t="s">
        <v>3147</v>
      </c>
      <c r="ES106" s="964">
        <f>VLOOKUP(WWWW[[#This Row],[Site Name]],SiteDB6[[Site Name]:[Pop
(Kachin/Shan-CCCM as of March 2023)]],16,FALSE)</f>
        <v>24</v>
      </c>
      <c r="ET106" s="964">
        <f>VLOOKUP(WWWW[[#This Row],[Site Name]],SiteDB6[[Site Name]:[Pop
(Kachin/Shan-CCCM as of March 2023)]],17,FALSE)</f>
        <v>84</v>
      </c>
    </row>
    <row r="107" spans="1:150" hidden="1">
      <c r="A107" s="962" t="s">
        <v>2977</v>
      </c>
      <c r="B107" s="962" t="s">
        <v>192</v>
      </c>
      <c r="C107" s="963" t="s">
        <v>192</v>
      </c>
      <c r="D107" s="963" t="s">
        <v>241</v>
      </c>
      <c r="E107" s="963" t="s">
        <v>515</v>
      </c>
      <c r="F107" s="963" t="s">
        <v>960</v>
      </c>
      <c r="G107" s="964" t="str">
        <f>VLOOKUP(WWWW[[#This Row],[Site Name]],SiteDB6[[Site Name]:[Location Type]],8,FALSE)</f>
        <v>Camp</v>
      </c>
      <c r="H107" s="963" t="s">
        <v>2858</v>
      </c>
      <c r="I107" s="965">
        <v>9</v>
      </c>
      <c r="J107" s="965">
        <v>28</v>
      </c>
      <c r="K107" s="966">
        <v>44511</v>
      </c>
      <c r="L107" s="967">
        <v>44875</v>
      </c>
      <c r="M107" s="965"/>
      <c r="N107" s="965"/>
      <c r="O107" s="965"/>
      <c r="P107" s="965"/>
      <c r="Q107" s="968"/>
      <c r="R107" s="965"/>
      <c r="S107" s="965"/>
      <c r="T107" s="445"/>
      <c r="U107" s="965"/>
      <c r="V107" s="965"/>
      <c r="W107" s="965"/>
      <c r="X107" s="965"/>
      <c r="Y107" s="965"/>
      <c r="Z107" s="965"/>
      <c r="AA107" s="965"/>
      <c r="AB107" s="965"/>
      <c r="AC107" s="965"/>
      <c r="AD107" s="965"/>
      <c r="AE107" s="965"/>
      <c r="AF107" s="965"/>
      <c r="AG107" s="965"/>
      <c r="AH107" s="965"/>
      <c r="AI107" s="965"/>
      <c r="AJ107" s="965"/>
      <c r="AK107" s="965"/>
      <c r="AL107" s="965"/>
      <c r="AM107" s="965"/>
      <c r="AN107" s="965"/>
      <c r="AO107" s="445"/>
      <c r="AP107" s="969"/>
      <c r="AQ107" s="965"/>
      <c r="AR107" s="965">
        <v>6</v>
      </c>
      <c r="AS107" s="970"/>
      <c r="AT107" s="965"/>
      <c r="AU107" s="965"/>
      <c r="AV107" s="965"/>
      <c r="AW107" s="965"/>
      <c r="AX107" s="965"/>
      <c r="AY107" s="964" t="s">
        <v>140</v>
      </c>
      <c r="AZ107" s="969" t="s">
        <v>140</v>
      </c>
      <c r="BA107" s="965"/>
      <c r="BB107" s="965"/>
      <c r="BC107" s="965"/>
      <c r="BD107" s="445"/>
      <c r="BE107" s="445"/>
      <c r="BF107" s="964"/>
      <c r="BG107" s="965"/>
      <c r="BH107" s="965"/>
      <c r="BI107" s="965"/>
      <c r="BJ107" s="965"/>
      <c r="BK107" s="965"/>
      <c r="BL107" s="965"/>
      <c r="BM107" s="965"/>
      <c r="BN107" s="965"/>
      <c r="BO107" s="965"/>
      <c r="BP107" s="964" t="s">
        <v>41</v>
      </c>
      <c r="BQ107" s="971"/>
      <c r="BR107" s="970"/>
      <c r="BS107" s="964"/>
      <c r="BT107" s="420"/>
      <c r="BU107" s="420"/>
      <c r="BV107" s="422"/>
      <c r="BW107" s="420"/>
      <c r="BX107" s="445"/>
      <c r="BY107" s="445"/>
      <c r="BZ107" s="445"/>
      <c r="CA107" s="445"/>
      <c r="CB107" s="445"/>
      <c r="CC107" s="702"/>
      <c r="CD107" s="445"/>
      <c r="CE107" s="972" t="str">
        <f>IFERROR(WWWW[[#This Row],['#_Water sources passed]]/WWWW[[#This Row],['#_Water sources tested for fecal coliform ]],"no test")</f>
        <v>no test</v>
      </c>
      <c r="CF107" s="970" t="str">
        <f>IFERROR(WWWW[[#This Row],['#_Household passed]]/WWWW[[#This Row],['#_Household water samples tested for fecal coliform]],"no test")</f>
        <v>no test</v>
      </c>
      <c r="CG107" s="971" t="str">
        <f>IF(AND(WWWW[[#This Row],[% of water sources passed]]="no test",WWWW[[#This Row],[% Household passed]]="no test"),"No Test","Tested")</f>
        <v>No Test</v>
      </c>
      <c r="CH107" s="971">
        <f>WWWW[[#This Row],['#_Constructed/existing protected hand dug well]]-WWWW[[#This Row],['#_Non-functional protected hand dug well]]</f>
        <v>0</v>
      </c>
      <c r="CI107" s="971">
        <f>(WWWW[[#This Row],['#_Constructed/Existing tube wells/boreholes/handpumps_WASH_agency]]+WWWW[[#This Row],['#_Non-Cluster partner water tube-wells/boreholes/handpumps]])-WWWW[[#This Row],['#_Non-functional tube wells/boreholes/handpumps]]</f>
        <v>0</v>
      </c>
      <c r="CJ107" s="971">
        <f>WWWW[[#This Row],['#_Constructed/Existingwater storage tank with gravity fed reticulation system]]-WWWW[[#This Row],['#_Non-functional storage tank gravity fed reticulation system]]</f>
        <v>0</v>
      </c>
      <c r="CK107" s="971">
        <f>(WWWW[[#This Row],['#_Water_Liters_supplied_by_Water boating or water trucking]]/90)/15</f>
        <v>0</v>
      </c>
      <c r="CL107" s="971">
        <f>WWWW[[#This Row],['#_Water_Liters_from_Constructed/Existing water distribution system from river or natural spring]]/90/15</f>
        <v>0</v>
      </c>
      <c r="CM107" s="421">
        <f>IF(WWWW[[#This Row],['#_of water points in TLS/CFS]]*500&gt;WWWW[[#This Row],[Total PoP ]],WWWW[[#This Row],[Total PoP ]],WWWW[[#This Row],['#_of water points in TLS/CFS]]*500)</f>
        <v>0</v>
      </c>
      <c r="CN107" s="421">
        <f>IF(WWWW[[#This Row],['#_of water points in THF]]*500&gt;WWWW[[#This Row],[Total PoP ]],WWWW[[#This Row],[Total PoP ]],WWWW[[#This Row],['#_of water points in THF]]*500)</f>
        <v>0</v>
      </c>
      <c r="CO107" s="421"/>
      <c r="CP10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0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07" s="970">
        <f>IF(WWWW[[#This Row],[Location Type 1]]="Village",WWWW[[#This Row],[Access to safe drinking water for Village]],WWWW[[#This Row],[Access to safe drinking water for Camp]])</f>
        <v>0</v>
      </c>
      <c r="CS107" s="968">
        <f>WWWW[[#This Row],[%Equitable and continuous access to sufficient quantity of safe drinking water]]*WWWW[[#This Row],[Total PoP ]]</f>
        <v>0</v>
      </c>
      <c r="CT107" s="970">
        <f>IF((WWWW[[#This Row],['#_Constructed/Existing protected/fenced ponds]]*250)/WWWW[[#This Row],[Total PoP ]]&gt;1,1,(WWWW[[#This Row],['#_Constructed/Existing protected/fenced ponds]]*250)/WWWW[[#This Row],[Total PoP ]])</f>
        <v>0</v>
      </c>
      <c r="CU107" s="968">
        <f>WWWW[[#This Row],[% Access to unimproved water points]]*WWWW[[#This Row],[Total PoP ]]</f>
        <v>0</v>
      </c>
      <c r="CV10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0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07" s="968">
        <f>WWWW[[#This Row],[HRP1]]/500</f>
        <v>0</v>
      </c>
      <c r="CY107" s="973">
        <f>1-WWWW[[#This Row],[% Equitable and continuous access to sufficient quantity of domestic water]]</f>
        <v>1</v>
      </c>
      <c r="CZ107" s="968">
        <f>WWWW[[#This Row],[%equitable and continuous access to sufficient quantity of safe drinking and domestic water''s GAP]]*WWWW[[#This Row],[Total PoP ]]</f>
        <v>28</v>
      </c>
      <c r="DA107" s="971">
        <f>IF(WWWW[[#This Row],[Total required water points]]-WWWW[[#This Row],['#Water points coverage]]&lt;0,0,WWWW[[#This Row],[Total required water points]]-WWWW[[#This Row],['#Water points coverage]])</f>
        <v>1</v>
      </c>
      <c r="DB107" s="971">
        <f>ROUND(IF(WWWW[[#This Row],[Total PoP ]]&lt;500,1,WWWW[[#This Row],[Total PoP ]]/500),0)</f>
        <v>1</v>
      </c>
      <c r="DC107" s="971">
        <f>(WWWW[[#This Row],['#_Constructed latrines_by_WASHAgencies]]+WWWW[[#This Row],['#_Non Cluster partner latrines]])-WWWW[[#This Row],['#_Non-functional latrines]]</f>
        <v>6</v>
      </c>
      <c r="DD107" s="619">
        <f>WWWW[[#This Row],[HRP2]]/WWWW[[#This Row],[Total PoP ]]</f>
        <v>1</v>
      </c>
      <c r="DE10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v>
      </c>
      <c r="DF10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7" s="421">
        <f>IF(WWWW[[#This Row],['# of functional latrines in THF supported by WASH partners during the reporting period2]]="",0,WWWW[[#This Row],['# of functional latrines in THF supported by WASH partners during the reporting period2]]*50)</f>
        <v>0</v>
      </c>
      <c r="DI107" s="971">
        <f>ROUND(IF(WWWW[[#This Row],[Location Type 1]]="camp",WWWW[[#This Row],[Total PoP ]]/20,IF(WWWW[[#This Row],[Location Type 1]]="Temporary Location",WWWW[[#This Row],[Total PoP ]]/50,(WWWW[[#This Row],[Total PoP ]]/6))),0)</f>
        <v>1</v>
      </c>
      <c r="DJ107" s="971">
        <f>IF(WWWW[[#This Row],[Total required Latrines]]-(WWWW[[#This Row],['#_Constructed latrines_by_WASHAgencies]]+WWWW[[#This Row],['#_Non Cluster partner latrines]])&lt;0,0,WWWW[[#This Row],[Total required Latrines]]-(WWWW[[#This Row],['#_Constructed latrines_by_WASHAgencies]]+WWWW[[#This Row],['#_Non Cluster partner latrines]]))</f>
        <v>0</v>
      </c>
      <c r="DK107" s="973">
        <f>1-WWWW[[#This Row],[% people access to functioning Latrine]]</f>
        <v>0</v>
      </c>
      <c r="DL107" s="972">
        <f>IF(OR(WWWW[[#This Row],['#_Non-functional latrines]]="",WWWW[[#This Row],['#_Non-functional latrines]]=0),0,WWWW[[#This Row],['#_Non-functional latrines]]/(WWWW[[#This Row],['#_Constructed latrines_by_WASHAgencies]]+WWWW[[#This Row],['#_Non Cluster partner latrines]]))</f>
        <v>0</v>
      </c>
      <c r="DM107" s="968">
        <f>IF(500*(WWWW[[#This Row],['#_male hygiene promoters]]+WWWW[[#This Row],['#_female hygiene promoters]])&gt;WWWW[[#This Row],[Total PoP ]],WWWW[[#This Row],[Total PoP ]],500*(WWWW[[#This Row],['#_male hygiene promoters]]+WWWW[[#This Row],['#_female hygiene promoters]]))</f>
        <v>0</v>
      </c>
      <c r="DN10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7" s="971">
        <f>IF(WWWW[[#This Row],['# People with access to soap]]&gt;WWWW[[#This Row],['# People with access to Sanity Pads]],WWWW[[#This Row],['# People with access to soap]],WWWW[[#This Row],['# People with access to Sanity Pads]])</f>
        <v>0</v>
      </c>
      <c r="DQ10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7" s="973">
        <f>IF(WWWW[[#This Row],[HRP3]]/WWWW[[#This Row],[Total PoP ]]&gt;1,1,WWWW[[#This Row],[HRP3]]/WWWW[[#This Row],[Total PoP ]])</f>
        <v>0</v>
      </c>
      <c r="DS107" s="972">
        <f>1-WWWW[[#This Row],[Hygiene Coverage%]]</f>
        <v>1</v>
      </c>
      <c r="DT107" s="970">
        <f>WWWW[[#This Row],['# people reached by regular dedicated hygiene promotion_5]]/WWWW[[#This Row],[Total PoP ]]</f>
        <v>0</v>
      </c>
      <c r="DU10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7" s="971">
        <f>WWWW[[#This Row],['#_Constructed/Existing hand washing stations]]-WWWW[[#This Row],['#_Non-Functional_hand_washing_stations]]</f>
        <v>0</v>
      </c>
      <c r="DX107" s="968">
        <f>IF(WWWW[[#This Row],['# Functional hand washing stations during reporting period]]*20&gt;WWWW[[#This Row],[Total HH]],WWWW[[#This Row],[Total HH]],WWWW[[#This Row],['# Functional hand washing stations during reporting period]]*20)</f>
        <v>0</v>
      </c>
      <c r="DY107" s="968">
        <f>IF(WWWW[[#This Row],[Is sufficient soap available for TLS? (Yes/No)]]="yes",WWWW[[#This Row],['#_Constructed/Existing hand washing stations at TLS/CFS/THF]],0)</f>
        <v>0</v>
      </c>
      <c r="DZ107" s="425">
        <f>IF(WWWW[[#This Row],['# Functional hand washing stations during reporting period]]*100&gt;WWWW[[#This Row],[Total PoP ]],WWWW[[#This Row],[Total PoP ]],WWWW[[#This Row],['# Functional hand washing stations during reporting period]]*100)</f>
        <v>0</v>
      </c>
      <c r="EA107" s="425" t="str">
        <f>IF(OR(WWWW[[#This Row],['#_students at TLS_CFS]]="",WWWW[[#This Row],['#_students at TLS_CFS]]=0),"No","Yes")</f>
        <v>No</v>
      </c>
      <c r="EB10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7" s="570">
        <f>WWWW[[#This Row],[%_of_affected_people_surveyed_who_report_feeling_satistfied_with_the_latrine_design_and_sanitation_service]]*WWWW[[#This Row],[Total PoP ]]</f>
        <v>0</v>
      </c>
      <c r="ED107" s="570">
        <f>WWWW[[#This Row],[%_of_affected_people_surveyed_who_report_feeling_satistfied_with_the_water_point_design_and_water_service]]*WWWW[[#This Row],[Total PoP ]]</f>
        <v>0</v>
      </c>
      <c r="EE107" s="570">
        <f>WWWW[[#This Row],[%_of_complaints_received_that_result_in_timely_corrective_action_and_feedback_to_the_community]]*WWWW[[#This Row],[Total PoP ]]</f>
        <v>0</v>
      </c>
      <c r="EF10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7" s="964">
        <f>VLOOKUP(WWWW[[#This Row],[Site Name]],SiteDB6[[Site Name]:[CCCM Management]],6,FALSE)</f>
        <v>0</v>
      </c>
      <c r="EJ107" s="964">
        <f>VLOOKUP(WWWW[[#This Row],[Site Name]],SiteDB6[[Site Name]:[CCCM Focal Agency]],7,FALSE)</f>
        <v>0</v>
      </c>
      <c r="EK107" s="964" t="str">
        <f>VLOOKUP(WWWW[[#This Row],[Site Name]],SiteDB6[[Site Name]:[Location Type 1]],9,FALSE)</f>
        <v>Camp</v>
      </c>
      <c r="EL107" s="964" t="str">
        <f>VLOOKUP(WWWW[[#This Row],[Site Name]],SiteDB6[[Site Name]:[Type of Accommodation]],10,FALSE)</f>
        <v>Camp like setting</v>
      </c>
      <c r="EM107" s="964" t="str">
        <f>VLOOKUP(WWWW[[#This Row],[Site Name]],SiteDB6[[Site Name]:[Ethnic or GCA/NGCA]],11,FALSE)</f>
        <v>GCA</v>
      </c>
      <c r="EN107" s="964">
        <f>VLOOKUP(WWWW[[#This Row],[Site Name]],SiteDB6[[Site Name]:[Lat]],12,FALSE)</f>
        <v>0</v>
      </c>
      <c r="EO107" s="964">
        <f>VLOOKUP(WWWW[[#This Row],[Site Name]],SiteDB6[[Site Name]:[Long]],13,FALSE)</f>
        <v>0</v>
      </c>
      <c r="EP107" s="964" t="str">
        <f>VLOOKUP(WWWW[[#This Row],[Site Name]],SiteDB6[[Site Name]:[Pcode]],3,FALSE)</f>
        <v>MMR015CMP078</v>
      </c>
      <c r="EQ107" s="969" t="str">
        <f t="shared" si="3"/>
        <v>Covered</v>
      </c>
      <c r="ER107" s="969" t="s">
        <v>3147</v>
      </c>
      <c r="ES107" s="964">
        <f>VLOOKUP(WWWW[[#This Row],[Site Name]],SiteDB6[[Site Name]:[Pop
(Kachin/Shan-CCCM as of March 2023)]],16,FALSE)</f>
        <v>9</v>
      </c>
      <c r="ET107" s="964">
        <f>VLOOKUP(WWWW[[#This Row],[Site Name]],SiteDB6[[Site Name]:[Pop
(Kachin/Shan-CCCM as of March 2023)]],17,FALSE)</f>
        <v>28</v>
      </c>
    </row>
    <row r="108" spans="1:150" hidden="1">
      <c r="A108" s="962" t="s">
        <v>2977</v>
      </c>
      <c r="B108" s="962" t="s">
        <v>2356</v>
      </c>
      <c r="C108" s="963" t="s">
        <v>2356</v>
      </c>
      <c r="D108" s="963" t="s">
        <v>2648</v>
      </c>
      <c r="E108" s="963" t="s">
        <v>515</v>
      </c>
      <c r="F108" s="963" t="s">
        <v>516</v>
      </c>
      <c r="G108" s="964" t="str">
        <f>VLOOKUP(WWWW[[#This Row],[Site Name]],SiteDB6[[Site Name]:[Location Type]],8,FALSE)</f>
        <v>Camp</v>
      </c>
      <c r="H108" s="963" t="s">
        <v>527</v>
      </c>
      <c r="I108" s="965">
        <v>85</v>
      </c>
      <c r="J108" s="965">
        <v>396</v>
      </c>
      <c r="K108" s="966" t="s">
        <v>2716</v>
      </c>
      <c r="L108" s="967" t="s">
        <v>2971</v>
      </c>
      <c r="M108" s="965"/>
      <c r="N108" s="965">
        <v>2</v>
      </c>
      <c r="O108" s="965"/>
      <c r="P108" s="965"/>
      <c r="Q108" s="968" t="s">
        <v>41</v>
      </c>
      <c r="R108" s="965">
        <v>7</v>
      </c>
      <c r="S108" s="965">
        <v>9</v>
      </c>
      <c r="T108" s="445"/>
      <c r="U108" s="965"/>
      <c r="V108" s="965"/>
      <c r="W108" s="965"/>
      <c r="X108" s="965">
        <v>1</v>
      </c>
      <c r="Y108" s="965"/>
      <c r="Z108" s="965"/>
      <c r="AA108" s="965">
        <v>1</v>
      </c>
      <c r="AB108" s="965"/>
      <c r="AC108" s="965"/>
      <c r="AD108" s="965"/>
      <c r="AE108" s="965"/>
      <c r="AF108" s="965"/>
      <c r="AG108" s="965"/>
      <c r="AH108" s="965">
        <v>2</v>
      </c>
      <c r="AI108" s="965"/>
      <c r="AJ108" s="965"/>
      <c r="AK108" s="965"/>
      <c r="AL108" s="965"/>
      <c r="AM108" s="965">
        <v>8</v>
      </c>
      <c r="AN108" s="965"/>
      <c r="AO108" s="445"/>
      <c r="AP108" s="969"/>
      <c r="AQ108" s="965">
        <v>14</v>
      </c>
      <c r="AR108" s="965">
        <v>6</v>
      </c>
      <c r="AS108" s="970"/>
      <c r="AT108" s="965"/>
      <c r="AU108" s="965"/>
      <c r="AV108" s="965"/>
      <c r="AW108" s="965"/>
      <c r="AX108" s="965">
        <v>14</v>
      </c>
      <c r="AY108" s="964" t="s">
        <v>41</v>
      </c>
      <c r="AZ108" s="969" t="s">
        <v>137</v>
      </c>
      <c r="BA108" s="965"/>
      <c r="BB108" s="965"/>
      <c r="BC108" s="965"/>
      <c r="BD108" s="445"/>
      <c r="BE108" s="445"/>
      <c r="BF108" s="964"/>
      <c r="BG108" s="965">
        <v>8</v>
      </c>
      <c r="BH108" s="965"/>
      <c r="BI108" s="965"/>
      <c r="BJ108" s="965">
        <v>2</v>
      </c>
      <c r="BK108" s="965"/>
      <c r="BL108" s="965">
        <v>1</v>
      </c>
      <c r="BM108" s="965">
        <v>1</v>
      </c>
      <c r="BN108" s="965"/>
      <c r="BO108" s="965"/>
      <c r="BP108" s="964" t="s">
        <v>41</v>
      </c>
      <c r="BQ108" s="971"/>
      <c r="BR108" s="970"/>
      <c r="BS108" s="964"/>
      <c r="BT108" s="420"/>
      <c r="BU108" s="420"/>
      <c r="BV108" s="422"/>
      <c r="BW108" s="420"/>
      <c r="BX108" s="445"/>
      <c r="BY108" s="445"/>
      <c r="BZ108" s="445"/>
      <c r="CA108" s="445"/>
      <c r="CB108" s="445"/>
      <c r="CC108" s="702"/>
      <c r="CD108" s="445"/>
      <c r="CE108" s="972" t="str">
        <f>IFERROR(WWWW[[#This Row],['#_Water sources passed]]/WWWW[[#This Row],['#_Water sources tested for fecal coliform ]],"no test")</f>
        <v>no test</v>
      </c>
      <c r="CF108" s="970" t="str">
        <f>IFERROR(WWWW[[#This Row],['#_Household passed]]/WWWW[[#This Row],['#_Household water samples tested for fecal coliform]],"no test")</f>
        <v>no test</v>
      </c>
      <c r="CG108" s="971" t="str">
        <f>IF(AND(WWWW[[#This Row],[% of water sources passed]]="no test",WWWW[[#This Row],[% Household passed]]="no test"),"No Test","Tested")</f>
        <v>No Test</v>
      </c>
      <c r="CH108" s="971">
        <f>WWWW[[#This Row],['#_Constructed/existing protected hand dug well]]-WWWW[[#This Row],['#_Non-functional protected hand dug well]]</f>
        <v>0</v>
      </c>
      <c r="CI108" s="971">
        <f>(WWWW[[#This Row],['#_Constructed/Existing tube wells/boreholes/handpumps_WASH_agency]]+WWWW[[#This Row],['#_Non-Cluster partner water tube-wells/boreholes/handpumps]])-WWWW[[#This Row],['#_Non-functional tube wells/boreholes/handpumps]]</f>
        <v>1</v>
      </c>
      <c r="CJ108" s="971">
        <f>WWWW[[#This Row],['#_Constructed/Existingwater storage tank with gravity fed reticulation system]]-WWWW[[#This Row],['#_Non-functional storage tank gravity fed reticulation system]]</f>
        <v>1</v>
      </c>
      <c r="CK108" s="971">
        <f>(WWWW[[#This Row],['#_Water_Liters_supplied_by_Water boating or water trucking]]/90)/15</f>
        <v>0</v>
      </c>
      <c r="CL108" s="971">
        <f>WWWW[[#This Row],['#_Water_Liters_from_Constructed/Existing water distribution system from river or natural spring]]/90/15</f>
        <v>0</v>
      </c>
      <c r="CM108" s="421">
        <f>IF(WWWW[[#This Row],['#_of water points in TLS/CFS]]*500&gt;WWWW[[#This Row],[Total PoP ]],WWWW[[#This Row],[Total PoP ]],WWWW[[#This Row],['#_of water points in TLS/CFS]]*500)</f>
        <v>0</v>
      </c>
      <c r="CN108" s="421">
        <f>IF(WWWW[[#This Row],['#_of water points in THF]]*500&gt;WWWW[[#This Row],[Total PoP ]],WWWW[[#This Row],[Total PoP ]],WWWW[[#This Row],['#_of water points in THF]]*500)</f>
        <v>0</v>
      </c>
      <c r="CO108" s="421"/>
      <c r="CP10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R108" s="970">
        <f>IF(WWWW[[#This Row],[Location Type 1]]="Village",WWWW[[#This Row],[Access to safe drinking water for Village]],WWWW[[#This Row],[Access to safe drinking water for Camp]])</f>
        <v>1</v>
      </c>
      <c r="CS108" s="968">
        <f>WWWW[[#This Row],[%Equitable and continuous access to sufficient quantity of safe drinking water]]*WWWW[[#This Row],[Total PoP ]]</f>
        <v>396</v>
      </c>
      <c r="CT108" s="970">
        <f>IF((WWWW[[#This Row],['#_Constructed/Existing protected/fenced ponds]]*250)/WWWW[[#This Row],[Total PoP ]]&gt;1,1,(WWWW[[#This Row],['#_Constructed/Existing protected/fenced ponds]]*250)/WWWW[[#This Row],[Total PoP ]])</f>
        <v>0</v>
      </c>
      <c r="CU108" s="968">
        <f>WWWW[[#This Row],[% Access to unimproved water points]]*WWWW[[#This Row],[Total PoP ]]</f>
        <v>0</v>
      </c>
      <c r="CV10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X108" s="968">
        <f>WWWW[[#This Row],[HRP1]]/500</f>
        <v>0.79200000000000004</v>
      </c>
      <c r="CY108" s="973">
        <f>1-WWWW[[#This Row],[% Equitable and continuous access to sufficient quantity of domestic water]]</f>
        <v>0</v>
      </c>
      <c r="CZ108" s="968">
        <f>WWWW[[#This Row],[%equitable and continuous access to sufficient quantity of safe drinking and domestic water''s GAP]]*WWWW[[#This Row],[Total PoP ]]</f>
        <v>0</v>
      </c>
      <c r="DA108" s="971">
        <f>IF(WWWW[[#This Row],[Total required water points]]-WWWW[[#This Row],['#Water points coverage]]&lt;0,0,WWWW[[#This Row],[Total required water points]]-WWWW[[#This Row],['#Water points coverage]])</f>
        <v>0.20799999999999996</v>
      </c>
      <c r="DB108" s="971">
        <f>ROUND(IF(WWWW[[#This Row],[Total PoP ]]&lt;500,1,WWWW[[#This Row],[Total PoP ]]/500),0)</f>
        <v>1</v>
      </c>
      <c r="DC108" s="971">
        <f>(WWWW[[#This Row],['#_Constructed latrines_by_WASHAgencies]]+WWWW[[#This Row],['#_Non Cluster partner latrines]])-WWWW[[#This Row],['#_Non-functional latrines]]</f>
        <v>20</v>
      </c>
      <c r="DD108" s="619">
        <f>WWWW[[#This Row],[HRP2]]/WWWW[[#This Row],[Total PoP ]]</f>
        <v>1</v>
      </c>
      <c r="DE10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396</v>
      </c>
      <c r="DF10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8" s="421">
        <f>IF(WWWW[[#This Row],['# of functional latrines in THF supported by WASH partners during the reporting period2]]="",0,WWWW[[#This Row],['# of functional latrines in THF supported by WASH partners during the reporting period2]]*50)</f>
        <v>0</v>
      </c>
      <c r="DI108" s="971">
        <f>ROUND(IF(WWWW[[#This Row],[Location Type 1]]="camp",WWWW[[#This Row],[Total PoP ]]/20,IF(WWWW[[#This Row],[Location Type 1]]="Temporary Location",WWWW[[#This Row],[Total PoP ]]/50,(WWWW[[#This Row],[Total PoP ]]/6))),0)</f>
        <v>20</v>
      </c>
      <c r="DJ108" s="971">
        <f>IF(WWWW[[#This Row],[Total required Latrines]]-(WWWW[[#This Row],['#_Constructed latrines_by_WASHAgencies]]+WWWW[[#This Row],['#_Non Cluster partner latrines]])&lt;0,0,WWWW[[#This Row],[Total required Latrines]]-(WWWW[[#This Row],['#_Constructed latrines_by_WASHAgencies]]+WWWW[[#This Row],['#_Non Cluster partner latrines]]))</f>
        <v>0</v>
      </c>
      <c r="DK108" s="973">
        <f>1-WWWW[[#This Row],[% people access to functioning Latrine]]</f>
        <v>0</v>
      </c>
      <c r="DL108" s="972">
        <f>IF(OR(WWWW[[#This Row],['#_Non-functional latrines]]="",WWWW[[#This Row],['#_Non-functional latrines]]=0),0,WWWW[[#This Row],['#_Non-functional latrines]]/(WWWW[[#This Row],['#_Constructed latrines_by_WASHAgencies]]+WWWW[[#This Row],['#_Non Cluster partner latrines]]))</f>
        <v>0</v>
      </c>
      <c r="DM108" s="968">
        <f>IF(500*(WWWW[[#This Row],['#_male hygiene promoters]]+WWWW[[#This Row],['#_female hygiene promoters]])&gt;WWWW[[#This Row],[Total PoP ]],WWWW[[#This Row],[Total PoP ]],500*(WWWW[[#This Row],['#_male hygiene promoters]]+WWWW[[#This Row],['#_female hygiene promoters]]))</f>
        <v>396</v>
      </c>
      <c r="DN10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8" s="971">
        <f>IF(WWWW[[#This Row],['# People with access to soap]]&gt;WWWW[[#This Row],['# People with access to Sanity Pads]],WWWW[[#This Row],['# People with access to soap]],WWWW[[#This Row],['# People with access to Sanity Pads]])</f>
        <v>0</v>
      </c>
      <c r="DQ108" s="971">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R108" s="973">
        <f>IF(WWWW[[#This Row],[HRP3]]/WWWW[[#This Row],[Total PoP ]]&gt;1,1,WWWW[[#This Row],[HRP3]]/WWWW[[#This Row],[Total PoP ]])</f>
        <v>1</v>
      </c>
      <c r="DS108" s="972">
        <f>1-WWWW[[#This Row],[Hygiene Coverage%]]</f>
        <v>0</v>
      </c>
      <c r="DT108" s="970">
        <f>WWWW[[#This Row],['# people reached by regular dedicated hygiene promotion_5]]/WWWW[[#This Row],[Total PoP ]]</f>
        <v>1</v>
      </c>
      <c r="DU10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8" s="971">
        <f>WWWW[[#This Row],['#_Constructed/Existing hand washing stations]]-WWWW[[#This Row],['#_Non-Functional_hand_washing_stations]]</f>
        <v>8</v>
      </c>
      <c r="DX108" s="968">
        <f>IF(WWWW[[#This Row],['# Functional hand washing stations during reporting period]]*20&gt;WWWW[[#This Row],[Total HH]],WWWW[[#This Row],[Total HH]],WWWW[[#This Row],['# Functional hand washing stations during reporting period]]*20)</f>
        <v>85</v>
      </c>
      <c r="DY108" s="968">
        <f>IF(WWWW[[#This Row],[Is sufficient soap available for TLS? (Yes/No)]]="yes",WWWW[[#This Row],['#_Constructed/Existing hand washing stations at TLS/CFS/THF]],0)</f>
        <v>8</v>
      </c>
      <c r="DZ108" s="425">
        <f>IF(WWWW[[#This Row],['# Functional hand washing stations during reporting period]]*100&gt;WWWW[[#This Row],[Total PoP ]],WWWW[[#This Row],[Total PoP ]],WWWW[[#This Row],['# Functional hand washing stations during reporting period]]*100)</f>
        <v>396</v>
      </c>
      <c r="EA108" s="425" t="str">
        <f>IF(OR(WWWW[[#This Row],['#_students at TLS_CFS]]="",WWWW[[#This Row],['#_students at TLS_CFS]]=0),"No","Yes")</f>
        <v>No</v>
      </c>
      <c r="EB10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8" s="570">
        <f>WWWW[[#This Row],[%_of_affected_people_surveyed_who_report_feeling_satistfied_with_the_latrine_design_and_sanitation_service]]*WWWW[[#This Row],[Total PoP ]]</f>
        <v>0</v>
      </c>
      <c r="ED108" s="570">
        <f>WWWW[[#This Row],[%_of_affected_people_surveyed_who_report_feeling_satistfied_with_the_water_point_design_and_water_service]]*WWWW[[#This Row],[Total PoP ]]</f>
        <v>0</v>
      </c>
      <c r="EE108" s="570">
        <f>WWWW[[#This Row],[%_of_complaints_received_that_result_in_timely_corrective_action_and_feedback_to_the_community]]*WWWW[[#This Row],[Total PoP ]]</f>
        <v>0</v>
      </c>
      <c r="EF10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8" s="964" t="str">
        <f>VLOOKUP(WWWW[[#This Row],[Site Name]],SiteDB6[[Site Name]:[CCCM Management]],6,FALSE)</f>
        <v>Yes</v>
      </c>
      <c r="EJ108" s="964" t="str">
        <f>VLOOKUP(WWWW[[#This Row],[Site Name]],SiteDB6[[Site Name]:[CCCM Focal Agency]],7,FALSE)</f>
        <v>KBC-NSS</v>
      </c>
      <c r="EK108" s="964" t="str">
        <f>VLOOKUP(WWWW[[#This Row],[Site Name]],SiteDB6[[Site Name]:[Location Type 1]],9,FALSE)</f>
        <v>Camp</v>
      </c>
      <c r="EL108" s="964" t="str">
        <f>VLOOKUP(WWWW[[#This Row],[Site Name]],SiteDB6[[Site Name]:[Type of Accommodation]],10,FALSE)</f>
        <v>Camp</v>
      </c>
      <c r="EM108" s="964" t="str">
        <f>VLOOKUP(WWWW[[#This Row],[Site Name]],SiteDB6[[Site Name]:[Ethnic or GCA/NGCA]],11,FALSE)</f>
        <v>GCA</v>
      </c>
      <c r="EN108" s="964">
        <f>VLOOKUP(WWWW[[#This Row],[Site Name]],SiteDB6[[Site Name]:[Lat]],12,FALSE)</f>
        <v>23.821380000000001</v>
      </c>
      <c r="EO108" s="964">
        <f>VLOOKUP(WWWW[[#This Row],[Site Name]],SiteDB6[[Site Name]:[Long]],13,FALSE)</f>
        <v>97.681970000000007</v>
      </c>
      <c r="EP108" s="964" t="str">
        <f>VLOOKUP(WWWW[[#This Row],[Site Name]],SiteDB6[[Site Name]:[Pcode]],3,FALSE)</f>
        <v>MMR015CMP004</v>
      </c>
      <c r="EQ108" s="969" t="str">
        <f t="shared" si="3"/>
        <v>Covered</v>
      </c>
      <c r="ER108" s="969" t="s">
        <v>3147</v>
      </c>
      <c r="ES108" s="964">
        <f>VLOOKUP(WWWW[[#This Row],[Site Name]],SiteDB6[[Site Name]:[Pop
(Kachin/Shan-CCCM as of March 2023)]],16,FALSE)</f>
        <v>89</v>
      </c>
      <c r="ET108" s="964">
        <f>VLOOKUP(WWWW[[#This Row],[Site Name]],SiteDB6[[Site Name]:[Pop
(Kachin/Shan-CCCM as of March 2023)]],17,FALSE)</f>
        <v>405</v>
      </c>
    </row>
    <row r="109" spans="1:150" hidden="1">
      <c r="A109" s="962" t="s">
        <v>2977</v>
      </c>
      <c r="B109" s="962" t="s">
        <v>192</v>
      </c>
      <c r="C109" s="963" t="s">
        <v>192</v>
      </c>
      <c r="D109" s="963" t="s">
        <v>2648</v>
      </c>
      <c r="E109" s="963" t="s">
        <v>515</v>
      </c>
      <c r="F109" s="963" t="s">
        <v>516</v>
      </c>
      <c r="G109" s="964" t="str">
        <f>VLOOKUP(WWWW[[#This Row],[Site Name]],SiteDB6[[Site Name]:[Location Type]],8,FALSE)</f>
        <v>Camp</v>
      </c>
      <c r="H109" s="963" t="s">
        <v>562</v>
      </c>
      <c r="I109" s="965">
        <v>64</v>
      </c>
      <c r="J109" s="965">
        <v>323</v>
      </c>
      <c r="K109" s="966">
        <v>44511</v>
      </c>
      <c r="L109" s="967">
        <v>44926</v>
      </c>
      <c r="M109" s="965"/>
      <c r="N109" s="965">
        <v>1</v>
      </c>
      <c r="O109" s="965">
        <v>1</v>
      </c>
      <c r="P109" s="965"/>
      <c r="Q109" s="968" t="s">
        <v>41</v>
      </c>
      <c r="R109" s="965"/>
      <c r="S109" s="965"/>
      <c r="T109" s="445"/>
      <c r="U109" s="965"/>
      <c r="V109" s="965"/>
      <c r="W109" s="965"/>
      <c r="X109" s="965">
        <v>1</v>
      </c>
      <c r="Y109" s="965"/>
      <c r="Z109" s="965"/>
      <c r="AA109" s="965"/>
      <c r="AB109" s="965"/>
      <c r="AC109" s="965"/>
      <c r="AD109" s="965"/>
      <c r="AE109" s="965"/>
      <c r="AF109" s="965"/>
      <c r="AG109" s="965"/>
      <c r="AH109" s="965"/>
      <c r="AI109" s="965"/>
      <c r="AJ109" s="965"/>
      <c r="AK109" s="965"/>
      <c r="AL109" s="965"/>
      <c r="AM109" s="965"/>
      <c r="AN109" s="965"/>
      <c r="AO109" s="445"/>
      <c r="AP109" s="969"/>
      <c r="AQ109" s="965">
        <v>10</v>
      </c>
      <c r="AR109" s="965"/>
      <c r="AS109" s="970"/>
      <c r="AT109" s="965"/>
      <c r="AU109" s="965"/>
      <c r="AV109" s="965"/>
      <c r="AW109" s="965"/>
      <c r="AX109" s="965"/>
      <c r="AY109" s="964" t="s">
        <v>140</v>
      </c>
      <c r="AZ109" s="969" t="s">
        <v>140</v>
      </c>
      <c r="BA109" s="965"/>
      <c r="BB109" s="965"/>
      <c r="BC109" s="965"/>
      <c r="BD109" s="445"/>
      <c r="BE109" s="445"/>
      <c r="BF109" s="964"/>
      <c r="BG109" s="965">
        <v>7</v>
      </c>
      <c r="BH109" s="965"/>
      <c r="BI109" s="965"/>
      <c r="BJ109" s="965">
        <v>7</v>
      </c>
      <c r="BK109" s="965"/>
      <c r="BL109" s="965"/>
      <c r="BM109" s="965"/>
      <c r="BN109" s="965"/>
      <c r="BO109" s="965"/>
      <c r="BP109" s="964" t="s">
        <v>41</v>
      </c>
      <c r="BQ109" s="971"/>
      <c r="BR109" s="970"/>
      <c r="BS109" s="964"/>
      <c r="BT109" s="420"/>
      <c r="BU109" s="420"/>
      <c r="BV109" s="422"/>
      <c r="BW109" s="420"/>
      <c r="BX109" s="445"/>
      <c r="BY109" s="445"/>
      <c r="BZ109" s="445"/>
      <c r="CA109" s="445"/>
      <c r="CB109" s="445"/>
      <c r="CC109" s="702"/>
      <c r="CD109" s="445"/>
      <c r="CE109" s="972" t="str">
        <f>IFERROR(WWWW[[#This Row],['#_Water sources passed]]/WWWW[[#This Row],['#_Water sources tested for fecal coliform ]],"no test")</f>
        <v>no test</v>
      </c>
      <c r="CF109" s="970" t="str">
        <f>IFERROR(WWWW[[#This Row],['#_Household passed]]/WWWW[[#This Row],['#_Household water samples tested for fecal coliform]],"no test")</f>
        <v>no test</v>
      </c>
      <c r="CG109" s="971" t="str">
        <f>IF(AND(WWWW[[#This Row],[% of water sources passed]]="no test",WWWW[[#This Row],[% Household passed]]="no test"),"No Test","Tested")</f>
        <v>No Test</v>
      </c>
      <c r="CH109" s="971">
        <f>WWWW[[#This Row],['#_Constructed/existing protected hand dug well]]-WWWW[[#This Row],['#_Non-functional protected hand dug well]]</f>
        <v>0</v>
      </c>
      <c r="CI109" s="971">
        <f>(WWWW[[#This Row],['#_Constructed/Existing tube wells/boreholes/handpumps_WASH_agency]]+WWWW[[#This Row],['#_Non-Cluster partner water tube-wells/boreholes/handpumps]])-WWWW[[#This Row],['#_Non-functional tube wells/boreholes/handpumps]]</f>
        <v>1</v>
      </c>
      <c r="CJ109" s="971">
        <f>WWWW[[#This Row],['#_Constructed/Existingwater storage tank with gravity fed reticulation system]]-WWWW[[#This Row],['#_Non-functional storage tank gravity fed reticulation system]]</f>
        <v>0</v>
      </c>
      <c r="CK109" s="971">
        <f>(WWWW[[#This Row],['#_Water_Liters_supplied_by_Water boating or water trucking]]/90)/15</f>
        <v>0</v>
      </c>
      <c r="CL109" s="971">
        <f>WWWW[[#This Row],['#_Water_Liters_from_Constructed/Existing water distribution system from river or natural spring]]/90/15</f>
        <v>0</v>
      </c>
      <c r="CM109" s="421">
        <f>IF(WWWW[[#This Row],['#_of water points in TLS/CFS]]*500&gt;WWWW[[#This Row],[Total PoP ]],WWWW[[#This Row],[Total PoP ]],WWWW[[#This Row],['#_of water points in TLS/CFS]]*500)</f>
        <v>0</v>
      </c>
      <c r="CN109" s="421">
        <f>IF(WWWW[[#This Row],['#_of water points in THF]]*500&gt;WWWW[[#This Row],[Total PoP ]],WWWW[[#This Row],[Total PoP ]],WWWW[[#This Row],['#_of water points in THF]]*500)</f>
        <v>0</v>
      </c>
      <c r="CO109" s="421"/>
      <c r="CP10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R109" s="970">
        <f>IF(WWWW[[#This Row],[Location Type 1]]="Village",WWWW[[#This Row],[Access to safe drinking water for Village]],WWWW[[#This Row],[Access to safe drinking water for Camp]])</f>
        <v>1</v>
      </c>
      <c r="CS109" s="968">
        <f>WWWW[[#This Row],[%Equitable and continuous access to sufficient quantity of safe drinking water]]*WWWW[[#This Row],[Total PoP ]]</f>
        <v>323</v>
      </c>
      <c r="CT109" s="970">
        <f>IF((WWWW[[#This Row],['#_Constructed/Existing protected/fenced ponds]]*250)/WWWW[[#This Row],[Total PoP ]]&gt;1,1,(WWWW[[#This Row],['#_Constructed/Existing protected/fenced ponds]]*250)/WWWW[[#This Row],[Total PoP ]])</f>
        <v>0</v>
      </c>
      <c r="CU109" s="968">
        <f>WWWW[[#This Row],[% Access to unimproved water points]]*WWWW[[#This Row],[Total PoP ]]</f>
        <v>0</v>
      </c>
      <c r="CV10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X109" s="968">
        <f>WWWW[[#This Row],[HRP1]]/500</f>
        <v>0.64600000000000002</v>
      </c>
      <c r="CY109" s="973">
        <f>1-WWWW[[#This Row],[% Equitable and continuous access to sufficient quantity of domestic water]]</f>
        <v>0</v>
      </c>
      <c r="CZ109" s="968">
        <f>WWWW[[#This Row],[%equitable and continuous access to sufficient quantity of safe drinking and domestic water''s GAP]]*WWWW[[#This Row],[Total PoP ]]</f>
        <v>0</v>
      </c>
      <c r="DA109" s="971">
        <f>IF(WWWW[[#This Row],[Total required water points]]-WWWW[[#This Row],['#Water points coverage]]&lt;0,0,WWWW[[#This Row],[Total required water points]]-WWWW[[#This Row],['#Water points coverage]])</f>
        <v>0.35399999999999998</v>
      </c>
      <c r="DB109" s="971">
        <f>ROUND(IF(WWWW[[#This Row],[Total PoP ]]&lt;500,1,WWWW[[#This Row],[Total PoP ]]/500),0)</f>
        <v>1</v>
      </c>
      <c r="DC109" s="971">
        <f>(WWWW[[#This Row],['#_Constructed latrines_by_WASHAgencies]]+WWWW[[#This Row],['#_Non Cluster partner latrines]])-WWWW[[#This Row],['#_Non-functional latrines]]</f>
        <v>10</v>
      </c>
      <c r="DD109" s="619">
        <f>WWWW[[#This Row],[HRP2]]/WWWW[[#This Row],[Total PoP ]]</f>
        <v>0.61919504643962853</v>
      </c>
      <c r="DE10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10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9" s="421">
        <f>IF(WWWW[[#This Row],['# of functional latrines in THF supported by WASH partners during the reporting period2]]="",0,WWWW[[#This Row],['# of functional latrines in THF supported by WASH partners during the reporting period2]]*50)</f>
        <v>0</v>
      </c>
      <c r="DI109" s="971">
        <f>ROUND(IF(WWWW[[#This Row],[Location Type 1]]="camp",WWWW[[#This Row],[Total PoP ]]/20,IF(WWWW[[#This Row],[Location Type 1]]="Temporary Location",WWWW[[#This Row],[Total PoP ]]/50,(WWWW[[#This Row],[Total PoP ]]/6))),0)</f>
        <v>16</v>
      </c>
      <c r="DJ109" s="971">
        <f>IF(WWWW[[#This Row],[Total required Latrines]]-(WWWW[[#This Row],['#_Constructed latrines_by_WASHAgencies]]+WWWW[[#This Row],['#_Non Cluster partner latrines]])&lt;0,0,WWWW[[#This Row],[Total required Latrines]]-(WWWW[[#This Row],['#_Constructed latrines_by_WASHAgencies]]+WWWW[[#This Row],['#_Non Cluster partner latrines]]))</f>
        <v>6</v>
      </c>
      <c r="DK109" s="973">
        <f>1-WWWW[[#This Row],[% people access to functioning Latrine]]</f>
        <v>0.38080495356037147</v>
      </c>
      <c r="DL109" s="972">
        <f>IF(OR(WWWW[[#This Row],['#_Non-functional latrines]]="",WWWW[[#This Row],['#_Non-functional latrines]]=0),0,WWWW[[#This Row],['#_Non-functional latrines]]/(WWWW[[#This Row],['#_Constructed latrines_by_WASHAgencies]]+WWWW[[#This Row],['#_Non Cluster partner latrines]]))</f>
        <v>0</v>
      </c>
      <c r="DM109" s="968">
        <f>IF(500*(WWWW[[#This Row],['#_male hygiene promoters]]+WWWW[[#This Row],['#_female hygiene promoters]])&gt;WWWW[[#This Row],[Total PoP ]],WWWW[[#This Row],[Total PoP ]],500*(WWWW[[#This Row],['#_male hygiene promoters]]+WWWW[[#This Row],['#_female hygiene promoters]]))</f>
        <v>0</v>
      </c>
      <c r="DN10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9" s="971">
        <f>IF(WWWW[[#This Row],['# People with access to soap]]&gt;WWWW[[#This Row],['# People with access to Sanity Pads]],WWWW[[#This Row],['# People with access to soap]],WWWW[[#This Row],['# People with access to Sanity Pads]])</f>
        <v>0</v>
      </c>
      <c r="DQ10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9" s="973">
        <f>IF(WWWW[[#This Row],[HRP3]]/WWWW[[#This Row],[Total PoP ]]&gt;1,1,WWWW[[#This Row],[HRP3]]/WWWW[[#This Row],[Total PoP ]])</f>
        <v>0</v>
      </c>
      <c r="DS109" s="972">
        <f>1-WWWW[[#This Row],[Hygiene Coverage%]]</f>
        <v>1</v>
      </c>
      <c r="DT109" s="970">
        <f>WWWW[[#This Row],['# people reached by regular dedicated hygiene promotion_5]]/WWWW[[#This Row],[Total PoP ]]</f>
        <v>0</v>
      </c>
      <c r="DU10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9" s="971">
        <f>WWWW[[#This Row],['#_Constructed/Existing hand washing stations]]-WWWW[[#This Row],['#_Non-Functional_hand_washing_stations]]</f>
        <v>7</v>
      </c>
      <c r="DX109" s="968">
        <f>IF(WWWW[[#This Row],['# Functional hand washing stations during reporting period]]*20&gt;WWWW[[#This Row],[Total HH]],WWWW[[#This Row],[Total HH]],WWWW[[#This Row],['# Functional hand washing stations during reporting period]]*20)</f>
        <v>64</v>
      </c>
      <c r="DY109" s="968">
        <f>IF(WWWW[[#This Row],[Is sufficient soap available for TLS? (Yes/No)]]="yes",WWWW[[#This Row],['#_Constructed/Existing hand washing stations at TLS/CFS/THF]],0)</f>
        <v>0</v>
      </c>
      <c r="DZ109" s="425">
        <f>IF(WWWW[[#This Row],['# Functional hand washing stations during reporting period]]*100&gt;WWWW[[#This Row],[Total PoP ]],WWWW[[#This Row],[Total PoP ]],WWWW[[#This Row],['# Functional hand washing stations during reporting period]]*100)</f>
        <v>323</v>
      </c>
      <c r="EA109" s="425" t="str">
        <f>IF(OR(WWWW[[#This Row],['#_students at TLS_CFS]]="",WWWW[[#This Row],['#_students at TLS_CFS]]=0),"No","Yes")</f>
        <v>No</v>
      </c>
      <c r="EB10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9" s="570">
        <f>WWWW[[#This Row],[%_of_affected_people_surveyed_who_report_feeling_satistfied_with_the_latrine_design_and_sanitation_service]]*WWWW[[#This Row],[Total PoP ]]</f>
        <v>0</v>
      </c>
      <c r="ED109" s="570">
        <f>WWWW[[#This Row],[%_of_affected_people_surveyed_who_report_feeling_satistfied_with_the_water_point_design_and_water_service]]*WWWW[[#This Row],[Total PoP ]]</f>
        <v>0</v>
      </c>
      <c r="EE109" s="570">
        <f>WWWW[[#This Row],[%_of_complaints_received_that_result_in_timely_corrective_action_and_feedback_to_the_community]]*WWWW[[#This Row],[Total PoP ]]</f>
        <v>0</v>
      </c>
      <c r="EF10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9" s="964" t="str">
        <f>VLOOKUP(WWWW[[#This Row],[Site Name]],SiteDB6[[Site Name]:[CCCM Management]],6,FALSE)</f>
        <v>Yes</v>
      </c>
      <c r="EJ109" s="964" t="str">
        <f>VLOOKUP(WWWW[[#This Row],[Site Name]],SiteDB6[[Site Name]:[CCCM Focal Agency]],7,FALSE)</f>
        <v>KBC-NSS</v>
      </c>
      <c r="EK109" s="964" t="str">
        <f>VLOOKUP(WWWW[[#This Row],[Site Name]],SiteDB6[[Site Name]:[Location Type 1]],9,FALSE)</f>
        <v>Camp</v>
      </c>
      <c r="EL109" s="964" t="str">
        <f>VLOOKUP(WWWW[[#This Row],[Site Name]],SiteDB6[[Site Name]:[Type of Accommodation]],10,FALSE)</f>
        <v>Camp</v>
      </c>
      <c r="EM109" s="964" t="str">
        <f>VLOOKUP(WWWW[[#This Row],[Site Name]],SiteDB6[[Site Name]:[Ethnic or GCA/NGCA]],11,FALSE)</f>
        <v>GCA</v>
      </c>
      <c r="EN109" s="964">
        <f>VLOOKUP(WWWW[[#This Row],[Site Name]],SiteDB6[[Site Name]:[Lat]],12,FALSE)</f>
        <v>23.828520000000001</v>
      </c>
      <c r="EO109" s="964">
        <f>VLOOKUP(WWWW[[#This Row],[Site Name]],SiteDB6[[Site Name]:[Long]],13,FALSE)</f>
        <v>97.669557999999995</v>
      </c>
      <c r="EP109" s="964" t="str">
        <f>VLOOKUP(WWWW[[#This Row],[Site Name]],SiteDB6[[Site Name]:[Pcode]],3,FALSE)</f>
        <v>MMR015CMP001</v>
      </c>
      <c r="EQ109" s="969" t="str">
        <f t="shared" si="3"/>
        <v>Covered</v>
      </c>
      <c r="ER109" s="969" t="s">
        <v>3147</v>
      </c>
      <c r="ES109" s="964">
        <f>VLOOKUP(WWWW[[#This Row],[Site Name]],SiteDB6[[Site Name]:[Pop
(Kachin/Shan-CCCM as of March 2023)]],16,FALSE)</f>
        <v>72</v>
      </c>
      <c r="ET109" s="964">
        <f>VLOOKUP(WWWW[[#This Row],[Site Name]],SiteDB6[[Site Name]:[Pop
(Kachin/Shan-CCCM as of March 2023)]],17,FALSE)</f>
        <v>355</v>
      </c>
    </row>
    <row r="110" spans="1:150" hidden="1">
      <c r="A110" s="962" t="s">
        <v>2977</v>
      </c>
      <c r="B110" s="962" t="s">
        <v>192</v>
      </c>
      <c r="C110" s="963" t="s">
        <v>192</v>
      </c>
      <c r="D110" s="963" t="s">
        <v>2648</v>
      </c>
      <c r="E110" s="963" t="s">
        <v>515</v>
      </c>
      <c r="F110" s="963" t="s">
        <v>519</v>
      </c>
      <c r="G110" s="964" t="str">
        <f>VLOOKUP(WWWW[[#This Row],[Site Name]],SiteDB6[[Site Name]:[Location Type]],8,FALSE)</f>
        <v>Camp</v>
      </c>
      <c r="H110" s="963" t="s">
        <v>531</v>
      </c>
      <c r="I110" s="965">
        <v>54</v>
      </c>
      <c r="J110" s="965">
        <v>250</v>
      </c>
      <c r="K110" s="966">
        <v>44511</v>
      </c>
      <c r="L110" s="967">
        <v>44926</v>
      </c>
      <c r="M110" s="965"/>
      <c r="N110" s="965">
        <v>1</v>
      </c>
      <c r="O110" s="965"/>
      <c r="P110" s="965"/>
      <c r="Q110" s="968" t="s">
        <v>41</v>
      </c>
      <c r="R110" s="965">
        <v>5</v>
      </c>
      <c r="S110" s="965">
        <v>4</v>
      </c>
      <c r="T110" s="445"/>
      <c r="U110" s="965"/>
      <c r="V110" s="965"/>
      <c r="W110" s="965"/>
      <c r="X110" s="965"/>
      <c r="Y110" s="965"/>
      <c r="Z110" s="965"/>
      <c r="AA110" s="965">
        <v>12</v>
      </c>
      <c r="AB110" s="965"/>
      <c r="AC110" s="965"/>
      <c r="AD110" s="965"/>
      <c r="AE110" s="965"/>
      <c r="AF110" s="965"/>
      <c r="AG110" s="965"/>
      <c r="AH110" s="965">
        <v>1</v>
      </c>
      <c r="AI110" s="965"/>
      <c r="AJ110" s="965"/>
      <c r="AK110" s="965"/>
      <c r="AL110" s="965"/>
      <c r="AM110" s="965"/>
      <c r="AN110" s="965"/>
      <c r="AO110" s="445"/>
      <c r="AP110" s="969"/>
      <c r="AQ110" s="965">
        <v>18</v>
      </c>
      <c r="AR110" s="965"/>
      <c r="AS110" s="970"/>
      <c r="AT110" s="965"/>
      <c r="AU110" s="965"/>
      <c r="AV110" s="965"/>
      <c r="AW110" s="965"/>
      <c r="AX110" s="965"/>
      <c r="AY110" s="964" t="s">
        <v>41</v>
      </c>
      <c r="AZ110" s="969" t="s">
        <v>137</v>
      </c>
      <c r="BA110" s="965"/>
      <c r="BB110" s="965"/>
      <c r="BC110" s="965"/>
      <c r="BD110" s="445"/>
      <c r="BE110" s="445"/>
      <c r="BF110" s="964"/>
      <c r="BG110" s="965">
        <v>6</v>
      </c>
      <c r="BH110" s="965"/>
      <c r="BI110" s="965"/>
      <c r="BJ110" s="965">
        <v>1</v>
      </c>
      <c r="BK110" s="965"/>
      <c r="BL110" s="965"/>
      <c r="BM110" s="965">
        <v>2</v>
      </c>
      <c r="BN110" s="965"/>
      <c r="BO110" s="965"/>
      <c r="BP110" s="964" t="s">
        <v>41</v>
      </c>
      <c r="BQ110" s="971"/>
      <c r="BR110" s="970"/>
      <c r="BS110" s="964"/>
      <c r="BT110" s="420"/>
      <c r="BU110" s="420"/>
      <c r="BV110" s="422"/>
      <c r="BW110" s="420"/>
      <c r="BX110" s="445"/>
      <c r="BY110" s="445"/>
      <c r="BZ110" s="445"/>
      <c r="CA110" s="445"/>
      <c r="CB110" s="445"/>
      <c r="CC110" s="702"/>
      <c r="CD110" s="445"/>
      <c r="CE110" s="972" t="str">
        <f>IFERROR(WWWW[[#This Row],['#_Water sources passed]]/WWWW[[#This Row],['#_Water sources tested for fecal coliform ]],"no test")</f>
        <v>no test</v>
      </c>
      <c r="CF110" s="970" t="str">
        <f>IFERROR(WWWW[[#This Row],['#_Household passed]]/WWWW[[#This Row],['#_Household water samples tested for fecal coliform]],"no test")</f>
        <v>no test</v>
      </c>
      <c r="CG110" s="971" t="str">
        <f>IF(AND(WWWW[[#This Row],[% of water sources passed]]="no test",WWWW[[#This Row],[% Household passed]]="no test"),"No Test","Tested")</f>
        <v>No Test</v>
      </c>
      <c r="CH110" s="971">
        <f>WWWW[[#This Row],['#_Constructed/existing protected hand dug well]]-WWWW[[#This Row],['#_Non-functional protected hand dug well]]</f>
        <v>0</v>
      </c>
      <c r="CI110" s="971">
        <f>(WWWW[[#This Row],['#_Constructed/Existing tube wells/boreholes/handpumps_WASH_agency]]+WWWW[[#This Row],['#_Non-Cluster partner water tube-wells/boreholes/handpumps]])-WWWW[[#This Row],['#_Non-functional tube wells/boreholes/handpumps]]</f>
        <v>0</v>
      </c>
      <c r="CJ110" s="971">
        <f>WWWW[[#This Row],['#_Constructed/Existingwater storage tank with gravity fed reticulation system]]-WWWW[[#This Row],['#_Non-functional storage tank gravity fed reticulation system]]</f>
        <v>12</v>
      </c>
      <c r="CK110" s="971">
        <f>(WWWW[[#This Row],['#_Water_Liters_supplied_by_Water boating or water trucking]]/90)/15</f>
        <v>0</v>
      </c>
      <c r="CL110" s="971">
        <f>WWWW[[#This Row],['#_Water_Liters_from_Constructed/Existing water distribution system from river or natural spring]]/90/15</f>
        <v>0</v>
      </c>
      <c r="CM110" s="421">
        <f>IF(WWWW[[#This Row],['#_of water points in TLS/CFS]]*500&gt;WWWW[[#This Row],[Total PoP ]],WWWW[[#This Row],[Total PoP ]],WWWW[[#This Row],['#_of water points in TLS/CFS]]*500)</f>
        <v>0</v>
      </c>
      <c r="CN110" s="421">
        <f>IF(WWWW[[#This Row],['#_of water points in THF]]*500&gt;WWWW[[#This Row],[Total PoP ]],WWWW[[#This Row],[Total PoP ]],WWWW[[#This Row],['#_of water points in THF]]*500)</f>
        <v>0</v>
      </c>
      <c r="CO110" s="421"/>
      <c r="CP11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0" s="970">
        <f>IF(WWWW[[#This Row],[Location Type 1]]="Village",WWWW[[#This Row],[Access to safe drinking water for Village]],WWWW[[#This Row],[Access to safe drinking water for Camp]])</f>
        <v>1</v>
      </c>
      <c r="CS110" s="968">
        <f>WWWW[[#This Row],[%Equitable and continuous access to sufficient quantity of safe drinking water]]*WWWW[[#This Row],[Total PoP ]]</f>
        <v>250</v>
      </c>
      <c r="CT110" s="970">
        <f>IF((WWWW[[#This Row],['#_Constructed/Existing protected/fenced ponds]]*250)/WWWW[[#This Row],[Total PoP ]]&gt;1,1,(WWWW[[#This Row],['#_Constructed/Existing protected/fenced ponds]]*250)/WWWW[[#This Row],[Total PoP ]])</f>
        <v>0</v>
      </c>
      <c r="CU110" s="968">
        <f>WWWW[[#This Row],[% Access to unimproved water points]]*WWWW[[#This Row],[Total PoP ]]</f>
        <v>0</v>
      </c>
      <c r="CV11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110" s="968">
        <f>WWWW[[#This Row],[HRP1]]/500</f>
        <v>0.5</v>
      </c>
      <c r="CY110" s="973">
        <f>1-WWWW[[#This Row],[% Equitable and continuous access to sufficient quantity of domestic water]]</f>
        <v>0</v>
      </c>
      <c r="CZ110" s="968">
        <f>WWWW[[#This Row],[%equitable and continuous access to sufficient quantity of safe drinking and domestic water''s GAP]]*WWWW[[#This Row],[Total PoP ]]</f>
        <v>0</v>
      </c>
      <c r="DA110" s="971">
        <f>IF(WWWW[[#This Row],[Total required water points]]-WWWW[[#This Row],['#Water points coverage]]&lt;0,0,WWWW[[#This Row],[Total required water points]]-WWWW[[#This Row],['#Water points coverage]])</f>
        <v>0.5</v>
      </c>
      <c r="DB110" s="971">
        <f>ROUND(IF(WWWW[[#This Row],[Total PoP ]]&lt;500,1,WWWW[[#This Row],[Total PoP ]]/500),0)</f>
        <v>1</v>
      </c>
      <c r="DC110" s="971">
        <f>(WWWW[[#This Row],['#_Constructed latrines_by_WASHAgencies]]+WWWW[[#This Row],['#_Non Cluster partner latrines]])-WWWW[[#This Row],['#_Non-functional latrines]]</f>
        <v>18</v>
      </c>
      <c r="DD110" s="619">
        <f>WWWW[[#This Row],[HRP2]]/WWWW[[#This Row],[Total PoP ]]</f>
        <v>1</v>
      </c>
      <c r="DE11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v>
      </c>
      <c r="DF11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0" s="421">
        <f>IF(WWWW[[#This Row],['# of functional latrines in THF supported by WASH partners during the reporting period2]]="",0,WWWW[[#This Row],['# of functional latrines in THF supported by WASH partners during the reporting period2]]*50)</f>
        <v>0</v>
      </c>
      <c r="DI110" s="971">
        <f>ROUND(IF(WWWW[[#This Row],[Location Type 1]]="camp",WWWW[[#This Row],[Total PoP ]]/20,IF(WWWW[[#This Row],[Location Type 1]]="Temporary Location",WWWW[[#This Row],[Total PoP ]]/50,(WWWW[[#This Row],[Total PoP ]]/6))),0)</f>
        <v>13</v>
      </c>
      <c r="DJ110" s="971">
        <f>IF(WWWW[[#This Row],[Total required Latrines]]-(WWWW[[#This Row],['#_Constructed latrines_by_WASHAgencies]]+WWWW[[#This Row],['#_Non Cluster partner latrines]])&lt;0,0,WWWW[[#This Row],[Total required Latrines]]-(WWWW[[#This Row],['#_Constructed latrines_by_WASHAgencies]]+WWWW[[#This Row],['#_Non Cluster partner latrines]]))</f>
        <v>0</v>
      </c>
      <c r="DK110" s="973">
        <f>1-WWWW[[#This Row],[% people access to functioning Latrine]]</f>
        <v>0</v>
      </c>
      <c r="DL110" s="972">
        <f>IF(OR(WWWW[[#This Row],['#_Non-functional latrines]]="",WWWW[[#This Row],['#_Non-functional latrines]]=0),0,WWWW[[#This Row],['#_Non-functional latrines]]/(WWWW[[#This Row],['#_Constructed latrines_by_WASHAgencies]]+WWWW[[#This Row],['#_Non Cluster partner latrines]]))</f>
        <v>0</v>
      </c>
      <c r="DM110" s="968">
        <f>IF(500*(WWWW[[#This Row],['#_male hygiene promoters]]+WWWW[[#This Row],['#_female hygiene promoters]])&gt;WWWW[[#This Row],[Total PoP ]],WWWW[[#This Row],[Total PoP ]],500*(WWWW[[#This Row],['#_male hygiene promoters]]+WWWW[[#This Row],['#_female hygiene promoters]]))</f>
        <v>250</v>
      </c>
      <c r="DN11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0" s="971">
        <f>IF(WWWW[[#This Row],['# People with access to soap]]&gt;WWWW[[#This Row],['# People with access to Sanity Pads]],WWWW[[#This Row],['# People with access to soap]],WWWW[[#This Row],['# People with access to Sanity Pads]])</f>
        <v>0</v>
      </c>
      <c r="DQ110" s="971">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R110" s="973">
        <f>IF(WWWW[[#This Row],[HRP3]]/WWWW[[#This Row],[Total PoP ]]&gt;1,1,WWWW[[#This Row],[HRP3]]/WWWW[[#This Row],[Total PoP ]])</f>
        <v>1</v>
      </c>
      <c r="DS110" s="972">
        <f>1-WWWW[[#This Row],[Hygiene Coverage%]]</f>
        <v>0</v>
      </c>
      <c r="DT110" s="970">
        <f>WWWW[[#This Row],['# people reached by regular dedicated hygiene promotion_5]]/WWWW[[#This Row],[Total PoP ]]</f>
        <v>1</v>
      </c>
      <c r="DU11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0" s="971">
        <f>WWWW[[#This Row],['#_Constructed/Existing hand washing stations]]-WWWW[[#This Row],['#_Non-Functional_hand_washing_stations]]</f>
        <v>6</v>
      </c>
      <c r="DX110" s="968">
        <f>IF(WWWW[[#This Row],['# Functional hand washing stations during reporting period]]*20&gt;WWWW[[#This Row],[Total HH]],WWWW[[#This Row],[Total HH]],WWWW[[#This Row],['# Functional hand washing stations during reporting period]]*20)</f>
        <v>54</v>
      </c>
      <c r="DY110" s="968">
        <f>IF(WWWW[[#This Row],[Is sufficient soap available for TLS? (Yes/No)]]="yes",WWWW[[#This Row],['#_Constructed/Existing hand washing stations at TLS/CFS/THF]],0)</f>
        <v>0</v>
      </c>
      <c r="DZ110" s="425">
        <f>IF(WWWW[[#This Row],['# Functional hand washing stations during reporting period]]*100&gt;WWWW[[#This Row],[Total PoP ]],WWWW[[#This Row],[Total PoP ]],WWWW[[#This Row],['# Functional hand washing stations during reporting period]]*100)</f>
        <v>250</v>
      </c>
      <c r="EA110" s="425" t="str">
        <f>IF(OR(WWWW[[#This Row],['#_students at TLS_CFS]]="",WWWW[[#This Row],['#_students at TLS_CFS]]=0),"No","Yes")</f>
        <v>No</v>
      </c>
      <c r="EB11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0" s="570">
        <f>WWWW[[#This Row],[%_of_affected_people_surveyed_who_report_feeling_satistfied_with_the_latrine_design_and_sanitation_service]]*WWWW[[#This Row],[Total PoP ]]</f>
        <v>0</v>
      </c>
      <c r="ED110" s="570">
        <f>WWWW[[#This Row],[%_of_affected_people_surveyed_who_report_feeling_satistfied_with_the_water_point_design_and_water_service]]*WWWW[[#This Row],[Total PoP ]]</f>
        <v>0</v>
      </c>
      <c r="EE110" s="570">
        <f>WWWW[[#This Row],[%_of_complaints_received_that_result_in_timely_corrective_action_and_feedback_to_the_community]]*WWWW[[#This Row],[Total PoP ]]</f>
        <v>0</v>
      </c>
      <c r="EF11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0" s="964" t="str">
        <f>VLOOKUP(WWWW[[#This Row],[Site Name]],SiteDB6[[Site Name]:[CCCM Management]],6,FALSE)</f>
        <v>Yes</v>
      </c>
      <c r="EJ110" s="964" t="str">
        <f>VLOOKUP(WWWW[[#This Row],[Site Name]],SiteDB6[[Site Name]:[CCCM Focal Agency]],7,FALSE)</f>
        <v>KBC-NSS</v>
      </c>
      <c r="EK110" s="964" t="str">
        <f>VLOOKUP(WWWW[[#This Row],[Site Name]],SiteDB6[[Site Name]:[Location Type 1]],9,FALSE)</f>
        <v>Camp</v>
      </c>
      <c r="EL110" s="964" t="str">
        <f>VLOOKUP(WWWW[[#This Row],[Site Name]],SiteDB6[[Site Name]:[Type of Accommodation]],10,FALSE)</f>
        <v>Camp</v>
      </c>
      <c r="EM110" s="964" t="str">
        <f>VLOOKUP(WWWW[[#This Row],[Site Name]],SiteDB6[[Site Name]:[Ethnic or GCA/NGCA]],11,FALSE)</f>
        <v>GCA</v>
      </c>
      <c r="EN110" s="964">
        <f>VLOOKUP(WWWW[[#This Row],[Site Name]],SiteDB6[[Site Name]:[Lat]],12,FALSE)</f>
        <v>23.694130000000001</v>
      </c>
      <c r="EO110" s="964">
        <f>VLOOKUP(WWWW[[#This Row],[Site Name]],SiteDB6[[Site Name]:[Long]],13,FALSE)</f>
        <v>97.818979999999996</v>
      </c>
      <c r="EP110" s="964" t="str">
        <f>VLOOKUP(WWWW[[#This Row],[Site Name]],SiteDB6[[Site Name]:[Pcode]],3,FALSE)</f>
        <v>MMR015CMP007</v>
      </c>
      <c r="EQ110" s="969" t="str">
        <f t="shared" si="3"/>
        <v>Covered</v>
      </c>
      <c r="ER110" s="969" t="s">
        <v>3147</v>
      </c>
      <c r="ES110" s="964">
        <f>VLOOKUP(WWWW[[#This Row],[Site Name]],SiteDB6[[Site Name]:[Pop
(Kachin/Shan-CCCM as of March 2023)]],16,FALSE)</f>
        <v>57</v>
      </c>
      <c r="ET110" s="964">
        <f>VLOOKUP(WWWW[[#This Row],[Site Name]],SiteDB6[[Site Name]:[Pop
(Kachin/Shan-CCCM as of March 2023)]],17,FALSE)</f>
        <v>300</v>
      </c>
    </row>
    <row r="111" spans="1:150" hidden="1">
      <c r="A111" s="962" t="s">
        <v>2977</v>
      </c>
      <c r="B111" s="962" t="s">
        <v>192</v>
      </c>
      <c r="C111" s="963" t="s">
        <v>192</v>
      </c>
      <c r="D111" s="963" t="s">
        <v>2648</v>
      </c>
      <c r="E111" s="963" t="s">
        <v>515</v>
      </c>
      <c r="F111" s="963" t="s">
        <v>534</v>
      </c>
      <c r="G111" s="964" t="str">
        <f>VLOOKUP(WWWW[[#This Row],[Site Name]],SiteDB6[[Site Name]:[Location Type]],8,FALSE)</f>
        <v>Camp</v>
      </c>
      <c r="H111" s="963" t="s">
        <v>535</v>
      </c>
      <c r="I111" s="965">
        <v>40</v>
      </c>
      <c r="J111" s="965">
        <v>206</v>
      </c>
      <c r="K111" s="966">
        <v>44511</v>
      </c>
      <c r="L111" s="967">
        <v>44926</v>
      </c>
      <c r="M111" s="965"/>
      <c r="N111" s="965"/>
      <c r="O111" s="965">
        <v>1</v>
      </c>
      <c r="P111" s="965"/>
      <c r="Q111" s="968" t="s">
        <v>41</v>
      </c>
      <c r="R111" s="965"/>
      <c r="S111" s="965">
        <v>5</v>
      </c>
      <c r="T111" s="445">
        <v>4</v>
      </c>
      <c r="U111" s="965"/>
      <c r="V111" s="965"/>
      <c r="W111" s="965">
        <v>1</v>
      </c>
      <c r="X111" s="965"/>
      <c r="Y111" s="965"/>
      <c r="Z111" s="965"/>
      <c r="AA111" s="965"/>
      <c r="AB111" s="965"/>
      <c r="AC111" s="965"/>
      <c r="AD111" s="965"/>
      <c r="AE111" s="965"/>
      <c r="AF111" s="965"/>
      <c r="AG111" s="965"/>
      <c r="AH111" s="965"/>
      <c r="AI111" s="965"/>
      <c r="AJ111" s="965"/>
      <c r="AK111" s="965"/>
      <c r="AL111" s="965"/>
      <c r="AM111" s="965"/>
      <c r="AN111" s="965"/>
      <c r="AO111" s="445"/>
      <c r="AP111" s="969"/>
      <c r="AQ111" s="965">
        <v>6</v>
      </c>
      <c r="AR111" s="965">
        <v>10</v>
      </c>
      <c r="AS111" s="970"/>
      <c r="AT111" s="965"/>
      <c r="AU111" s="965"/>
      <c r="AV111" s="965"/>
      <c r="AW111" s="965"/>
      <c r="AX111" s="965"/>
      <c r="AY111" s="964" t="s">
        <v>41</v>
      </c>
      <c r="AZ111" s="969" t="s">
        <v>137</v>
      </c>
      <c r="BA111" s="965"/>
      <c r="BB111" s="965"/>
      <c r="BC111" s="965"/>
      <c r="BD111" s="445"/>
      <c r="BE111" s="445"/>
      <c r="BF111" s="964"/>
      <c r="BG111" s="965"/>
      <c r="BH111" s="965"/>
      <c r="BI111" s="965"/>
      <c r="BJ111" s="965">
        <v>2</v>
      </c>
      <c r="BK111" s="965"/>
      <c r="BL111" s="965"/>
      <c r="BM111" s="965">
        <v>1</v>
      </c>
      <c r="BN111" s="965"/>
      <c r="BO111" s="965"/>
      <c r="BP111" s="964" t="s">
        <v>41</v>
      </c>
      <c r="BQ111" s="971"/>
      <c r="BR111" s="970"/>
      <c r="BS111" s="964"/>
      <c r="BT111" s="420"/>
      <c r="BU111" s="420"/>
      <c r="BV111" s="422"/>
      <c r="BW111" s="420"/>
      <c r="BX111" s="445"/>
      <c r="BY111" s="445"/>
      <c r="BZ111" s="445"/>
      <c r="CA111" s="445"/>
      <c r="CB111" s="445"/>
      <c r="CC111" s="702"/>
      <c r="CD111" s="445"/>
      <c r="CE111" s="972" t="str">
        <f>IFERROR(WWWW[[#This Row],['#_Water sources passed]]/WWWW[[#This Row],['#_Water sources tested for fecal coliform ]],"no test")</f>
        <v>no test</v>
      </c>
      <c r="CF111" s="970" t="str">
        <f>IFERROR(WWWW[[#This Row],['#_Household passed]]/WWWW[[#This Row],['#_Household water samples tested for fecal coliform]],"no test")</f>
        <v>no test</v>
      </c>
      <c r="CG111" s="971" t="str">
        <f>IF(AND(WWWW[[#This Row],[% of water sources passed]]="no test",WWWW[[#This Row],[% Household passed]]="no test"),"No Test","Tested")</f>
        <v>No Test</v>
      </c>
      <c r="CH111" s="971">
        <f>WWWW[[#This Row],['#_Constructed/existing protected hand dug well]]-WWWW[[#This Row],['#_Non-functional protected hand dug well]]</f>
        <v>4</v>
      </c>
      <c r="CI111" s="971">
        <f>(WWWW[[#This Row],['#_Constructed/Existing tube wells/boreholes/handpumps_WASH_agency]]+WWWW[[#This Row],['#_Non-Cluster partner water tube-wells/boreholes/handpumps]])-WWWW[[#This Row],['#_Non-functional tube wells/boreholes/handpumps]]</f>
        <v>1</v>
      </c>
      <c r="CJ111" s="971">
        <f>WWWW[[#This Row],['#_Constructed/Existingwater storage tank with gravity fed reticulation system]]-WWWW[[#This Row],['#_Non-functional storage tank gravity fed reticulation system]]</f>
        <v>0</v>
      </c>
      <c r="CK111" s="971">
        <f>(WWWW[[#This Row],['#_Water_Liters_supplied_by_Water boating or water trucking]]/90)/15</f>
        <v>0</v>
      </c>
      <c r="CL111" s="971">
        <f>WWWW[[#This Row],['#_Water_Liters_from_Constructed/Existing water distribution system from river or natural spring]]/90/15</f>
        <v>0</v>
      </c>
      <c r="CM111" s="421">
        <f>IF(WWWW[[#This Row],['#_of water points in TLS/CFS]]*500&gt;WWWW[[#This Row],[Total PoP ]],WWWW[[#This Row],[Total PoP ]],WWWW[[#This Row],['#_of water points in TLS/CFS]]*500)</f>
        <v>0</v>
      </c>
      <c r="CN111" s="421">
        <f>IF(WWWW[[#This Row],['#_of water points in THF]]*500&gt;WWWW[[#This Row],[Total PoP ]],WWWW[[#This Row],[Total PoP ]],WWWW[[#This Row],['#_of water points in THF]]*500)</f>
        <v>0</v>
      </c>
      <c r="CO111" s="421"/>
      <c r="CP11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1" s="970">
        <f>IF(WWWW[[#This Row],[Location Type 1]]="Village",WWWW[[#This Row],[Access to safe drinking water for Village]],WWWW[[#This Row],[Access to safe drinking water for Camp]])</f>
        <v>1</v>
      </c>
      <c r="CS111" s="968">
        <f>WWWW[[#This Row],[%Equitable and continuous access to sufficient quantity of safe drinking water]]*WWWW[[#This Row],[Total PoP ]]</f>
        <v>206</v>
      </c>
      <c r="CT111" s="970">
        <f>IF((WWWW[[#This Row],['#_Constructed/Existing protected/fenced ponds]]*250)/WWWW[[#This Row],[Total PoP ]]&gt;1,1,(WWWW[[#This Row],['#_Constructed/Existing protected/fenced ponds]]*250)/WWWW[[#This Row],[Total PoP ]])</f>
        <v>0</v>
      </c>
      <c r="CU111" s="968">
        <f>WWWW[[#This Row],[% Access to unimproved water points]]*WWWW[[#This Row],[Total PoP ]]</f>
        <v>0</v>
      </c>
      <c r="CV11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X111" s="968">
        <f>WWWW[[#This Row],[HRP1]]/500</f>
        <v>0.41199999999999998</v>
      </c>
      <c r="CY111" s="973">
        <f>1-WWWW[[#This Row],[% Equitable and continuous access to sufficient quantity of domestic water]]</f>
        <v>0</v>
      </c>
      <c r="CZ111" s="968">
        <f>WWWW[[#This Row],[%equitable and continuous access to sufficient quantity of safe drinking and domestic water''s GAP]]*WWWW[[#This Row],[Total PoP ]]</f>
        <v>0</v>
      </c>
      <c r="DA111" s="971">
        <f>IF(WWWW[[#This Row],[Total required water points]]-WWWW[[#This Row],['#Water points coverage]]&lt;0,0,WWWW[[#This Row],[Total required water points]]-WWWW[[#This Row],['#Water points coverage]])</f>
        <v>0.58800000000000008</v>
      </c>
      <c r="DB111" s="971">
        <f>ROUND(IF(WWWW[[#This Row],[Total PoP ]]&lt;500,1,WWWW[[#This Row],[Total PoP ]]/500),0)</f>
        <v>1</v>
      </c>
      <c r="DC111" s="971">
        <f>(WWWW[[#This Row],['#_Constructed latrines_by_WASHAgencies]]+WWWW[[#This Row],['#_Non Cluster partner latrines]])-WWWW[[#This Row],['#_Non-functional latrines]]</f>
        <v>16</v>
      </c>
      <c r="DD111" s="619">
        <f>WWWW[[#This Row],[HRP2]]/WWWW[[#This Row],[Total PoP ]]</f>
        <v>1</v>
      </c>
      <c r="DE11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206</v>
      </c>
      <c r="DF11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1" s="421">
        <f>IF(WWWW[[#This Row],['# of functional latrines in THF supported by WASH partners during the reporting period2]]="",0,WWWW[[#This Row],['# of functional latrines in THF supported by WASH partners during the reporting period2]]*50)</f>
        <v>0</v>
      </c>
      <c r="DI111" s="971">
        <f>ROUND(IF(WWWW[[#This Row],[Location Type 1]]="camp",WWWW[[#This Row],[Total PoP ]]/20,IF(WWWW[[#This Row],[Location Type 1]]="Temporary Location",WWWW[[#This Row],[Total PoP ]]/50,(WWWW[[#This Row],[Total PoP ]]/6))),0)</f>
        <v>10</v>
      </c>
      <c r="DJ111" s="971">
        <f>IF(WWWW[[#This Row],[Total required Latrines]]-(WWWW[[#This Row],['#_Constructed latrines_by_WASHAgencies]]+WWWW[[#This Row],['#_Non Cluster partner latrines]])&lt;0,0,WWWW[[#This Row],[Total required Latrines]]-(WWWW[[#This Row],['#_Constructed latrines_by_WASHAgencies]]+WWWW[[#This Row],['#_Non Cluster partner latrines]]))</f>
        <v>0</v>
      </c>
      <c r="DK111" s="973">
        <f>1-WWWW[[#This Row],[% people access to functioning Latrine]]</f>
        <v>0</v>
      </c>
      <c r="DL111" s="972">
        <f>IF(OR(WWWW[[#This Row],['#_Non-functional latrines]]="",WWWW[[#This Row],['#_Non-functional latrines]]=0),0,WWWW[[#This Row],['#_Non-functional latrines]]/(WWWW[[#This Row],['#_Constructed latrines_by_WASHAgencies]]+WWWW[[#This Row],['#_Non Cluster partner latrines]]))</f>
        <v>0</v>
      </c>
      <c r="DM111" s="968">
        <f>IF(500*(WWWW[[#This Row],['#_male hygiene promoters]]+WWWW[[#This Row],['#_female hygiene promoters]])&gt;WWWW[[#This Row],[Total PoP ]],WWWW[[#This Row],[Total PoP ]],500*(WWWW[[#This Row],['#_male hygiene promoters]]+WWWW[[#This Row],['#_female hygiene promoters]]))</f>
        <v>206</v>
      </c>
      <c r="DN11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1" s="971">
        <f>IF(WWWW[[#This Row],['# People with access to soap]]&gt;WWWW[[#This Row],['# People with access to Sanity Pads]],WWWW[[#This Row],['# People with access to soap]],WWWW[[#This Row],['# People with access to Sanity Pads]])</f>
        <v>0</v>
      </c>
      <c r="DQ111" s="971">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R111" s="973">
        <f>IF(WWWW[[#This Row],[HRP3]]/WWWW[[#This Row],[Total PoP ]]&gt;1,1,WWWW[[#This Row],[HRP3]]/WWWW[[#This Row],[Total PoP ]])</f>
        <v>1</v>
      </c>
      <c r="DS111" s="972">
        <f>1-WWWW[[#This Row],[Hygiene Coverage%]]</f>
        <v>0</v>
      </c>
      <c r="DT111" s="970">
        <f>WWWW[[#This Row],['# people reached by regular dedicated hygiene promotion_5]]/WWWW[[#This Row],[Total PoP ]]</f>
        <v>1</v>
      </c>
      <c r="DU11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1" s="971">
        <f>WWWW[[#This Row],['#_Constructed/Existing hand washing stations]]-WWWW[[#This Row],['#_Non-Functional_hand_washing_stations]]</f>
        <v>0</v>
      </c>
      <c r="DX111" s="968">
        <f>IF(WWWW[[#This Row],['# Functional hand washing stations during reporting period]]*20&gt;WWWW[[#This Row],[Total HH]],WWWW[[#This Row],[Total HH]],WWWW[[#This Row],['# Functional hand washing stations during reporting period]]*20)</f>
        <v>0</v>
      </c>
      <c r="DY111" s="968">
        <f>IF(WWWW[[#This Row],[Is sufficient soap available for TLS? (Yes/No)]]="yes",WWWW[[#This Row],['#_Constructed/Existing hand washing stations at TLS/CFS/THF]],0)</f>
        <v>0</v>
      </c>
      <c r="DZ111" s="425">
        <f>IF(WWWW[[#This Row],['# Functional hand washing stations during reporting period]]*100&gt;WWWW[[#This Row],[Total PoP ]],WWWW[[#This Row],[Total PoP ]],WWWW[[#This Row],['# Functional hand washing stations during reporting period]]*100)</f>
        <v>0</v>
      </c>
      <c r="EA111" s="425" t="str">
        <f>IF(OR(WWWW[[#This Row],['#_students at TLS_CFS]]="",WWWW[[#This Row],['#_students at TLS_CFS]]=0),"No","Yes")</f>
        <v>No</v>
      </c>
      <c r="EB11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1" s="570">
        <f>WWWW[[#This Row],[%_of_affected_people_surveyed_who_report_feeling_satistfied_with_the_latrine_design_and_sanitation_service]]*WWWW[[#This Row],[Total PoP ]]</f>
        <v>0</v>
      </c>
      <c r="ED111" s="570">
        <f>WWWW[[#This Row],[%_of_affected_people_surveyed_who_report_feeling_satistfied_with_the_water_point_design_and_water_service]]*WWWW[[#This Row],[Total PoP ]]</f>
        <v>0</v>
      </c>
      <c r="EE111" s="570">
        <f>WWWW[[#This Row],[%_of_complaints_received_that_result_in_timely_corrective_action_and_feedback_to_the_community]]*WWWW[[#This Row],[Total PoP ]]</f>
        <v>0</v>
      </c>
      <c r="EF11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1" s="964" t="str">
        <f>VLOOKUP(WWWW[[#This Row],[Site Name]],SiteDB6[[Site Name]:[CCCM Management]],6,FALSE)</f>
        <v>Yes</v>
      </c>
      <c r="EJ111" s="964" t="str">
        <f>VLOOKUP(WWWW[[#This Row],[Site Name]],SiteDB6[[Site Name]:[CCCM Focal Agency]],7,FALSE)</f>
        <v>KBC-NSS</v>
      </c>
      <c r="EK111" s="964" t="str">
        <f>VLOOKUP(WWWW[[#This Row],[Site Name]],SiteDB6[[Site Name]:[Location Type 1]],9,FALSE)</f>
        <v>Camp</v>
      </c>
      <c r="EL111" s="964" t="str">
        <f>VLOOKUP(WWWW[[#This Row],[Site Name]],SiteDB6[[Site Name]:[Type of Accommodation]],10,FALSE)</f>
        <v>Camp</v>
      </c>
      <c r="EM111" s="964" t="str">
        <f>VLOOKUP(WWWW[[#This Row],[Site Name]],SiteDB6[[Site Name]:[Ethnic or GCA/NGCA]],11,FALSE)</f>
        <v>GCA</v>
      </c>
      <c r="EN111" s="964">
        <f>VLOOKUP(WWWW[[#This Row],[Site Name]],SiteDB6[[Site Name]:[Lat]],12,FALSE)</f>
        <v>23.354268999999999</v>
      </c>
      <c r="EO111" s="964">
        <f>VLOOKUP(WWWW[[#This Row],[Site Name]],SiteDB6[[Site Name]:[Long]],13,FALSE)</f>
        <v>98.218626999999998</v>
      </c>
      <c r="EP111" s="964" t="str">
        <f>VLOOKUP(WWWW[[#This Row],[Site Name]],SiteDB6[[Site Name]:[Pcode]],3,FALSE)</f>
        <v>MMR015CMP036</v>
      </c>
      <c r="EQ111" s="969" t="str">
        <f t="shared" si="3"/>
        <v>Covered</v>
      </c>
      <c r="ER111" s="969" t="s">
        <v>3147</v>
      </c>
      <c r="ES111" s="964">
        <f>VLOOKUP(WWWW[[#This Row],[Site Name]],SiteDB6[[Site Name]:[Pop
(Kachin/Shan-CCCM as of March 2023)]],16,FALSE)</f>
        <v>33</v>
      </c>
      <c r="ET111" s="964">
        <f>VLOOKUP(WWWW[[#This Row],[Site Name]],SiteDB6[[Site Name]:[Pop
(Kachin/Shan-CCCM as of March 2023)]],17,FALSE)</f>
        <v>158</v>
      </c>
    </row>
    <row r="112" spans="1:150" hidden="1">
      <c r="A112" s="962" t="s">
        <v>2977</v>
      </c>
      <c r="B112" s="962" t="s">
        <v>192</v>
      </c>
      <c r="C112" s="963" t="s">
        <v>192</v>
      </c>
      <c r="D112" s="963" t="s">
        <v>241</v>
      </c>
      <c r="E112" s="963" t="s">
        <v>515</v>
      </c>
      <c r="F112" s="963" t="s">
        <v>960</v>
      </c>
      <c r="G112" s="964" t="str">
        <f>VLOOKUP(WWWW[[#This Row],[Site Name]],SiteDB6[[Site Name]:[Location Type]],8,FALSE)</f>
        <v>Camp</v>
      </c>
      <c r="H112" s="963" t="s">
        <v>2859</v>
      </c>
      <c r="I112" s="965">
        <v>14</v>
      </c>
      <c r="J112" s="965">
        <v>31</v>
      </c>
      <c r="K112" s="966">
        <v>44511</v>
      </c>
      <c r="L112" s="967">
        <v>44875</v>
      </c>
      <c r="M112" s="965"/>
      <c r="N112" s="965"/>
      <c r="O112" s="965"/>
      <c r="P112" s="965"/>
      <c r="Q112" s="968"/>
      <c r="R112" s="965"/>
      <c r="S112" s="965"/>
      <c r="T112" s="445"/>
      <c r="U112" s="965"/>
      <c r="V112" s="965"/>
      <c r="W112" s="965"/>
      <c r="X112" s="965"/>
      <c r="Y112" s="965"/>
      <c r="Z112" s="965"/>
      <c r="AA112" s="965"/>
      <c r="AB112" s="965"/>
      <c r="AC112" s="965"/>
      <c r="AD112" s="965"/>
      <c r="AE112" s="965"/>
      <c r="AF112" s="965"/>
      <c r="AG112" s="965"/>
      <c r="AH112" s="965"/>
      <c r="AI112" s="965"/>
      <c r="AJ112" s="965"/>
      <c r="AK112" s="965"/>
      <c r="AL112" s="965"/>
      <c r="AM112" s="965"/>
      <c r="AN112" s="965"/>
      <c r="AO112" s="445"/>
      <c r="AP112" s="969"/>
      <c r="AQ112" s="965"/>
      <c r="AR112" s="965">
        <v>4</v>
      </c>
      <c r="AS112" s="970"/>
      <c r="AT112" s="965"/>
      <c r="AU112" s="965"/>
      <c r="AV112" s="965"/>
      <c r="AW112" s="965"/>
      <c r="AX112" s="965"/>
      <c r="AY112" s="964" t="s">
        <v>140</v>
      </c>
      <c r="AZ112" s="969" t="s">
        <v>140</v>
      </c>
      <c r="BA112" s="965"/>
      <c r="BB112" s="965"/>
      <c r="BC112" s="965"/>
      <c r="BD112" s="445"/>
      <c r="BE112" s="445"/>
      <c r="BF112" s="964"/>
      <c r="BG112" s="965"/>
      <c r="BH112" s="965"/>
      <c r="BI112" s="965"/>
      <c r="BJ112" s="965"/>
      <c r="BK112" s="965"/>
      <c r="BL112" s="965"/>
      <c r="BM112" s="965"/>
      <c r="BN112" s="965"/>
      <c r="BO112" s="965"/>
      <c r="BP112" s="964" t="s">
        <v>41</v>
      </c>
      <c r="BQ112" s="971"/>
      <c r="BR112" s="970"/>
      <c r="BS112" s="964"/>
      <c r="BT112" s="420"/>
      <c r="BU112" s="420"/>
      <c r="BV112" s="422"/>
      <c r="BW112" s="420"/>
      <c r="BX112" s="445"/>
      <c r="BY112" s="445"/>
      <c r="BZ112" s="445"/>
      <c r="CA112" s="445"/>
      <c r="CB112" s="445"/>
      <c r="CC112" s="702"/>
      <c r="CD112" s="445"/>
      <c r="CE112" s="972" t="str">
        <f>IFERROR(WWWW[[#This Row],['#_Water sources passed]]/WWWW[[#This Row],['#_Water sources tested for fecal coliform ]],"no test")</f>
        <v>no test</v>
      </c>
      <c r="CF112" s="970" t="str">
        <f>IFERROR(WWWW[[#This Row],['#_Household passed]]/WWWW[[#This Row],['#_Household water samples tested for fecal coliform]],"no test")</f>
        <v>no test</v>
      </c>
      <c r="CG112" s="971" t="str">
        <f>IF(AND(WWWW[[#This Row],[% of water sources passed]]="no test",WWWW[[#This Row],[% Household passed]]="no test"),"No Test","Tested")</f>
        <v>No Test</v>
      </c>
      <c r="CH112" s="971">
        <f>WWWW[[#This Row],['#_Constructed/existing protected hand dug well]]-WWWW[[#This Row],['#_Non-functional protected hand dug well]]</f>
        <v>0</v>
      </c>
      <c r="CI112" s="971">
        <f>(WWWW[[#This Row],['#_Constructed/Existing tube wells/boreholes/handpumps_WASH_agency]]+WWWW[[#This Row],['#_Non-Cluster partner water tube-wells/boreholes/handpumps]])-WWWW[[#This Row],['#_Non-functional tube wells/boreholes/handpumps]]</f>
        <v>0</v>
      </c>
      <c r="CJ112" s="971">
        <f>WWWW[[#This Row],['#_Constructed/Existingwater storage tank with gravity fed reticulation system]]-WWWW[[#This Row],['#_Non-functional storage tank gravity fed reticulation system]]</f>
        <v>0</v>
      </c>
      <c r="CK112" s="971">
        <f>(WWWW[[#This Row],['#_Water_Liters_supplied_by_Water boating or water trucking]]/90)/15</f>
        <v>0</v>
      </c>
      <c r="CL112" s="971">
        <f>WWWW[[#This Row],['#_Water_Liters_from_Constructed/Existing water distribution system from river or natural spring]]/90/15</f>
        <v>0</v>
      </c>
      <c r="CM112" s="421">
        <f>IF(WWWW[[#This Row],['#_of water points in TLS/CFS]]*500&gt;WWWW[[#This Row],[Total PoP ]],WWWW[[#This Row],[Total PoP ]],WWWW[[#This Row],['#_of water points in TLS/CFS]]*500)</f>
        <v>0</v>
      </c>
      <c r="CN112" s="421">
        <f>IF(WWWW[[#This Row],['#_of water points in THF]]*500&gt;WWWW[[#This Row],[Total PoP ]],WWWW[[#This Row],[Total PoP ]],WWWW[[#This Row],['#_of water points in THF]]*500)</f>
        <v>0</v>
      </c>
      <c r="CO112" s="421"/>
      <c r="CP11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2" s="970">
        <f>IF(WWWW[[#This Row],[Location Type 1]]="Village",WWWW[[#This Row],[Access to safe drinking water for Village]],WWWW[[#This Row],[Access to safe drinking water for Camp]])</f>
        <v>0</v>
      </c>
      <c r="CS112" s="968">
        <f>WWWW[[#This Row],[%Equitable and continuous access to sufficient quantity of safe drinking water]]*WWWW[[#This Row],[Total PoP ]]</f>
        <v>0</v>
      </c>
      <c r="CT112" s="970">
        <f>IF((WWWW[[#This Row],['#_Constructed/Existing protected/fenced ponds]]*250)/WWWW[[#This Row],[Total PoP ]]&gt;1,1,(WWWW[[#This Row],['#_Constructed/Existing protected/fenced ponds]]*250)/WWWW[[#This Row],[Total PoP ]])</f>
        <v>0</v>
      </c>
      <c r="CU112" s="968">
        <f>WWWW[[#This Row],[% Access to unimproved water points]]*WWWW[[#This Row],[Total PoP ]]</f>
        <v>0</v>
      </c>
      <c r="CV11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2" s="968">
        <f>WWWW[[#This Row],[HRP1]]/500</f>
        <v>0</v>
      </c>
      <c r="CY112" s="973">
        <f>1-WWWW[[#This Row],[% Equitable and continuous access to sufficient quantity of domestic water]]</f>
        <v>1</v>
      </c>
      <c r="CZ112" s="968">
        <f>WWWW[[#This Row],[%equitable and continuous access to sufficient quantity of safe drinking and domestic water''s GAP]]*WWWW[[#This Row],[Total PoP ]]</f>
        <v>31</v>
      </c>
      <c r="DA112" s="971">
        <f>IF(WWWW[[#This Row],[Total required water points]]-WWWW[[#This Row],['#Water points coverage]]&lt;0,0,WWWW[[#This Row],[Total required water points]]-WWWW[[#This Row],['#Water points coverage]])</f>
        <v>1</v>
      </c>
      <c r="DB112" s="971">
        <f>ROUND(IF(WWWW[[#This Row],[Total PoP ]]&lt;500,1,WWWW[[#This Row],[Total PoP ]]/500),0)</f>
        <v>1</v>
      </c>
      <c r="DC112" s="971">
        <f>(WWWW[[#This Row],['#_Constructed latrines_by_WASHAgencies]]+WWWW[[#This Row],['#_Non Cluster partner latrines]])-WWWW[[#This Row],['#_Non-functional latrines]]</f>
        <v>4</v>
      </c>
      <c r="DD112" s="619">
        <f>WWWW[[#This Row],[HRP2]]/WWWW[[#This Row],[Total PoP ]]</f>
        <v>1</v>
      </c>
      <c r="DE11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11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2" s="421">
        <f>IF(WWWW[[#This Row],['# of functional latrines in THF supported by WASH partners during the reporting period2]]="",0,WWWW[[#This Row],['# of functional latrines in THF supported by WASH partners during the reporting period2]]*50)</f>
        <v>0</v>
      </c>
      <c r="DI112" s="971">
        <f>ROUND(IF(WWWW[[#This Row],[Location Type 1]]="camp",WWWW[[#This Row],[Total PoP ]]/20,IF(WWWW[[#This Row],[Location Type 1]]="Temporary Location",WWWW[[#This Row],[Total PoP ]]/50,(WWWW[[#This Row],[Total PoP ]]/6))),0)</f>
        <v>2</v>
      </c>
      <c r="DJ112" s="971">
        <f>IF(WWWW[[#This Row],[Total required Latrines]]-(WWWW[[#This Row],['#_Constructed latrines_by_WASHAgencies]]+WWWW[[#This Row],['#_Non Cluster partner latrines]])&lt;0,0,WWWW[[#This Row],[Total required Latrines]]-(WWWW[[#This Row],['#_Constructed latrines_by_WASHAgencies]]+WWWW[[#This Row],['#_Non Cluster partner latrines]]))</f>
        <v>0</v>
      </c>
      <c r="DK112" s="973">
        <f>1-WWWW[[#This Row],[% people access to functioning Latrine]]</f>
        <v>0</v>
      </c>
      <c r="DL112" s="972">
        <f>IF(OR(WWWW[[#This Row],['#_Non-functional latrines]]="",WWWW[[#This Row],['#_Non-functional latrines]]=0),0,WWWW[[#This Row],['#_Non-functional latrines]]/(WWWW[[#This Row],['#_Constructed latrines_by_WASHAgencies]]+WWWW[[#This Row],['#_Non Cluster partner latrines]]))</f>
        <v>0</v>
      </c>
      <c r="DM112" s="968">
        <f>IF(500*(WWWW[[#This Row],['#_male hygiene promoters]]+WWWW[[#This Row],['#_female hygiene promoters]])&gt;WWWW[[#This Row],[Total PoP ]],WWWW[[#This Row],[Total PoP ]],500*(WWWW[[#This Row],['#_male hygiene promoters]]+WWWW[[#This Row],['#_female hygiene promoters]]))</f>
        <v>0</v>
      </c>
      <c r="DN11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2" s="971">
        <f>IF(WWWW[[#This Row],['# People with access to soap]]&gt;WWWW[[#This Row],['# People with access to Sanity Pads]],WWWW[[#This Row],['# People with access to soap]],WWWW[[#This Row],['# People with access to Sanity Pads]])</f>
        <v>0</v>
      </c>
      <c r="DQ11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2" s="973">
        <f>IF(WWWW[[#This Row],[HRP3]]/WWWW[[#This Row],[Total PoP ]]&gt;1,1,WWWW[[#This Row],[HRP3]]/WWWW[[#This Row],[Total PoP ]])</f>
        <v>0</v>
      </c>
      <c r="DS112" s="972">
        <f>1-WWWW[[#This Row],[Hygiene Coverage%]]</f>
        <v>1</v>
      </c>
      <c r="DT112" s="970">
        <f>WWWW[[#This Row],['# people reached by regular dedicated hygiene promotion_5]]/WWWW[[#This Row],[Total PoP ]]</f>
        <v>0</v>
      </c>
      <c r="DU11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2" s="971">
        <f>WWWW[[#This Row],['#_Constructed/Existing hand washing stations]]-WWWW[[#This Row],['#_Non-Functional_hand_washing_stations]]</f>
        <v>0</v>
      </c>
      <c r="DX112" s="968">
        <f>IF(WWWW[[#This Row],['# Functional hand washing stations during reporting period]]*20&gt;WWWW[[#This Row],[Total HH]],WWWW[[#This Row],[Total HH]],WWWW[[#This Row],['# Functional hand washing stations during reporting period]]*20)</f>
        <v>0</v>
      </c>
      <c r="DY112" s="968">
        <f>IF(WWWW[[#This Row],[Is sufficient soap available for TLS? (Yes/No)]]="yes",WWWW[[#This Row],['#_Constructed/Existing hand washing stations at TLS/CFS/THF]],0)</f>
        <v>0</v>
      </c>
      <c r="DZ112" s="425">
        <f>IF(WWWW[[#This Row],['# Functional hand washing stations during reporting period]]*100&gt;WWWW[[#This Row],[Total PoP ]],WWWW[[#This Row],[Total PoP ]],WWWW[[#This Row],['# Functional hand washing stations during reporting period]]*100)</f>
        <v>0</v>
      </c>
      <c r="EA112" s="425" t="str">
        <f>IF(OR(WWWW[[#This Row],['#_students at TLS_CFS]]="",WWWW[[#This Row],['#_students at TLS_CFS]]=0),"No","Yes")</f>
        <v>No</v>
      </c>
      <c r="EB11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2" s="570">
        <f>WWWW[[#This Row],[%_of_affected_people_surveyed_who_report_feeling_satistfied_with_the_latrine_design_and_sanitation_service]]*WWWW[[#This Row],[Total PoP ]]</f>
        <v>0</v>
      </c>
      <c r="ED112" s="570">
        <f>WWWW[[#This Row],[%_of_affected_people_surveyed_who_report_feeling_satistfied_with_the_water_point_design_and_water_service]]*WWWW[[#This Row],[Total PoP ]]</f>
        <v>0</v>
      </c>
      <c r="EE112" s="570">
        <f>WWWW[[#This Row],[%_of_complaints_received_that_result_in_timely_corrective_action_and_feedback_to_the_community]]*WWWW[[#This Row],[Total PoP ]]</f>
        <v>0</v>
      </c>
      <c r="EF11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2" s="964">
        <f>VLOOKUP(WWWW[[#This Row],[Site Name]],SiteDB6[[Site Name]:[CCCM Management]],6,FALSE)</f>
        <v>0</v>
      </c>
      <c r="EJ112" s="964">
        <f>VLOOKUP(WWWW[[#This Row],[Site Name]],SiteDB6[[Site Name]:[CCCM Focal Agency]],7,FALSE)</f>
        <v>0</v>
      </c>
      <c r="EK112" s="964" t="str">
        <f>VLOOKUP(WWWW[[#This Row],[Site Name]],SiteDB6[[Site Name]:[Location Type 1]],9,FALSE)</f>
        <v>Camp</v>
      </c>
      <c r="EL112" s="964" t="str">
        <f>VLOOKUP(WWWW[[#This Row],[Site Name]],SiteDB6[[Site Name]:[Type of Accommodation]],10,FALSE)</f>
        <v>Camp like setting</v>
      </c>
      <c r="EM112" s="964" t="str">
        <f>VLOOKUP(WWWW[[#This Row],[Site Name]],SiteDB6[[Site Name]:[Ethnic or GCA/NGCA]],11,FALSE)</f>
        <v>GCA</v>
      </c>
      <c r="EN112" s="964">
        <f>VLOOKUP(WWWW[[#This Row],[Site Name]],SiteDB6[[Site Name]:[Lat]],12,FALSE)</f>
        <v>0</v>
      </c>
      <c r="EO112" s="964">
        <f>VLOOKUP(WWWW[[#This Row],[Site Name]],SiteDB6[[Site Name]:[Long]],13,FALSE)</f>
        <v>0</v>
      </c>
      <c r="EP112" s="964" t="str">
        <f>VLOOKUP(WWWW[[#This Row],[Site Name]],SiteDB6[[Site Name]:[Pcode]],3,FALSE)</f>
        <v>MMR015CMP079</v>
      </c>
      <c r="EQ112" s="969" t="str">
        <f t="shared" si="3"/>
        <v>Covered</v>
      </c>
      <c r="ER112" s="969" t="s">
        <v>3147</v>
      </c>
      <c r="ES112" s="964">
        <f>VLOOKUP(WWWW[[#This Row],[Site Name]],SiteDB6[[Site Name]:[Pop
(Kachin/Shan-CCCM as of March 2023)]],16,FALSE)</f>
        <v>14</v>
      </c>
      <c r="ET112" s="964">
        <f>VLOOKUP(WWWW[[#This Row],[Site Name]],SiteDB6[[Site Name]:[Pop
(Kachin/Shan-CCCM as of March 2023)]],17,FALSE)</f>
        <v>31</v>
      </c>
    </row>
    <row r="113" spans="1:150" hidden="1">
      <c r="A113" s="962" t="s">
        <v>2977</v>
      </c>
      <c r="B113" s="962" t="s">
        <v>192</v>
      </c>
      <c r="C113" s="963" t="s">
        <v>192</v>
      </c>
      <c r="D113" s="963" t="s">
        <v>2648</v>
      </c>
      <c r="E113" s="963" t="s">
        <v>515</v>
      </c>
      <c r="F113" s="963" t="s">
        <v>519</v>
      </c>
      <c r="G113" s="964" t="str">
        <f>VLOOKUP(WWWW[[#This Row],[Site Name]],SiteDB6[[Site Name]:[Location Type]],8,FALSE)</f>
        <v>Camp</v>
      </c>
      <c r="H113" s="963" t="s">
        <v>1618</v>
      </c>
      <c r="I113" s="965">
        <v>35</v>
      </c>
      <c r="J113" s="965">
        <v>158</v>
      </c>
      <c r="K113" s="966">
        <v>44511</v>
      </c>
      <c r="L113" s="967">
        <v>44926</v>
      </c>
      <c r="M113" s="965"/>
      <c r="N113" s="965">
        <v>1</v>
      </c>
      <c r="O113" s="965"/>
      <c r="P113" s="965"/>
      <c r="Q113" s="968" t="s">
        <v>41</v>
      </c>
      <c r="R113" s="965">
        <v>5</v>
      </c>
      <c r="S113" s="965">
        <v>4</v>
      </c>
      <c r="T113" s="445"/>
      <c r="U113" s="965"/>
      <c r="V113" s="965"/>
      <c r="W113" s="965">
        <v>2</v>
      </c>
      <c r="X113" s="965"/>
      <c r="Y113" s="965"/>
      <c r="Z113" s="965"/>
      <c r="AA113" s="965"/>
      <c r="AB113" s="965"/>
      <c r="AC113" s="965"/>
      <c r="AD113" s="965"/>
      <c r="AE113" s="965"/>
      <c r="AF113" s="965"/>
      <c r="AG113" s="965"/>
      <c r="AH113" s="965">
        <v>1</v>
      </c>
      <c r="AI113" s="965"/>
      <c r="AJ113" s="965"/>
      <c r="AK113" s="965"/>
      <c r="AL113" s="965"/>
      <c r="AM113" s="965"/>
      <c r="AN113" s="965"/>
      <c r="AO113" s="445"/>
      <c r="AP113" s="969"/>
      <c r="AQ113" s="965">
        <v>8</v>
      </c>
      <c r="AR113" s="965"/>
      <c r="AS113" s="970"/>
      <c r="AT113" s="965"/>
      <c r="AU113" s="965"/>
      <c r="AV113" s="965"/>
      <c r="AW113" s="965"/>
      <c r="AX113" s="965"/>
      <c r="AY113" s="964" t="s">
        <v>41</v>
      </c>
      <c r="AZ113" s="969" t="s">
        <v>136</v>
      </c>
      <c r="BA113" s="965"/>
      <c r="BB113" s="965"/>
      <c r="BC113" s="965"/>
      <c r="BD113" s="445"/>
      <c r="BE113" s="445"/>
      <c r="BF113" s="964"/>
      <c r="BG113" s="965">
        <v>4</v>
      </c>
      <c r="BH113" s="965"/>
      <c r="BI113" s="965"/>
      <c r="BJ113" s="965">
        <v>1</v>
      </c>
      <c r="BK113" s="965"/>
      <c r="BL113" s="965"/>
      <c r="BM113" s="965">
        <v>2</v>
      </c>
      <c r="BN113" s="965"/>
      <c r="BO113" s="965"/>
      <c r="BP113" s="964" t="s">
        <v>41</v>
      </c>
      <c r="BQ113" s="971"/>
      <c r="BR113" s="970"/>
      <c r="BS113" s="964"/>
      <c r="BT113" s="420"/>
      <c r="BU113" s="420"/>
      <c r="BV113" s="422"/>
      <c r="BW113" s="420"/>
      <c r="BX113" s="445"/>
      <c r="BY113" s="445"/>
      <c r="BZ113" s="445"/>
      <c r="CA113" s="445"/>
      <c r="CB113" s="445"/>
      <c r="CC113" s="702"/>
      <c r="CD113" s="445"/>
      <c r="CE113" s="972" t="str">
        <f>IFERROR(WWWW[[#This Row],['#_Water sources passed]]/WWWW[[#This Row],['#_Water sources tested for fecal coliform ]],"no test")</f>
        <v>no test</v>
      </c>
      <c r="CF113" s="970" t="str">
        <f>IFERROR(WWWW[[#This Row],['#_Household passed]]/WWWW[[#This Row],['#_Household water samples tested for fecal coliform]],"no test")</f>
        <v>no test</v>
      </c>
      <c r="CG113" s="971" t="str">
        <f>IF(AND(WWWW[[#This Row],[% of water sources passed]]="no test",WWWW[[#This Row],[% Household passed]]="no test"),"No Test","Tested")</f>
        <v>No Test</v>
      </c>
      <c r="CH113" s="971">
        <f>WWWW[[#This Row],['#_Constructed/existing protected hand dug well]]-WWWW[[#This Row],['#_Non-functional protected hand dug well]]</f>
        <v>0</v>
      </c>
      <c r="CI113" s="971">
        <f>(WWWW[[#This Row],['#_Constructed/Existing tube wells/boreholes/handpumps_WASH_agency]]+WWWW[[#This Row],['#_Non-Cluster partner water tube-wells/boreholes/handpumps]])-WWWW[[#This Row],['#_Non-functional tube wells/boreholes/handpumps]]</f>
        <v>2</v>
      </c>
      <c r="CJ113" s="971">
        <f>WWWW[[#This Row],['#_Constructed/Existingwater storage tank with gravity fed reticulation system]]-WWWW[[#This Row],['#_Non-functional storage tank gravity fed reticulation system]]</f>
        <v>0</v>
      </c>
      <c r="CK113" s="971">
        <f>(WWWW[[#This Row],['#_Water_Liters_supplied_by_Water boating or water trucking]]/90)/15</f>
        <v>0</v>
      </c>
      <c r="CL113" s="971">
        <f>WWWW[[#This Row],['#_Water_Liters_from_Constructed/Existing water distribution system from river or natural spring]]/90/15</f>
        <v>0</v>
      </c>
      <c r="CM113" s="421">
        <f>IF(WWWW[[#This Row],['#_of water points in TLS/CFS]]*500&gt;WWWW[[#This Row],[Total PoP ]],WWWW[[#This Row],[Total PoP ]],WWWW[[#This Row],['#_of water points in TLS/CFS]]*500)</f>
        <v>0</v>
      </c>
      <c r="CN113" s="421">
        <f>IF(WWWW[[#This Row],['#_of water points in THF]]*500&gt;WWWW[[#This Row],[Total PoP ]],WWWW[[#This Row],[Total PoP ]],WWWW[[#This Row],['#_of water points in THF]]*500)</f>
        <v>0</v>
      </c>
      <c r="CO113" s="421"/>
      <c r="CP11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3" s="970">
        <f>IF(WWWW[[#This Row],[Location Type 1]]="Village",WWWW[[#This Row],[Access to safe drinking water for Village]],WWWW[[#This Row],[Access to safe drinking water for Camp]])</f>
        <v>1</v>
      </c>
      <c r="CS113" s="968">
        <f>WWWW[[#This Row],[%Equitable and continuous access to sufficient quantity of safe drinking water]]*WWWW[[#This Row],[Total PoP ]]</f>
        <v>158</v>
      </c>
      <c r="CT113" s="970">
        <f>IF((WWWW[[#This Row],['#_Constructed/Existing protected/fenced ponds]]*250)/WWWW[[#This Row],[Total PoP ]]&gt;1,1,(WWWW[[#This Row],['#_Constructed/Existing protected/fenced ponds]]*250)/WWWW[[#This Row],[Total PoP ]])</f>
        <v>0</v>
      </c>
      <c r="CU113" s="968">
        <f>WWWW[[#This Row],[% Access to unimproved water points]]*WWWW[[#This Row],[Total PoP ]]</f>
        <v>0</v>
      </c>
      <c r="CV11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X113" s="968">
        <f>WWWW[[#This Row],[HRP1]]/500</f>
        <v>0.316</v>
      </c>
      <c r="CY113" s="973">
        <f>1-WWWW[[#This Row],[% Equitable and continuous access to sufficient quantity of domestic water]]</f>
        <v>0</v>
      </c>
      <c r="CZ113" s="968">
        <f>WWWW[[#This Row],[%equitable and continuous access to sufficient quantity of safe drinking and domestic water''s GAP]]*WWWW[[#This Row],[Total PoP ]]</f>
        <v>0</v>
      </c>
      <c r="DA113" s="971">
        <f>IF(WWWW[[#This Row],[Total required water points]]-WWWW[[#This Row],['#Water points coverage]]&lt;0,0,WWWW[[#This Row],[Total required water points]]-WWWW[[#This Row],['#Water points coverage]])</f>
        <v>0.68399999999999994</v>
      </c>
      <c r="DB113" s="971">
        <f>ROUND(IF(WWWW[[#This Row],[Total PoP ]]&lt;500,1,WWWW[[#This Row],[Total PoP ]]/500),0)</f>
        <v>1</v>
      </c>
      <c r="DC113" s="971">
        <f>(WWWW[[#This Row],['#_Constructed latrines_by_WASHAgencies]]+WWWW[[#This Row],['#_Non Cluster partner latrines]])-WWWW[[#This Row],['#_Non-functional latrines]]</f>
        <v>8</v>
      </c>
      <c r="DD113" s="619">
        <f>WWWW[[#This Row],[HRP2]]/WWWW[[#This Row],[Total PoP ]]</f>
        <v>1</v>
      </c>
      <c r="DE11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158</v>
      </c>
      <c r="DF11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3" s="421">
        <f>IF(WWWW[[#This Row],['# of functional latrines in THF supported by WASH partners during the reporting period2]]="",0,WWWW[[#This Row],['# of functional latrines in THF supported by WASH partners during the reporting period2]]*50)</f>
        <v>0</v>
      </c>
      <c r="DI113" s="971">
        <f>ROUND(IF(WWWW[[#This Row],[Location Type 1]]="camp",WWWW[[#This Row],[Total PoP ]]/20,IF(WWWW[[#This Row],[Location Type 1]]="Temporary Location",WWWW[[#This Row],[Total PoP ]]/50,(WWWW[[#This Row],[Total PoP ]]/6))),0)</f>
        <v>8</v>
      </c>
      <c r="DJ113" s="971">
        <f>IF(WWWW[[#This Row],[Total required Latrines]]-(WWWW[[#This Row],['#_Constructed latrines_by_WASHAgencies]]+WWWW[[#This Row],['#_Non Cluster partner latrines]])&lt;0,0,WWWW[[#This Row],[Total required Latrines]]-(WWWW[[#This Row],['#_Constructed latrines_by_WASHAgencies]]+WWWW[[#This Row],['#_Non Cluster partner latrines]]))</f>
        <v>0</v>
      </c>
      <c r="DK113" s="973">
        <f>1-WWWW[[#This Row],[% people access to functioning Latrine]]</f>
        <v>0</v>
      </c>
      <c r="DL113" s="972">
        <f>IF(OR(WWWW[[#This Row],['#_Non-functional latrines]]="",WWWW[[#This Row],['#_Non-functional latrines]]=0),0,WWWW[[#This Row],['#_Non-functional latrines]]/(WWWW[[#This Row],['#_Constructed latrines_by_WASHAgencies]]+WWWW[[#This Row],['#_Non Cluster partner latrines]]))</f>
        <v>0</v>
      </c>
      <c r="DM113" s="968">
        <f>IF(500*(WWWW[[#This Row],['#_male hygiene promoters]]+WWWW[[#This Row],['#_female hygiene promoters]])&gt;WWWW[[#This Row],[Total PoP ]],WWWW[[#This Row],[Total PoP ]],500*(WWWW[[#This Row],['#_male hygiene promoters]]+WWWW[[#This Row],['#_female hygiene promoters]]))</f>
        <v>158</v>
      </c>
      <c r="DN11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3" s="971">
        <f>IF(WWWW[[#This Row],['# People with access to soap]]&gt;WWWW[[#This Row],['# People with access to Sanity Pads]],WWWW[[#This Row],['# People with access to soap]],WWWW[[#This Row],['# People with access to Sanity Pads]])</f>
        <v>0</v>
      </c>
      <c r="DQ113" s="971">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R113" s="973">
        <f>IF(WWWW[[#This Row],[HRP3]]/WWWW[[#This Row],[Total PoP ]]&gt;1,1,WWWW[[#This Row],[HRP3]]/WWWW[[#This Row],[Total PoP ]])</f>
        <v>1</v>
      </c>
      <c r="DS113" s="972">
        <f>1-WWWW[[#This Row],[Hygiene Coverage%]]</f>
        <v>0</v>
      </c>
      <c r="DT113" s="970">
        <f>WWWW[[#This Row],['# people reached by regular dedicated hygiene promotion_5]]/WWWW[[#This Row],[Total PoP ]]</f>
        <v>1</v>
      </c>
      <c r="DU11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3" s="971">
        <f>WWWW[[#This Row],['#_Constructed/Existing hand washing stations]]-WWWW[[#This Row],['#_Non-Functional_hand_washing_stations]]</f>
        <v>4</v>
      </c>
      <c r="DX113" s="968">
        <f>IF(WWWW[[#This Row],['# Functional hand washing stations during reporting period]]*20&gt;WWWW[[#This Row],[Total HH]],WWWW[[#This Row],[Total HH]],WWWW[[#This Row],['# Functional hand washing stations during reporting period]]*20)</f>
        <v>35</v>
      </c>
      <c r="DY113" s="968">
        <f>IF(WWWW[[#This Row],[Is sufficient soap available for TLS? (Yes/No)]]="yes",WWWW[[#This Row],['#_Constructed/Existing hand washing stations at TLS/CFS/THF]],0)</f>
        <v>0</v>
      </c>
      <c r="DZ113" s="425">
        <f>IF(WWWW[[#This Row],['# Functional hand washing stations during reporting period]]*100&gt;WWWW[[#This Row],[Total PoP ]],WWWW[[#This Row],[Total PoP ]],WWWW[[#This Row],['# Functional hand washing stations during reporting period]]*100)</f>
        <v>158</v>
      </c>
      <c r="EA113" s="425" t="str">
        <f>IF(OR(WWWW[[#This Row],['#_students at TLS_CFS]]="",WWWW[[#This Row],['#_students at TLS_CFS]]=0),"No","Yes")</f>
        <v>No</v>
      </c>
      <c r="EB11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3" s="570">
        <f>WWWW[[#This Row],[%_of_affected_people_surveyed_who_report_feeling_satistfied_with_the_latrine_design_and_sanitation_service]]*WWWW[[#This Row],[Total PoP ]]</f>
        <v>0</v>
      </c>
      <c r="ED113" s="570">
        <f>WWWW[[#This Row],[%_of_affected_people_surveyed_who_report_feeling_satistfied_with_the_water_point_design_and_water_service]]*WWWW[[#This Row],[Total PoP ]]</f>
        <v>0</v>
      </c>
      <c r="EE113" s="570">
        <f>WWWW[[#This Row],[%_of_complaints_received_that_result_in_timely_corrective_action_and_feedback_to_the_community]]*WWWW[[#This Row],[Total PoP ]]</f>
        <v>0</v>
      </c>
      <c r="EF11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3" s="964" t="str">
        <f>VLOOKUP(WWWW[[#This Row],[Site Name]],SiteDB6[[Site Name]:[CCCM Management]],6,FALSE)</f>
        <v>Yes</v>
      </c>
      <c r="EJ113" s="964" t="str">
        <f>VLOOKUP(WWWW[[#This Row],[Site Name]],SiteDB6[[Site Name]:[CCCM Focal Agency]],7,FALSE)</f>
        <v>KMSS-LSO</v>
      </c>
      <c r="EK113" s="964" t="str">
        <f>VLOOKUP(WWWW[[#This Row],[Site Name]],SiteDB6[[Site Name]:[Location Type 1]],9,FALSE)</f>
        <v>Camp</v>
      </c>
      <c r="EL113" s="964" t="str">
        <f>VLOOKUP(WWWW[[#This Row],[Site Name]],SiteDB6[[Site Name]:[Type of Accommodation]],10,FALSE)</f>
        <v>Camp</v>
      </c>
      <c r="EM113" s="964" t="str">
        <f>VLOOKUP(WWWW[[#This Row],[Site Name]],SiteDB6[[Site Name]:[Ethnic or GCA/NGCA]],11,FALSE)</f>
        <v>GCA</v>
      </c>
      <c r="EN113" s="964">
        <f>VLOOKUP(WWWW[[#This Row],[Site Name]],SiteDB6[[Site Name]:[Lat]],12,FALSE)</f>
        <v>23.682887999999998</v>
      </c>
      <c r="EO113" s="964">
        <f>VLOOKUP(WWWW[[#This Row],[Site Name]],SiteDB6[[Site Name]:[Long]],13,FALSE)</f>
        <v>97.810101000000003</v>
      </c>
      <c r="EP113" s="964" t="str">
        <f>VLOOKUP(WWWW[[#This Row],[Site Name]],SiteDB6[[Site Name]:[Pcode]],3,FALSE)</f>
        <v>MMR015CMP043</v>
      </c>
      <c r="EQ113" s="969" t="str">
        <f t="shared" si="3"/>
        <v>Covered</v>
      </c>
      <c r="ER113" s="969" t="s">
        <v>3147</v>
      </c>
      <c r="ES113" s="964">
        <f>VLOOKUP(WWWW[[#This Row],[Site Name]],SiteDB6[[Site Name]:[Pop
(Kachin/Shan-CCCM as of March 2023)]],16,FALSE)</f>
        <v>35</v>
      </c>
      <c r="ET113" s="964">
        <f>VLOOKUP(WWWW[[#This Row],[Site Name]],SiteDB6[[Site Name]:[Pop
(Kachin/Shan-CCCM as of March 2023)]],17,FALSE)</f>
        <v>156</v>
      </c>
    </row>
    <row r="114" spans="1:150" hidden="1">
      <c r="A114" s="962" t="s">
        <v>2977</v>
      </c>
      <c r="B114" s="962" t="s">
        <v>309</v>
      </c>
      <c r="C114" s="963" t="s">
        <v>309</v>
      </c>
      <c r="D114" s="963"/>
      <c r="E114" s="963" t="s">
        <v>515</v>
      </c>
      <c r="F114" s="963" t="s">
        <v>963</v>
      </c>
      <c r="G114" s="964" t="s">
        <v>620</v>
      </c>
      <c r="H114" s="963" t="s">
        <v>2588</v>
      </c>
      <c r="I114" s="965">
        <v>657</v>
      </c>
      <c r="J114" s="965">
        <v>2786</v>
      </c>
      <c r="K114" s="966"/>
      <c r="L114" s="967"/>
      <c r="M114" s="965"/>
      <c r="N114" s="965"/>
      <c r="O114" s="965"/>
      <c r="P114" s="965"/>
      <c r="Q114" s="968"/>
      <c r="R114" s="965"/>
      <c r="S114" s="965"/>
      <c r="T114" s="44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445"/>
      <c r="AP114" s="969"/>
      <c r="AQ114" s="965"/>
      <c r="AR114" s="965"/>
      <c r="AS114" s="970"/>
      <c r="AT114" s="965"/>
      <c r="AU114" s="965"/>
      <c r="AV114" s="965"/>
      <c r="AW114" s="965"/>
      <c r="AX114" s="965"/>
      <c r="AY114" s="964" t="s">
        <v>140</v>
      </c>
      <c r="AZ114" s="969" t="s">
        <v>140</v>
      </c>
      <c r="BA114" s="965"/>
      <c r="BB114" s="965"/>
      <c r="BC114" s="965"/>
      <c r="BD114" s="445"/>
      <c r="BE114" s="445"/>
      <c r="BF114" s="964"/>
      <c r="BG114" s="965"/>
      <c r="BH114" s="965"/>
      <c r="BI114" s="965"/>
      <c r="BJ114" s="965"/>
      <c r="BK114" s="965"/>
      <c r="BL114" s="965"/>
      <c r="BM114" s="965"/>
      <c r="BN114" s="965"/>
      <c r="BO114" s="965"/>
      <c r="BP114" s="964"/>
      <c r="BQ114" s="971"/>
      <c r="BR114" s="970"/>
      <c r="BS114" s="964"/>
      <c r="BT114" s="420"/>
      <c r="BU114" s="420"/>
      <c r="BV114" s="422"/>
      <c r="BW114" s="420"/>
      <c r="BX114" s="445"/>
      <c r="BY114" s="445"/>
      <c r="BZ114" s="445"/>
      <c r="CA114" s="445"/>
      <c r="CB114" s="445"/>
      <c r="CC114" s="702"/>
      <c r="CD114" s="445"/>
      <c r="CE114" s="972" t="str">
        <f>IFERROR(WWWW[[#This Row],['#_Water sources passed]]/WWWW[[#This Row],['#_Water sources tested for fecal coliform ]],"no test")</f>
        <v>no test</v>
      </c>
      <c r="CF114" s="970" t="str">
        <f>IFERROR(WWWW[[#This Row],['#_Household passed]]/WWWW[[#This Row],['#_Household water samples tested for fecal coliform]],"no test")</f>
        <v>no test</v>
      </c>
      <c r="CG114" s="971" t="str">
        <f>IF(AND(WWWW[[#This Row],[% of water sources passed]]="no test",WWWW[[#This Row],[% Household passed]]="no test"),"No Test","Tested")</f>
        <v>No Test</v>
      </c>
      <c r="CH114" s="971">
        <f>WWWW[[#This Row],['#_Constructed/existing protected hand dug well]]-WWWW[[#This Row],['#_Non-functional protected hand dug well]]</f>
        <v>0</v>
      </c>
      <c r="CI114" s="971">
        <f>(WWWW[[#This Row],['#_Constructed/Existing tube wells/boreholes/handpumps_WASH_agency]]+WWWW[[#This Row],['#_Non-Cluster partner water tube-wells/boreholes/handpumps]])-WWWW[[#This Row],['#_Non-functional tube wells/boreholes/handpumps]]</f>
        <v>0</v>
      </c>
      <c r="CJ114" s="971">
        <f>WWWW[[#This Row],['#_Constructed/Existingwater storage tank with gravity fed reticulation system]]-WWWW[[#This Row],['#_Non-functional storage tank gravity fed reticulation system]]</f>
        <v>0</v>
      </c>
      <c r="CK114" s="971">
        <f>(WWWW[[#This Row],['#_Water_Liters_supplied_by_Water boating or water trucking]]/90)/15</f>
        <v>0</v>
      </c>
      <c r="CL114" s="971">
        <f>WWWW[[#This Row],['#_Water_Liters_from_Constructed/Existing water distribution system from river or natural spring]]/90/15</f>
        <v>0</v>
      </c>
      <c r="CM114" s="421">
        <f>IF(WWWW[[#This Row],['#_of water points in TLS/CFS]]*500&gt;WWWW[[#This Row],[Total PoP ]],WWWW[[#This Row],[Total PoP ]],WWWW[[#This Row],['#_of water points in TLS/CFS]]*500)</f>
        <v>0</v>
      </c>
      <c r="CN114" s="421">
        <f>IF(WWWW[[#This Row],['#_of water points in THF]]*500&gt;WWWW[[#This Row],[Total PoP ]],WWWW[[#This Row],[Total PoP ]],WWWW[[#This Row],['#_of water points in THF]]*500)</f>
        <v>0</v>
      </c>
      <c r="CO114" s="421"/>
      <c r="CP11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4" s="970">
        <f>IF(WWWW[[#This Row],[Location Type 1]]="Village",WWWW[[#This Row],[Access to safe drinking water for Village]],WWWW[[#This Row],[Access to safe drinking water for Camp]])</f>
        <v>0</v>
      </c>
      <c r="CS114" s="968">
        <f>WWWW[[#This Row],[%Equitable and continuous access to sufficient quantity of safe drinking water]]*WWWW[[#This Row],[Total PoP ]]</f>
        <v>0</v>
      </c>
      <c r="CT114" s="970">
        <f>IF((WWWW[[#This Row],['#_Constructed/Existing protected/fenced ponds]]*250)/WWWW[[#This Row],[Total PoP ]]&gt;1,1,(WWWW[[#This Row],['#_Constructed/Existing protected/fenced ponds]]*250)/WWWW[[#This Row],[Total PoP ]])</f>
        <v>0</v>
      </c>
      <c r="CU114" s="968">
        <f>WWWW[[#This Row],[% Access to unimproved water points]]*WWWW[[#This Row],[Total PoP ]]</f>
        <v>0</v>
      </c>
      <c r="CV11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4" s="968">
        <f>WWWW[[#This Row],[HRP1]]/500</f>
        <v>0</v>
      </c>
      <c r="CY114" s="973">
        <f>1-WWWW[[#This Row],[% Equitable and continuous access to sufficient quantity of domestic water]]</f>
        <v>1</v>
      </c>
      <c r="CZ114" s="968">
        <f>WWWW[[#This Row],[%equitable and continuous access to sufficient quantity of safe drinking and domestic water''s GAP]]*WWWW[[#This Row],[Total PoP ]]</f>
        <v>2786</v>
      </c>
      <c r="DA114" s="971">
        <f>IF(WWWW[[#This Row],[Total required water points]]-WWWW[[#This Row],['#Water points coverage]]&lt;0,0,WWWW[[#This Row],[Total required water points]]-WWWW[[#This Row],['#Water points coverage]])</f>
        <v>6</v>
      </c>
      <c r="DB114" s="971">
        <f>ROUND(IF(WWWW[[#This Row],[Total PoP ]]&lt;500,1,WWWW[[#This Row],[Total PoP ]]/500),0)</f>
        <v>6</v>
      </c>
      <c r="DC114" s="971">
        <f>(WWWW[[#This Row],['#_Constructed latrines_by_WASHAgencies]]+WWWW[[#This Row],['#_Non Cluster partner latrines]])-WWWW[[#This Row],['#_Non-functional latrines]]</f>
        <v>0</v>
      </c>
      <c r="DD114" s="619">
        <f>WWWW[[#This Row],[HRP2]]/WWWW[[#This Row],[Total PoP ]]</f>
        <v>0</v>
      </c>
      <c r="DE11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1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4" s="421">
        <f>IF(WWWW[[#This Row],['# of functional latrines in THF supported by WASH partners during the reporting period2]]="",0,WWWW[[#This Row],['# of functional latrines in THF supported by WASH partners during the reporting period2]]*50)</f>
        <v>0</v>
      </c>
      <c r="DI114" s="971">
        <f>ROUND(IF(WWWW[[#This Row],[Location Type 1]]="camp",WWWW[[#This Row],[Total PoP ]]/20,IF(WWWW[[#This Row],[Location Type 1]]="Temporary Location",WWWW[[#This Row],[Total PoP ]]/50,(WWWW[[#This Row],[Total PoP ]]/6))),0)</f>
        <v>464</v>
      </c>
      <c r="DJ114" s="971">
        <f>IF(WWWW[[#This Row],[Total required Latrines]]-(WWWW[[#This Row],['#_Constructed latrines_by_WASHAgencies]]+WWWW[[#This Row],['#_Non Cluster partner latrines]])&lt;0,0,WWWW[[#This Row],[Total required Latrines]]-(WWWW[[#This Row],['#_Constructed latrines_by_WASHAgencies]]+WWWW[[#This Row],['#_Non Cluster partner latrines]]))</f>
        <v>464</v>
      </c>
      <c r="DK114" s="973">
        <f>1-WWWW[[#This Row],[% people access to functioning Latrine]]</f>
        <v>1</v>
      </c>
      <c r="DL114" s="972">
        <f>IF(OR(WWWW[[#This Row],['#_Non-functional latrines]]="",WWWW[[#This Row],['#_Non-functional latrines]]=0),0,WWWW[[#This Row],['#_Non-functional latrines]]/(WWWW[[#This Row],['#_Constructed latrines_by_WASHAgencies]]+WWWW[[#This Row],['#_Non Cluster partner latrines]]))</f>
        <v>0</v>
      </c>
      <c r="DM114" s="968">
        <f>IF(500*(WWWW[[#This Row],['#_male hygiene promoters]]+WWWW[[#This Row],['#_female hygiene promoters]])&gt;WWWW[[#This Row],[Total PoP ]],WWWW[[#This Row],[Total PoP ]],500*(WWWW[[#This Row],['#_male hygiene promoters]]+WWWW[[#This Row],['#_female hygiene promoters]]))</f>
        <v>0</v>
      </c>
      <c r="DN11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4" s="971">
        <f>IF(WWWW[[#This Row],['# People with access to soap]]&gt;WWWW[[#This Row],['# People with access to Sanity Pads]],WWWW[[#This Row],['# People with access to soap]],WWWW[[#This Row],['# People with access to Sanity Pads]])</f>
        <v>0</v>
      </c>
      <c r="DQ11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4" s="973">
        <f>IF(WWWW[[#This Row],[HRP3]]/WWWW[[#This Row],[Total PoP ]]&gt;1,1,WWWW[[#This Row],[HRP3]]/WWWW[[#This Row],[Total PoP ]])</f>
        <v>0</v>
      </c>
      <c r="DS114" s="972">
        <f>1-WWWW[[#This Row],[Hygiene Coverage%]]</f>
        <v>1</v>
      </c>
      <c r="DT114" s="970">
        <f>WWWW[[#This Row],['# people reached by regular dedicated hygiene promotion_5]]/WWWW[[#This Row],[Total PoP ]]</f>
        <v>0</v>
      </c>
      <c r="DU11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4" s="971">
        <f>WWWW[[#This Row],['#_Constructed/Existing hand washing stations]]-WWWW[[#This Row],['#_Non-Functional_hand_washing_stations]]</f>
        <v>0</v>
      </c>
      <c r="DX114" s="968">
        <f>IF(WWWW[[#This Row],['# Functional hand washing stations during reporting period]]*20&gt;WWWW[[#This Row],[Total HH]],WWWW[[#This Row],[Total HH]],WWWW[[#This Row],['# Functional hand washing stations during reporting period]]*20)</f>
        <v>0</v>
      </c>
      <c r="DY114" s="968">
        <f>IF(WWWW[[#This Row],[Is sufficient soap available for TLS? (Yes/No)]]="yes",WWWW[[#This Row],['#_Constructed/Existing hand washing stations at TLS/CFS/THF]],0)</f>
        <v>0</v>
      </c>
      <c r="DZ114" s="425">
        <f>IF(WWWW[[#This Row],['# Functional hand washing stations during reporting period]]*100&gt;WWWW[[#This Row],[Total PoP ]],WWWW[[#This Row],[Total PoP ]],WWWW[[#This Row],['# Functional hand washing stations during reporting period]]*100)</f>
        <v>0</v>
      </c>
      <c r="EA114" s="425" t="str">
        <f>IF(OR(WWWW[[#This Row],['#_students at TLS_CFS]]="",WWWW[[#This Row],['#_students at TLS_CFS]]=0),"No","Yes")</f>
        <v>No</v>
      </c>
      <c r="EB11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4" s="570">
        <f>WWWW[[#This Row],[%_of_affected_people_surveyed_who_report_feeling_satistfied_with_the_latrine_design_and_sanitation_service]]*WWWW[[#This Row],[Total PoP ]]</f>
        <v>0</v>
      </c>
      <c r="ED114" s="570">
        <f>WWWW[[#This Row],[%_of_affected_people_surveyed_who_report_feeling_satistfied_with_the_water_point_design_and_water_service]]*WWWW[[#This Row],[Total PoP ]]</f>
        <v>0</v>
      </c>
      <c r="EE114" s="570">
        <f>WWWW[[#This Row],[%_of_complaints_received_that_result_in_timely_corrective_action_and_feedback_to_the_community]]*WWWW[[#This Row],[Total PoP ]]</f>
        <v>0</v>
      </c>
      <c r="EF11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4" s="964">
        <f>VLOOKUP(WWWW[[#This Row],[Site Name]],SiteDB6[[Site Name]:[CCCM Management]],6,FALSE)</f>
        <v>0</v>
      </c>
      <c r="EJ114" s="964">
        <f>VLOOKUP(WWWW[[#This Row],[Site Name]],SiteDB6[[Site Name]:[CCCM Focal Agency]],7,FALSE)</f>
        <v>0</v>
      </c>
      <c r="EK114" s="964" t="str">
        <f>VLOOKUP(WWWW[[#This Row],[Site Name]],SiteDB6[[Site Name]:[Location Type 1]],9,FALSE)</f>
        <v>Relocated</v>
      </c>
      <c r="EL114" s="964" t="str">
        <f>VLOOKUP(WWWW[[#This Row],[Site Name]],SiteDB6[[Site Name]:[Type of Accommodation]],10,FALSE)</f>
        <v>Relocated-Individual House</v>
      </c>
      <c r="EM114" s="964" t="str">
        <f>VLOOKUP(WWWW[[#This Row],[Site Name]],SiteDB6[[Site Name]:[Ethnic or GCA/NGCA]],11,FALSE)</f>
        <v>GCA</v>
      </c>
      <c r="EN114" s="964">
        <f>VLOOKUP(WWWW[[#This Row],[Site Name]],SiteDB6[[Site Name]:[Lat]],12,FALSE)</f>
        <v>23.363275999999999</v>
      </c>
      <c r="EO114" s="964">
        <f>VLOOKUP(WWWW[[#This Row],[Site Name]],SiteDB6[[Site Name]:[Long]],13,FALSE)</f>
        <v>98.472977999999998</v>
      </c>
      <c r="EP114" s="964" t="str">
        <f>VLOOKUP(WWWW[[#This Row],[Site Name]],SiteDB6[[Site Name]:[Pcode]],3,FALSE)</f>
        <v>MMR015CMP072</v>
      </c>
      <c r="EQ114" s="969" t="str">
        <f t="shared" si="3"/>
        <v>Notcovered</v>
      </c>
      <c r="ER114" s="969"/>
      <c r="ES114" s="964">
        <f>VLOOKUP(WWWW[[#This Row],[Site Name]],SiteDB6[[Site Name]:[Pop
(Kachin/Shan-CCCM as of March 2023)]],16,FALSE)</f>
        <v>657</v>
      </c>
      <c r="ET114" s="964">
        <f>VLOOKUP(WWWW[[#This Row],[Site Name]],SiteDB6[[Site Name]:[Pop
(Kachin/Shan-CCCM as of March 2023)]],17,FALSE)</f>
        <v>2786</v>
      </c>
    </row>
    <row r="115" spans="1:150" hidden="1">
      <c r="A115" s="962" t="s">
        <v>2977</v>
      </c>
      <c r="B115" s="962" t="s">
        <v>309</v>
      </c>
      <c r="C115" s="963" t="s">
        <v>309</v>
      </c>
      <c r="D115" s="963"/>
      <c r="E115" s="963" t="s">
        <v>515</v>
      </c>
      <c r="F115" s="963" t="s">
        <v>963</v>
      </c>
      <c r="G115" s="964" t="str">
        <f>VLOOKUP(WWWW[[#This Row],[Site Name]],SiteDB6[[Site Name]:[Location Type]],8,FALSE)</f>
        <v>Camp</v>
      </c>
      <c r="H115" s="963" t="s">
        <v>2586</v>
      </c>
      <c r="I115" s="965">
        <v>34</v>
      </c>
      <c r="J115" s="965">
        <v>170</v>
      </c>
      <c r="K115" s="966"/>
      <c r="L115" s="967"/>
      <c r="M115" s="965"/>
      <c r="N115" s="965"/>
      <c r="O115" s="965"/>
      <c r="P115" s="965"/>
      <c r="Q115" s="968"/>
      <c r="R115" s="965"/>
      <c r="S115" s="965"/>
      <c r="T115" s="44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445"/>
      <c r="AP115" s="969"/>
      <c r="AQ115" s="965"/>
      <c r="AR115" s="965"/>
      <c r="AS115" s="970"/>
      <c r="AT115" s="965"/>
      <c r="AU115" s="965"/>
      <c r="AV115" s="965"/>
      <c r="AW115" s="965"/>
      <c r="AX115" s="965"/>
      <c r="AY115" s="964" t="s">
        <v>140</v>
      </c>
      <c r="AZ115" s="969" t="s">
        <v>140</v>
      </c>
      <c r="BA115" s="965"/>
      <c r="BB115" s="965"/>
      <c r="BC115" s="965"/>
      <c r="BD115" s="445"/>
      <c r="BE115" s="445"/>
      <c r="BF115" s="964"/>
      <c r="BG115" s="965"/>
      <c r="BH115" s="965"/>
      <c r="BI115" s="965"/>
      <c r="BJ115" s="965"/>
      <c r="BK115" s="965"/>
      <c r="BL115" s="965"/>
      <c r="BM115" s="965"/>
      <c r="BN115" s="965"/>
      <c r="BO115" s="965"/>
      <c r="BP115" s="964"/>
      <c r="BQ115" s="971"/>
      <c r="BR115" s="970"/>
      <c r="BS115" s="964"/>
      <c r="BT115" s="420"/>
      <c r="BU115" s="420"/>
      <c r="BV115" s="422"/>
      <c r="BW115" s="420"/>
      <c r="BX115" s="445"/>
      <c r="BY115" s="445"/>
      <c r="BZ115" s="445"/>
      <c r="CA115" s="445"/>
      <c r="CB115" s="445"/>
      <c r="CC115" s="702"/>
      <c r="CD115" s="445"/>
      <c r="CE115" s="972" t="str">
        <f>IFERROR(WWWW[[#This Row],['#_Water sources passed]]/WWWW[[#This Row],['#_Water sources tested for fecal coliform ]],"no test")</f>
        <v>no test</v>
      </c>
      <c r="CF115" s="970" t="str">
        <f>IFERROR(WWWW[[#This Row],['#_Household passed]]/WWWW[[#This Row],['#_Household water samples tested for fecal coliform]],"no test")</f>
        <v>no test</v>
      </c>
      <c r="CG115" s="971" t="str">
        <f>IF(AND(WWWW[[#This Row],[% of water sources passed]]="no test",WWWW[[#This Row],[% Household passed]]="no test"),"No Test","Tested")</f>
        <v>No Test</v>
      </c>
      <c r="CH115" s="971">
        <f>WWWW[[#This Row],['#_Constructed/existing protected hand dug well]]-WWWW[[#This Row],['#_Non-functional protected hand dug well]]</f>
        <v>0</v>
      </c>
      <c r="CI115" s="971">
        <f>(WWWW[[#This Row],['#_Constructed/Existing tube wells/boreholes/handpumps_WASH_agency]]+WWWW[[#This Row],['#_Non-Cluster partner water tube-wells/boreholes/handpumps]])-WWWW[[#This Row],['#_Non-functional tube wells/boreholes/handpumps]]</f>
        <v>0</v>
      </c>
      <c r="CJ115" s="971">
        <f>WWWW[[#This Row],['#_Constructed/Existingwater storage tank with gravity fed reticulation system]]-WWWW[[#This Row],['#_Non-functional storage tank gravity fed reticulation system]]</f>
        <v>0</v>
      </c>
      <c r="CK115" s="971">
        <f>(WWWW[[#This Row],['#_Water_Liters_supplied_by_Water boating or water trucking]]/90)/15</f>
        <v>0</v>
      </c>
      <c r="CL115" s="971">
        <f>WWWW[[#This Row],['#_Water_Liters_from_Constructed/Existing water distribution system from river or natural spring]]/90/15</f>
        <v>0</v>
      </c>
      <c r="CM115" s="421">
        <f>IF(WWWW[[#This Row],['#_of water points in TLS/CFS]]*500&gt;WWWW[[#This Row],[Total PoP ]],WWWW[[#This Row],[Total PoP ]],WWWW[[#This Row],['#_of water points in TLS/CFS]]*500)</f>
        <v>0</v>
      </c>
      <c r="CN115" s="421">
        <f>IF(WWWW[[#This Row],['#_of water points in THF]]*500&gt;WWWW[[#This Row],[Total PoP ]],WWWW[[#This Row],[Total PoP ]],WWWW[[#This Row],['#_of water points in THF]]*500)</f>
        <v>0</v>
      </c>
      <c r="CO115" s="421"/>
      <c r="CP11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5" s="970">
        <f>IF(WWWW[[#This Row],[Location Type 1]]="Village",WWWW[[#This Row],[Access to safe drinking water for Village]],WWWW[[#This Row],[Access to safe drinking water for Camp]])</f>
        <v>0</v>
      </c>
      <c r="CS115" s="968">
        <f>WWWW[[#This Row],[%Equitable and continuous access to sufficient quantity of safe drinking water]]*WWWW[[#This Row],[Total PoP ]]</f>
        <v>0</v>
      </c>
      <c r="CT115" s="970">
        <f>IF((WWWW[[#This Row],['#_Constructed/Existing protected/fenced ponds]]*250)/WWWW[[#This Row],[Total PoP ]]&gt;1,1,(WWWW[[#This Row],['#_Constructed/Existing protected/fenced ponds]]*250)/WWWW[[#This Row],[Total PoP ]])</f>
        <v>0</v>
      </c>
      <c r="CU115" s="968">
        <f>WWWW[[#This Row],[% Access to unimproved water points]]*WWWW[[#This Row],[Total PoP ]]</f>
        <v>0</v>
      </c>
      <c r="CV11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5" s="968">
        <f>WWWW[[#This Row],[HRP1]]/500</f>
        <v>0</v>
      </c>
      <c r="CY115" s="973">
        <f>1-WWWW[[#This Row],[% Equitable and continuous access to sufficient quantity of domestic water]]</f>
        <v>1</v>
      </c>
      <c r="CZ115" s="968">
        <f>WWWW[[#This Row],[%equitable and continuous access to sufficient quantity of safe drinking and domestic water''s GAP]]*WWWW[[#This Row],[Total PoP ]]</f>
        <v>170</v>
      </c>
      <c r="DA115" s="971">
        <f>IF(WWWW[[#This Row],[Total required water points]]-WWWW[[#This Row],['#Water points coverage]]&lt;0,0,WWWW[[#This Row],[Total required water points]]-WWWW[[#This Row],['#Water points coverage]])</f>
        <v>1</v>
      </c>
      <c r="DB115" s="971">
        <f>ROUND(IF(WWWW[[#This Row],[Total PoP ]]&lt;500,1,WWWW[[#This Row],[Total PoP ]]/500),0)</f>
        <v>1</v>
      </c>
      <c r="DC115" s="971">
        <f>(WWWW[[#This Row],['#_Constructed latrines_by_WASHAgencies]]+WWWW[[#This Row],['#_Non Cluster partner latrines]])-WWWW[[#This Row],['#_Non-functional latrines]]</f>
        <v>0</v>
      </c>
      <c r="DD115" s="619">
        <f>WWWW[[#This Row],[HRP2]]/WWWW[[#This Row],[Total PoP ]]</f>
        <v>0</v>
      </c>
      <c r="DE11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1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5" s="421">
        <f>IF(WWWW[[#This Row],['# of functional latrines in THF supported by WASH partners during the reporting period2]]="",0,WWWW[[#This Row],['# of functional latrines in THF supported by WASH partners during the reporting period2]]*50)</f>
        <v>0</v>
      </c>
      <c r="DI115" s="971">
        <f>ROUND(IF(WWWW[[#This Row],[Location Type 1]]="camp",WWWW[[#This Row],[Total PoP ]]/20,IF(WWWW[[#This Row],[Location Type 1]]="Temporary Location",WWWW[[#This Row],[Total PoP ]]/50,(WWWW[[#This Row],[Total PoP ]]/6))),0)</f>
        <v>9</v>
      </c>
      <c r="DJ115" s="971">
        <f>IF(WWWW[[#This Row],[Total required Latrines]]-(WWWW[[#This Row],['#_Constructed latrines_by_WASHAgencies]]+WWWW[[#This Row],['#_Non Cluster partner latrines]])&lt;0,0,WWWW[[#This Row],[Total required Latrines]]-(WWWW[[#This Row],['#_Constructed latrines_by_WASHAgencies]]+WWWW[[#This Row],['#_Non Cluster partner latrines]]))</f>
        <v>9</v>
      </c>
      <c r="DK115" s="973">
        <f>1-WWWW[[#This Row],[% people access to functioning Latrine]]</f>
        <v>1</v>
      </c>
      <c r="DL115" s="972">
        <f>IF(OR(WWWW[[#This Row],['#_Non-functional latrines]]="",WWWW[[#This Row],['#_Non-functional latrines]]=0),0,WWWW[[#This Row],['#_Non-functional latrines]]/(WWWW[[#This Row],['#_Constructed latrines_by_WASHAgencies]]+WWWW[[#This Row],['#_Non Cluster partner latrines]]))</f>
        <v>0</v>
      </c>
      <c r="DM115" s="968">
        <f>IF(500*(WWWW[[#This Row],['#_male hygiene promoters]]+WWWW[[#This Row],['#_female hygiene promoters]])&gt;WWWW[[#This Row],[Total PoP ]],WWWW[[#This Row],[Total PoP ]],500*(WWWW[[#This Row],['#_male hygiene promoters]]+WWWW[[#This Row],['#_female hygiene promoters]]))</f>
        <v>0</v>
      </c>
      <c r="DN11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5" s="971">
        <f>IF(WWWW[[#This Row],['# People with access to soap]]&gt;WWWW[[#This Row],['# People with access to Sanity Pads]],WWWW[[#This Row],['# People with access to soap]],WWWW[[#This Row],['# People with access to Sanity Pads]])</f>
        <v>0</v>
      </c>
      <c r="DQ11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5" s="973">
        <f>IF(WWWW[[#This Row],[HRP3]]/WWWW[[#This Row],[Total PoP ]]&gt;1,1,WWWW[[#This Row],[HRP3]]/WWWW[[#This Row],[Total PoP ]])</f>
        <v>0</v>
      </c>
      <c r="DS115" s="972">
        <f>1-WWWW[[#This Row],[Hygiene Coverage%]]</f>
        <v>1</v>
      </c>
      <c r="DT115" s="970">
        <f>WWWW[[#This Row],['# people reached by regular dedicated hygiene promotion_5]]/WWWW[[#This Row],[Total PoP ]]</f>
        <v>0</v>
      </c>
      <c r="DU11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5" s="971">
        <f>WWWW[[#This Row],['#_Constructed/Existing hand washing stations]]-WWWW[[#This Row],['#_Non-Functional_hand_washing_stations]]</f>
        <v>0</v>
      </c>
      <c r="DX115" s="968">
        <f>IF(WWWW[[#This Row],['# Functional hand washing stations during reporting period]]*20&gt;WWWW[[#This Row],[Total HH]],WWWW[[#This Row],[Total HH]],WWWW[[#This Row],['# Functional hand washing stations during reporting period]]*20)</f>
        <v>0</v>
      </c>
      <c r="DY115" s="968">
        <f>IF(WWWW[[#This Row],[Is sufficient soap available for TLS? (Yes/No)]]="yes",WWWW[[#This Row],['#_Constructed/Existing hand washing stations at TLS/CFS/THF]],0)</f>
        <v>0</v>
      </c>
      <c r="DZ115" s="425">
        <f>IF(WWWW[[#This Row],['# Functional hand washing stations during reporting period]]*100&gt;WWWW[[#This Row],[Total PoP ]],WWWW[[#This Row],[Total PoP ]],WWWW[[#This Row],['# Functional hand washing stations during reporting period]]*100)</f>
        <v>0</v>
      </c>
      <c r="EA115" s="425" t="str">
        <f>IF(OR(WWWW[[#This Row],['#_students at TLS_CFS]]="",WWWW[[#This Row],['#_students at TLS_CFS]]=0),"No","Yes")</f>
        <v>No</v>
      </c>
      <c r="EB11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5" s="570">
        <f>WWWW[[#This Row],[%_of_affected_people_surveyed_who_report_feeling_satistfied_with_the_latrine_design_and_sanitation_service]]*WWWW[[#This Row],[Total PoP ]]</f>
        <v>0</v>
      </c>
      <c r="ED115" s="570">
        <f>WWWW[[#This Row],[%_of_affected_people_surveyed_who_report_feeling_satistfied_with_the_water_point_design_and_water_service]]*WWWW[[#This Row],[Total PoP ]]</f>
        <v>0</v>
      </c>
      <c r="EE115" s="570">
        <f>WWWW[[#This Row],[%_of_complaints_received_that_result_in_timely_corrective_action_and_feedback_to_the_community]]*WWWW[[#This Row],[Total PoP ]]</f>
        <v>0</v>
      </c>
      <c r="EF11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5" s="964">
        <f>VLOOKUP(WWWW[[#This Row],[Site Name]],SiteDB6[[Site Name]:[CCCM Management]],6,FALSE)</f>
        <v>0</v>
      </c>
      <c r="EJ115" s="964">
        <f>VLOOKUP(WWWW[[#This Row],[Site Name]],SiteDB6[[Site Name]:[CCCM Focal Agency]],7,FALSE)</f>
        <v>0</v>
      </c>
      <c r="EK115" s="964" t="str">
        <f>VLOOKUP(WWWW[[#This Row],[Site Name]],SiteDB6[[Site Name]:[Location Type 1]],9,FALSE)</f>
        <v>Camp</v>
      </c>
      <c r="EL115" s="964" t="str">
        <f>VLOOKUP(WWWW[[#This Row],[Site Name]],SiteDB6[[Site Name]:[Type of Accommodation]],10,FALSE)</f>
        <v>Camp Like setting</v>
      </c>
      <c r="EM115" s="964" t="str">
        <f>VLOOKUP(WWWW[[#This Row],[Site Name]],SiteDB6[[Site Name]:[Ethnic or GCA/NGCA]],11,FALSE)</f>
        <v>GCA</v>
      </c>
      <c r="EN115" s="964">
        <f>VLOOKUP(WWWW[[#This Row],[Site Name]],SiteDB6[[Site Name]:[Lat]],12,FALSE)</f>
        <v>23.729893000000001</v>
      </c>
      <c r="EO115" s="964">
        <f>VLOOKUP(WWWW[[#This Row],[Site Name]],SiteDB6[[Site Name]:[Long]],13,FALSE)</f>
        <v>98.779853500000002</v>
      </c>
      <c r="EP115" s="964" t="str">
        <f>VLOOKUP(WWWW[[#This Row],[Site Name]],SiteDB6[[Site Name]:[Pcode]],3,FALSE)</f>
        <v>MMR015CMP070</v>
      </c>
      <c r="EQ115" s="969" t="str">
        <f t="shared" si="3"/>
        <v>Notcovered</v>
      </c>
      <c r="ER115" s="969"/>
      <c r="ES115" s="964">
        <f>VLOOKUP(WWWW[[#This Row],[Site Name]],SiteDB6[[Site Name]:[Pop
(Kachin/Shan-CCCM as of March 2023)]],16,FALSE)</f>
        <v>34</v>
      </c>
      <c r="ET115" s="964">
        <f>VLOOKUP(WWWW[[#This Row],[Site Name]],SiteDB6[[Site Name]:[Pop
(Kachin/Shan-CCCM as of March 2023)]],17,FALSE)</f>
        <v>170</v>
      </c>
    </row>
    <row r="116" spans="1:150" hidden="1">
      <c r="A116" s="962" t="s">
        <v>2977</v>
      </c>
      <c r="B116" s="962" t="s">
        <v>192</v>
      </c>
      <c r="C116" s="963" t="s">
        <v>192</v>
      </c>
      <c r="D116" s="963" t="s">
        <v>241</v>
      </c>
      <c r="E116" s="963" t="s">
        <v>515</v>
      </c>
      <c r="F116" s="963" t="s">
        <v>960</v>
      </c>
      <c r="G116" s="964" t="s">
        <v>43</v>
      </c>
      <c r="H116" s="963" t="s">
        <v>2860</v>
      </c>
      <c r="I116" s="965">
        <v>54</v>
      </c>
      <c r="J116" s="965">
        <v>179</v>
      </c>
      <c r="K116" s="966">
        <v>44511</v>
      </c>
      <c r="L116" s="967">
        <v>44875</v>
      </c>
      <c r="M116" s="965"/>
      <c r="N116" s="965"/>
      <c r="O116" s="965"/>
      <c r="P116" s="965"/>
      <c r="Q116" s="968"/>
      <c r="R116" s="965"/>
      <c r="S116" s="965"/>
      <c r="T116" s="445"/>
      <c r="U116" s="965"/>
      <c r="V116" s="965"/>
      <c r="W116" s="965"/>
      <c r="X116" s="965">
        <v>2</v>
      </c>
      <c r="Y116" s="965"/>
      <c r="Z116" s="965"/>
      <c r="AA116" s="965"/>
      <c r="AB116" s="965"/>
      <c r="AC116" s="965"/>
      <c r="AD116" s="965"/>
      <c r="AE116" s="965"/>
      <c r="AF116" s="965"/>
      <c r="AG116" s="965"/>
      <c r="AH116" s="965"/>
      <c r="AI116" s="965"/>
      <c r="AJ116" s="965"/>
      <c r="AK116" s="965"/>
      <c r="AL116" s="965"/>
      <c r="AM116" s="965"/>
      <c r="AN116" s="965"/>
      <c r="AO116" s="445"/>
      <c r="AP116" s="969"/>
      <c r="AQ116" s="965">
        <v>24</v>
      </c>
      <c r="AR116" s="965">
        <v>6</v>
      </c>
      <c r="AS116" s="970"/>
      <c r="AT116" s="965"/>
      <c r="AU116" s="965"/>
      <c r="AV116" s="965"/>
      <c r="AW116" s="965"/>
      <c r="AX116" s="965"/>
      <c r="AY116" s="964" t="s">
        <v>140</v>
      </c>
      <c r="AZ116" s="969" t="s">
        <v>140</v>
      </c>
      <c r="BA116" s="965"/>
      <c r="BB116" s="965"/>
      <c r="BC116" s="965"/>
      <c r="BD116" s="445"/>
      <c r="BE116" s="445"/>
      <c r="BF116" s="964"/>
      <c r="BG116" s="965">
        <v>20</v>
      </c>
      <c r="BH116" s="965"/>
      <c r="BI116" s="965">
        <v>2</v>
      </c>
      <c r="BJ116" s="965"/>
      <c r="BK116" s="965"/>
      <c r="BL116" s="965"/>
      <c r="BM116" s="965"/>
      <c r="BN116" s="965"/>
      <c r="BO116" s="965"/>
      <c r="BP116" s="964" t="s">
        <v>41</v>
      </c>
      <c r="BQ116" s="971"/>
      <c r="BR116" s="970"/>
      <c r="BS116" s="964"/>
      <c r="BT116" s="420"/>
      <c r="BU116" s="420"/>
      <c r="BV116" s="422"/>
      <c r="BW116" s="420"/>
      <c r="BX116" s="445"/>
      <c r="BY116" s="445"/>
      <c r="BZ116" s="445"/>
      <c r="CA116" s="445"/>
      <c r="CB116" s="445"/>
      <c r="CC116" s="702"/>
      <c r="CD116" s="445"/>
      <c r="CE116" s="972" t="str">
        <f>IFERROR(WWWW[[#This Row],['#_Water sources passed]]/WWWW[[#This Row],['#_Water sources tested for fecal coliform ]],"no test")</f>
        <v>no test</v>
      </c>
      <c r="CF116" s="970" t="str">
        <f>IFERROR(WWWW[[#This Row],['#_Household passed]]/WWWW[[#This Row],['#_Household water samples tested for fecal coliform]],"no test")</f>
        <v>no test</v>
      </c>
      <c r="CG116" s="971" t="str">
        <f>IF(AND(WWWW[[#This Row],[% of water sources passed]]="no test",WWWW[[#This Row],[% Household passed]]="no test"),"No Test","Tested")</f>
        <v>No Test</v>
      </c>
      <c r="CH116" s="971">
        <f>WWWW[[#This Row],['#_Constructed/existing protected hand dug well]]-WWWW[[#This Row],['#_Non-functional protected hand dug well]]</f>
        <v>0</v>
      </c>
      <c r="CI116" s="971">
        <f>(WWWW[[#This Row],['#_Constructed/Existing tube wells/boreholes/handpumps_WASH_agency]]+WWWW[[#This Row],['#_Non-Cluster partner water tube-wells/boreholes/handpumps]])-WWWW[[#This Row],['#_Non-functional tube wells/boreholes/handpumps]]</f>
        <v>2</v>
      </c>
      <c r="CJ116" s="971">
        <f>WWWW[[#This Row],['#_Constructed/Existingwater storage tank with gravity fed reticulation system]]-WWWW[[#This Row],['#_Non-functional storage tank gravity fed reticulation system]]</f>
        <v>0</v>
      </c>
      <c r="CK116" s="971">
        <f>(WWWW[[#This Row],['#_Water_Liters_supplied_by_Water boating or water trucking]]/90)/15</f>
        <v>0</v>
      </c>
      <c r="CL116" s="971">
        <f>WWWW[[#This Row],['#_Water_Liters_from_Constructed/Existing water distribution system from river or natural spring]]/90/15</f>
        <v>0</v>
      </c>
      <c r="CM116" s="421">
        <f>IF(WWWW[[#This Row],['#_of water points in TLS/CFS]]*500&gt;WWWW[[#This Row],[Total PoP ]],WWWW[[#This Row],[Total PoP ]],WWWW[[#This Row],['#_of water points in TLS/CFS]]*500)</f>
        <v>0</v>
      </c>
      <c r="CN116" s="421">
        <f>IF(WWWW[[#This Row],['#_of water points in THF]]*500&gt;WWWW[[#This Row],[Total PoP ]],WWWW[[#This Row],[Total PoP ]],WWWW[[#This Row],['#_of water points in THF]]*500)</f>
        <v>0</v>
      </c>
      <c r="CO116" s="421"/>
      <c r="CP11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6" s="970">
        <f>IF(WWWW[[#This Row],[Location Type 1]]="Village",WWWW[[#This Row],[Access to safe drinking water for Village]],WWWW[[#This Row],[Access to safe drinking water for Camp]])</f>
        <v>1</v>
      </c>
      <c r="CS116" s="968">
        <f>WWWW[[#This Row],[%Equitable and continuous access to sufficient quantity of safe drinking water]]*WWWW[[#This Row],[Total PoP ]]</f>
        <v>179</v>
      </c>
      <c r="CT116" s="970">
        <f>IF((WWWW[[#This Row],['#_Constructed/Existing protected/fenced ponds]]*250)/WWWW[[#This Row],[Total PoP ]]&gt;1,1,(WWWW[[#This Row],['#_Constructed/Existing protected/fenced ponds]]*250)/WWWW[[#This Row],[Total PoP ]])</f>
        <v>0</v>
      </c>
      <c r="CU116" s="968">
        <f>WWWW[[#This Row],[% Access to unimproved water points]]*WWWW[[#This Row],[Total PoP ]]</f>
        <v>0</v>
      </c>
      <c r="CV11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v>
      </c>
      <c r="CX116" s="968">
        <f>WWWW[[#This Row],[HRP1]]/500</f>
        <v>0.35799999999999998</v>
      </c>
      <c r="CY116" s="973">
        <f>1-WWWW[[#This Row],[% Equitable and continuous access to sufficient quantity of domestic water]]</f>
        <v>0</v>
      </c>
      <c r="CZ116" s="968">
        <f>WWWW[[#This Row],[%equitable and continuous access to sufficient quantity of safe drinking and domestic water''s GAP]]*WWWW[[#This Row],[Total PoP ]]</f>
        <v>0</v>
      </c>
      <c r="DA116" s="971">
        <f>IF(WWWW[[#This Row],[Total required water points]]-WWWW[[#This Row],['#Water points coverage]]&lt;0,0,WWWW[[#This Row],[Total required water points]]-WWWW[[#This Row],['#Water points coverage]])</f>
        <v>0.64200000000000002</v>
      </c>
      <c r="DB116" s="971">
        <f>ROUND(IF(WWWW[[#This Row],[Total PoP ]]&lt;500,1,WWWW[[#This Row],[Total PoP ]]/500),0)</f>
        <v>1</v>
      </c>
      <c r="DC116" s="971">
        <f>(WWWW[[#This Row],['#_Constructed latrines_by_WASHAgencies]]+WWWW[[#This Row],['#_Non Cluster partner latrines]])-WWWW[[#This Row],['#_Non-functional latrines]]</f>
        <v>30</v>
      </c>
      <c r="DD116" s="619">
        <f>WWWW[[#This Row],[HRP2]]/WWWW[[#This Row],[Total PoP ]]</f>
        <v>1</v>
      </c>
      <c r="DE11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179</v>
      </c>
      <c r="DF11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6" s="421">
        <f>IF(WWWW[[#This Row],['# of functional latrines in THF supported by WASH partners during the reporting period2]]="",0,WWWW[[#This Row],['# of functional latrines in THF supported by WASH partners during the reporting period2]]*50)</f>
        <v>0</v>
      </c>
      <c r="DI116" s="971">
        <f>ROUND(IF(WWWW[[#This Row],[Location Type 1]]="camp",WWWW[[#This Row],[Total PoP ]]/20,IF(WWWW[[#This Row],[Location Type 1]]="Temporary Location",WWWW[[#This Row],[Total PoP ]]/50,(WWWW[[#This Row],[Total PoP ]]/6))),0)</f>
        <v>9</v>
      </c>
      <c r="DJ116" s="971">
        <f>IF(WWWW[[#This Row],[Total required Latrines]]-(WWWW[[#This Row],['#_Constructed latrines_by_WASHAgencies]]+WWWW[[#This Row],['#_Non Cluster partner latrines]])&lt;0,0,WWWW[[#This Row],[Total required Latrines]]-(WWWW[[#This Row],['#_Constructed latrines_by_WASHAgencies]]+WWWW[[#This Row],['#_Non Cluster partner latrines]]))</f>
        <v>0</v>
      </c>
      <c r="DK116" s="973">
        <f>1-WWWW[[#This Row],[% people access to functioning Latrine]]</f>
        <v>0</v>
      </c>
      <c r="DL116" s="972">
        <f>IF(OR(WWWW[[#This Row],['#_Non-functional latrines]]="",WWWW[[#This Row],['#_Non-functional latrines]]=0),0,WWWW[[#This Row],['#_Non-functional latrines]]/(WWWW[[#This Row],['#_Constructed latrines_by_WASHAgencies]]+WWWW[[#This Row],['#_Non Cluster partner latrines]]))</f>
        <v>0</v>
      </c>
      <c r="DM116" s="968">
        <f>IF(500*(WWWW[[#This Row],['#_male hygiene promoters]]+WWWW[[#This Row],['#_female hygiene promoters]])&gt;WWWW[[#This Row],[Total PoP ]],WWWW[[#This Row],[Total PoP ]],500*(WWWW[[#This Row],['#_male hygiene promoters]]+WWWW[[#This Row],['#_female hygiene promoters]]))</f>
        <v>0</v>
      </c>
      <c r="DN11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6" s="971">
        <f>IF(WWWW[[#This Row],['# People with access to soap]]&gt;WWWW[[#This Row],['# People with access to Sanity Pads]],WWWW[[#This Row],['# People with access to soap]],WWWW[[#This Row],['# People with access to Sanity Pads]])</f>
        <v>0</v>
      </c>
      <c r="DQ11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6" s="973">
        <f>IF(WWWW[[#This Row],[HRP3]]/WWWW[[#This Row],[Total PoP ]]&gt;1,1,WWWW[[#This Row],[HRP3]]/WWWW[[#This Row],[Total PoP ]])</f>
        <v>0</v>
      </c>
      <c r="DS116" s="972">
        <f>1-WWWW[[#This Row],[Hygiene Coverage%]]</f>
        <v>1</v>
      </c>
      <c r="DT116" s="970">
        <f>WWWW[[#This Row],['# people reached by regular dedicated hygiene promotion_5]]/WWWW[[#This Row],[Total PoP ]]</f>
        <v>0</v>
      </c>
      <c r="DU11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6" s="971">
        <f>WWWW[[#This Row],['#_Constructed/Existing hand washing stations]]-WWWW[[#This Row],['#_Non-Functional_hand_washing_stations]]</f>
        <v>20</v>
      </c>
      <c r="DX116" s="968">
        <f>IF(WWWW[[#This Row],['# Functional hand washing stations during reporting period]]*20&gt;WWWW[[#This Row],[Total HH]],WWWW[[#This Row],[Total HH]],WWWW[[#This Row],['# Functional hand washing stations during reporting period]]*20)</f>
        <v>54</v>
      </c>
      <c r="DY116" s="968">
        <f>IF(WWWW[[#This Row],[Is sufficient soap available for TLS? (Yes/No)]]="yes",WWWW[[#This Row],['#_Constructed/Existing hand washing stations at TLS/CFS/THF]],0)</f>
        <v>0</v>
      </c>
      <c r="DZ116" s="425">
        <f>IF(WWWW[[#This Row],['# Functional hand washing stations during reporting period]]*100&gt;WWWW[[#This Row],[Total PoP ]],WWWW[[#This Row],[Total PoP ]],WWWW[[#This Row],['# Functional hand washing stations during reporting period]]*100)</f>
        <v>179</v>
      </c>
      <c r="EA116" s="425" t="str">
        <f>IF(OR(WWWW[[#This Row],['#_students at TLS_CFS]]="",WWWW[[#This Row],['#_students at TLS_CFS]]=0),"No","Yes")</f>
        <v>No</v>
      </c>
      <c r="EB11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6" s="570">
        <f>WWWW[[#This Row],[%_of_affected_people_surveyed_who_report_feeling_satistfied_with_the_latrine_design_and_sanitation_service]]*WWWW[[#This Row],[Total PoP ]]</f>
        <v>0</v>
      </c>
      <c r="ED116" s="570">
        <f>WWWW[[#This Row],[%_of_affected_people_surveyed_who_report_feeling_satistfied_with_the_water_point_design_and_water_service]]*WWWW[[#This Row],[Total PoP ]]</f>
        <v>0</v>
      </c>
      <c r="EE116" s="570">
        <f>WWWW[[#This Row],[%_of_complaints_received_that_result_in_timely_corrective_action_and_feedback_to_the_community]]*WWWW[[#This Row],[Total PoP ]]</f>
        <v>0</v>
      </c>
      <c r="EF11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6" s="964">
        <f>VLOOKUP(WWWW[[#This Row],[Site Name]],SiteDB6[[Site Name]:[CCCM Management]],6,FALSE)</f>
        <v>0</v>
      </c>
      <c r="EJ116" s="964">
        <f>VLOOKUP(WWWW[[#This Row],[Site Name]],SiteDB6[[Site Name]:[CCCM Focal Agency]],7,FALSE)</f>
        <v>0</v>
      </c>
      <c r="EK116" s="964" t="str">
        <f>VLOOKUP(WWWW[[#This Row],[Site Name]],SiteDB6[[Site Name]:[Location Type 1]],9,FALSE)</f>
        <v>Camp</v>
      </c>
      <c r="EL116" s="964" t="str">
        <f>VLOOKUP(WWWW[[#This Row],[Site Name]],SiteDB6[[Site Name]:[Type of Accommodation]],10,FALSE)</f>
        <v>Closed Camp</v>
      </c>
      <c r="EM116" s="964" t="str">
        <f>VLOOKUP(WWWW[[#This Row],[Site Name]],SiteDB6[[Site Name]:[Ethnic or GCA/NGCA]],11,FALSE)</f>
        <v>GCA</v>
      </c>
      <c r="EN116" s="964">
        <f>VLOOKUP(WWWW[[#This Row],[Site Name]],SiteDB6[[Site Name]:[Lat]],12,FALSE)</f>
        <v>0</v>
      </c>
      <c r="EO116" s="964">
        <f>VLOOKUP(WWWW[[#This Row],[Site Name]],SiteDB6[[Site Name]:[Long]],13,FALSE)</f>
        <v>0</v>
      </c>
      <c r="EP116" s="964" t="str">
        <f>VLOOKUP(WWWW[[#This Row],[Site Name]],SiteDB6[[Site Name]:[Pcode]],3,FALSE)</f>
        <v>MMR015CMP080</v>
      </c>
      <c r="EQ116" s="969" t="str">
        <f t="shared" si="3"/>
        <v>Covered</v>
      </c>
      <c r="ER116" s="969" t="s">
        <v>3147</v>
      </c>
      <c r="ES116" s="964">
        <f>VLOOKUP(WWWW[[#This Row],[Site Name]],SiteDB6[[Site Name]:[Pop
(Kachin/Shan-CCCM as of March 2023)]],16,FALSE)</f>
        <v>54</v>
      </c>
      <c r="ET116" s="964">
        <f>VLOOKUP(WWWW[[#This Row],[Site Name]],SiteDB6[[Site Name]:[Pop
(Kachin/Shan-CCCM as of March 2023)]],17,FALSE)</f>
        <v>155</v>
      </c>
    </row>
    <row r="117" spans="1:150" hidden="1">
      <c r="A117" s="962" t="s">
        <v>2977</v>
      </c>
      <c r="B117" s="962" t="s">
        <v>192</v>
      </c>
      <c r="C117" s="963" t="s">
        <v>192</v>
      </c>
      <c r="D117" s="963" t="s">
        <v>241</v>
      </c>
      <c r="E117" s="963" t="s">
        <v>515</v>
      </c>
      <c r="F117" s="963" t="s">
        <v>960</v>
      </c>
      <c r="G117" s="964" t="str">
        <f>VLOOKUP(WWWW[[#This Row],[Site Name]],SiteDB6[[Site Name]:[Location Type]],8,FALSE)</f>
        <v>Camp</v>
      </c>
      <c r="H117" s="963" t="s">
        <v>2861</v>
      </c>
      <c r="I117" s="965">
        <v>12</v>
      </c>
      <c r="J117" s="965">
        <v>26</v>
      </c>
      <c r="K117" s="966">
        <v>44511</v>
      </c>
      <c r="L117" s="967">
        <v>44875</v>
      </c>
      <c r="M117" s="965"/>
      <c r="N117" s="965"/>
      <c r="O117" s="965"/>
      <c r="P117" s="965"/>
      <c r="Q117" s="968"/>
      <c r="R117" s="965"/>
      <c r="S117" s="965"/>
      <c r="T117" s="445"/>
      <c r="U117" s="965"/>
      <c r="V117" s="965"/>
      <c r="W117" s="965"/>
      <c r="X117" s="965">
        <v>1</v>
      </c>
      <c r="Y117" s="965"/>
      <c r="Z117" s="965"/>
      <c r="AA117" s="965"/>
      <c r="AB117" s="965"/>
      <c r="AC117" s="965"/>
      <c r="AD117" s="965"/>
      <c r="AE117" s="965"/>
      <c r="AF117" s="965"/>
      <c r="AG117" s="965"/>
      <c r="AH117" s="965"/>
      <c r="AI117" s="965"/>
      <c r="AJ117" s="965"/>
      <c r="AK117" s="965"/>
      <c r="AL117" s="965"/>
      <c r="AM117" s="965"/>
      <c r="AN117" s="965"/>
      <c r="AO117" s="445"/>
      <c r="AP117" s="969"/>
      <c r="AQ117" s="965">
        <v>2</v>
      </c>
      <c r="AR117" s="965"/>
      <c r="AS117" s="970"/>
      <c r="AT117" s="965"/>
      <c r="AU117" s="965"/>
      <c r="AV117" s="965"/>
      <c r="AW117" s="965"/>
      <c r="AX117" s="965"/>
      <c r="AY117" s="964" t="s">
        <v>140</v>
      </c>
      <c r="AZ117" s="969" t="s">
        <v>140</v>
      </c>
      <c r="BA117" s="965"/>
      <c r="BB117" s="965"/>
      <c r="BC117" s="965"/>
      <c r="BD117" s="445"/>
      <c r="BE117" s="445"/>
      <c r="BF117" s="964"/>
      <c r="BG117" s="965">
        <v>4</v>
      </c>
      <c r="BH117" s="965"/>
      <c r="BI117" s="965"/>
      <c r="BJ117" s="965"/>
      <c r="BK117" s="965"/>
      <c r="BL117" s="965"/>
      <c r="BM117" s="965"/>
      <c r="BN117" s="965"/>
      <c r="BO117" s="965"/>
      <c r="BP117" s="964" t="s">
        <v>41</v>
      </c>
      <c r="BQ117" s="971"/>
      <c r="BR117" s="970"/>
      <c r="BS117" s="964"/>
      <c r="BT117" s="420"/>
      <c r="BU117" s="420"/>
      <c r="BV117" s="422"/>
      <c r="BW117" s="420"/>
      <c r="BX117" s="445"/>
      <c r="BY117" s="445"/>
      <c r="BZ117" s="445"/>
      <c r="CA117" s="445"/>
      <c r="CB117" s="445"/>
      <c r="CC117" s="702"/>
      <c r="CD117" s="445"/>
      <c r="CE117" s="972" t="str">
        <f>IFERROR(WWWW[[#This Row],['#_Water sources passed]]/WWWW[[#This Row],['#_Water sources tested for fecal coliform ]],"no test")</f>
        <v>no test</v>
      </c>
      <c r="CF117" s="970" t="str">
        <f>IFERROR(WWWW[[#This Row],['#_Household passed]]/WWWW[[#This Row],['#_Household water samples tested for fecal coliform]],"no test")</f>
        <v>no test</v>
      </c>
      <c r="CG117" s="971" t="str">
        <f>IF(AND(WWWW[[#This Row],[% of water sources passed]]="no test",WWWW[[#This Row],[% Household passed]]="no test"),"No Test","Tested")</f>
        <v>No Test</v>
      </c>
      <c r="CH117" s="971">
        <f>WWWW[[#This Row],['#_Constructed/existing protected hand dug well]]-WWWW[[#This Row],['#_Non-functional protected hand dug well]]</f>
        <v>0</v>
      </c>
      <c r="CI117" s="971">
        <f>(WWWW[[#This Row],['#_Constructed/Existing tube wells/boreholes/handpumps_WASH_agency]]+WWWW[[#This Row],['#_Non-Cluster partner water tube-wells/boreholes/handpumps]])-WWWW[[#This Row],['#_Non-functional tube wells/boreholes/handpumps]]</f>
        <v>1</v>
      </c>
      <c r="CJ117" s="971">
        <f>WWWW[[#This Row],['#_Constructed/Existingwater storage tank with gravity fed reticulation system]]-WWWW[[#This Row],['#_Non-functional storage tank gravity fed reticulation system]]</f>
        <v>0</v>
      </c>
      <c r="CK117" s="971">
        <f>(WWWW[[#This Row],['#_Water_Liters_supplied_by_Water boating or water trucking]]/90)/15</f>
        <v>0</v>
      </c>
      <c r="CL117" s="971">
        <f>WWWW[[#This Row],['#_Water_Liters_from_Constructed/Existing water distribution system from river or natural spring]]/90/15</f>
        <v>0</v>
      </c>
      <c r="CM117" s="421">
        <f>IF(WWWW[[#This Row],['#_of water points in TLS/CFS]]*500&gt;WWWW[[#This Row],[Total PoP ]],WWWW[[#This Row],[Total PoP ]],WWWW[[#This Row],['#_of water points in TLS/CFS]]*500)</f>
        <v>0</v>
      </c>
      <c r="CN117" s="421">
        <f>IF(WWWW[[#This Row],['#_of water points in THF]]*500&gt;WWWW[[#This Row],[Total PoP ]],WWWW[[#This Row],[Total PoP ]],WWWW[[#This Row],['#_of water points in THF]]*500)</f>
        <v>0</v>
      </c>
      <c r="CO117" s="421"/>
      <c r="CP11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7" s="970">
        <f>IF(WWWW[[#This Row],[Location Type 1]]="Village",WWWW[[#This Row],[Access to safe drinking water for Village]],WWWW[[#This Row],[Access to safe drinking water for Camp]])</f>
        <v>1</v>
      </c>
      <c r="CS117" s="968">
        <f>WWWW[[#This Row],[%Equitable and continuous access to sufficient quantity of safe drinking water]]*WWWW[[#This Row],[Total PoP ]]</f>
        <v>26</v>
      </c>
      <c r="CT117" s="970">
        <f>IF((WWWW[[#This Row],['#_Constructed/Existing protected/fenced ponds]]*250)/WWWW[[#This Row],[Total PoP ]]&gt;1,1,(WWWW[[#This Row],['#_Constructed/Existing protected/fenced ponds]]*250)/WWWW[[#This Row],[Total PoP ]])</f>
        <v>0</v>
      </c>
      <c r="CU117" s="968">
        <f>WWWW[[#This Row],[% Access to unimproved water points]]*WWWW[[#This Row],[Total PoP ]]</f>
        <v>0</v>
      </c>
      <c r="CV11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X117" s="968">
        <f>WWWW[[#This Row],[HRP1]]/500</f>
        <v>5.1999999999999998E-2</v>
      </c>
      <c r="CY117" s="973">
        <f>1-WWWW[[#This Row],[% Equitable and continuous access to sufficient quantity of domestic water]]</f>
        <v>0</v>
      </c>
      <c r="CZ117" s="968">
        <f>WWWW[[#This Row],[%equitable and continuous access to sufficient quantity of safe drinking and domestic water''s GAP]]*WWWW[[#This Row],[Total PoP ]]</f>
        <v>0</v>
      </c>
      <c r="DA117" s="971">
        <f>IF(WWWW[[#This Row],[Total required water points]]-WWWW[[#This Row],['#Water points coverage]]&lt;0,0,WWWW[[#This Row],[Total required water points]]-WWWW[[#This Row],['#Water points coverage]])</f>
        <v>0.94799999999999995</v>
      </c>
      <c r="DB117" s="971">
        <f>ROUND(IF(WWWW[[#This Row],[Total PoP ]]&lt;500,1,WWWW[[#This Row],[Total PoP ]]/500),0)</f>
        <v>1</v>
      </c>
      <c r="DC117" s="971">
        <f>(WWWW[[#This Row],['#_Constructed latrines_by_WASHAgencies]]+WWWW[[#This Row],['#_Non Cluster partner latrines]])-WWWW[[#This Row],['#_Non-functional latrines]]</f>
        <v>2</v>
      </c>
      <c r="DD117" s="619">
        <f>WWWW[[#This Row],[HRP2]]/WWWW[[#This Row],[Total PoP ]]</f>
        <v>1</v>
      </c>
      <c r="DE11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v>
      </c>
      <c r="DF11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7" s="421">
        <f>IF(WWWW[[#This Row],['# of functional latrines in THF supported by WASH partners during the reporting period2]]="",0,WWWW[[#This Row],['# of functional latrines in THF supported by WASH partners during the reporting period2]]*50)</f>
        <v>0</v>
      </c>
      <c r="DI117" s="971">
        <f>ROUND(IF(WWWW[[#This Row],[Location Type 1]]="camp",WWWW[[#This Row],[Total PoP ]]/20,IF(WWWW[[#This Row],[Location Type 1]]="Temporary Location",WWWW[[#This Row],[Total PoP ]]/50,(WWWW[[#This Row],[Total PoP ]]/6))),0)</f>
        <v>1</v>
      </c>
      <c r="DJ117" s="971">
        <f>IF(WWWW[[#This Row],[Total required Latrines]]-(WWWW[[#This Row],['#_Constructed latrines_by_WASHAgencies]]+WWWW[[#This Row],['#_Non Cluster partner latrines]])&lt;0,0,WWWW[[#This Row],[Total required Latrines]]-(WWWW[[#This Row],['#_Constructed latrines_by_WASHAgencies]]+WWWW[[#This Row],['#_Non Cluster partner latrines]]))</f>
        <v>0</v>
      </c>
      <c r="DK117" s="973">
        <f>1-WWWW[[#This Row],[% people access to functioning Latrine]]</f>
        <v>0</v>
      </c>
      <c r="DL117" s="972">
        <f>IF(OR(WWWW[[#This Row],['#_Non-functional latrines]]="",WWWW[[#This Row],['#_Non-functional latrines]]=0),0,WWWW[[#This Row],['#_Non-functional latrines]]/(WWWW[[#This Row],['#_Constructed latrines_by_WASHAgencies]]+WWWW[[#This Row],['#_Non Cluster partner latrines]]))</f>
        <v>0</v>
      </c>
      <c r="DM117" s="968">
        <f>IF(500*(WWWW[[#This Row],['#_male hygiene promoters]]+WWWW[[#This Row],['#_female hygiene promoters]])&gt;WWWW[[#This Row],[Total PoP ]],WWWW[[#This Row],[Total PoP ]],500*(WWWW[[#This Row],['#_male hygiene promoters]]+WWWW[[#This Row],['#_female hygiene promoters]]))</f>
        <v>0</v>
      </c>
      <c r="DN11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7" s="971">
        <f>IF(WWWW[[#This Row],['# People with access to soap]]&gt;WWWW[[#This Row],['# People with access to Sanity Pads]],WWWW[[#This Row],['# People with access to soap]],WWWW[[#This Row],['# People with access to Sanity Pads]])</f>
        <v>0</v>
      </c>
      <c r="DQ11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7" s="973">
        <f>IF(WWWW[[#This Row],[HRP3]]/WWWW[[#This Row],[Total PoP ]]&gt;1,1,WWWW[[#This Row],[HRP3]]/WWWW[[#This Row],[Total PoP ]])</f>
        <v>0</v>
      </c>
      <c r="DS117" s="972">
        <f>1-WWWW[[#This Row],[Hygiene Coverage%]]</f>
        <v>1</v>
      </c>
      <c r="DT117" s="970">
        <f>WWWW[[#This Row],['# people reached by regular dedicated hygiene promotion_5]]/WWWW[[#This Row],[Total PoP ]]</f>
        <v>0</v>
      </c>
      <c r="DU11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7" s="971">
        <f>WWWW[[#This Row],['#_Constructed/Existing hand washing stations]]-WWWW[[#This Row],['#_Non-Functional_hand_washing_stations]]</f>
        <v>4</v>
      </c>
      <c r="DX117" s="968">
        <f>IF(WWWW[[#This Row],['# Functional hand washing stations during reporting period]]*20&gt;WWWW[[#This Row],[Total HH]],WWWW[[#This Row],[Total HH]],WWWW[[#This Row],['# Functional hand washing stations during reporting period]]*20)</f>
        <v>12</v>
      </c>
      <c r="DY117" s="968">
        <f>IF(WWWW[[#This Row],[Is sufficient soap available for TLS? (Yes/No)]]="yes",WWWW[[#This Row],['#_Constructed/Existing hand washing stations at TLS/CFS/THF]],0)</f>
        <v>0</v>
      </c>
      <c r="DZ117" s="425">
        <f>IF(WWWW[[#This Row],['# Functional hand washing stations during reporting period]]*100&gt;WWWW[[#This Row],[Total PoP ]],WWWW[[#This Row],[Total PoP ]],WWWW[[#This Row],['# Functional hand washing stations during reporting period]]*100)</f>
        <v>26</v>
      </c>
      <c r="EA117" s="425" t="str">
        <f>IF(OR(WWWW[[#This Row],['#_students at TLS_CFS]]="",WWWW[[#This Row],['#_students at TLS_CFS]]=0),"No","Yes")</f>
        <v>No</v>
      </c>
      <c r="EB11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7" s="570">
        <f>WWWW[[#This Row],[%_of_affected_people_surveyed_who_report_feeling_satistfied_with_the_latrine_design_and_sanitation_service]]*WWWW[[#This Row],[Total PoP ]]</f>
        <v>0</v>
      </c>
      <c r="ED117" s="570">
        <f>WWWW[[#This Row],[%_of_affected_people_surveyed_who_report_feeling_satistfied_with_the_water_point_design_and_water_service]]*WWWW[[#This Row],[Total PoP ]]</f>
        <v>0</v>
      </c>
      <c r="EE117" s="570">
        <f>WWWW[[#This Row],[%_of_complaints_received_that_result_in_timely_corrective_action_and_feedback_to_the_community]]*WWWW[[#This Row],[Total PoP ]]</f>
        <v>0</v>
      </c>
      <c r="EF11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7" s="964">
        <f>VLOOKUP(WWWW[[#This Row],[Site Name]],SiteDB6[[Site Name]:[CCCM Management]],6,FALSE)</f>
        <v>0</v>
      </c>
      <c r="EJ117" s="964">
        <f>VLOOKUP(WWWW[[#This Row],[Site Name]],SiteDB6[[Site Name]:[CCCM Focal Agency]],7,FALSE)</f>
        <v>0</v>
      </c>
      <c r="EK117" s="964" t="str">
        <f>VLOOKUP(WWWW[[#This Row],[Site Name]],SiteDB6[[Site Name]:[Location Type 1]],9,FALSE)</f>
        <v>Camp</v>
      </c>
      <c r="EL117" s="964" t="str">
        <f>VLOOKUP(WWWW[[#This Row],[Site Name]],SiteDB6[[Site Name]:[Type of Accommodation]],10,FALSE)</f>
        <v>Camp like setting</v>
      </c>
      <c r="EM117" s="964" t="str">
        <f>VLOOKUP(WWWW[[#This Row],[Site Name]],SiteDB6[[Site Name]:[Ethnic or GCA/NGCA]],11,FALSE)</f>
        <v>GCA</v>
      </c>
      <c r="EN117" s="964">
        <f>VLOOKUP(WWWW[[#This Row],[Site Name]],SiteDB6[[Site Name]:[Lat]],12,FALSE)</f>
        <v>0</v>
      </c>
      <c r="EO117" s="964">
        <f>VLOOKUP(WWWW[[#This Row],[Site Name]],SiteDB6[[Site Name]:[Long]],13,FALSE)</f>
        <v>0</v>
      </c>
      <c r="EP117" s="964" t="str">
        <f>VLOOKUP(WWWW[[#This Row],[Site Name]],SiteDB6[[Site Name]:[Pcode]],3,FALSE)</f>
        <v>MMR015CMP081</v>
      </c>
      <c r="EQ117" s="969" t="str">
        <f t="shared" si="3"/>
        <v>Covered</v>
      </c>
      <c r="ER117" s="969" t="s">
        <v>3147</v>
      </c>
      <c r="ES117" s="964">
        <f>VLOOKUP(WWWW[[#This Row],[Site Name]],SiteDB6[[Site Name]:[Pop
(Kachin/Shan-CCCM as of March 2023)]],16,FALSE)</f>
        <v>16</v>
      </c>
      <c r="ET117" s="964">
        <f>VLOOKUP(WWWW[[#This Row],[Site Name]],SiteDB6[[Site Name]:[Pop
(Kachin/Shan-CCCM as of March 2023)]],17,FALSE)</f>
        <v>43</v>
      </c>
    </row>
    <row r="118" spans="1:150" hidden="1">
      <c r="A118" s="962" t="s">
        <v>2977</v>
      </c>
      <c r="B118" s="962" t="s">
        <v>2356</v>
      </c>
      <c r="C118" s="963" t="s">
        <v>2356</v>
      </c>
      <c r="D118" s="963" t="s">
        <v>2648</v>
      </c>
      <c r="E118" s="963" t="s">
        <v>515</v>
      </c>
      <c r="F118" s="963" t="s">
        <v>522</v>
      </c>
      <c r="G118" s="964" t="s">
        <v>43</v>
      </c>
      <c r="H118" s="963" t="s">
        <v>523</v>
      </c>
      <c r="I118" s="965">
        <v>30</v>
      </c>
      <c r="J118" s="965">
        <v>157</v>
      </c>
      <c r="K118" s="966" t="s">
        <v>2716</v>
      </c>
      <c r="L118" s="967" t="s">
        <v>2971</v>
      </c>
      <c r="M118" s="965"/>
      <c r="N118" s="965">
        <v>2</v>
      </c>
      <c r="O118" s="965"/>
      <c r="P118" s="965"/>
      <c r="Q118" s="968" t="s">
        <v>41</v>
      </c>
      <c r="R118" s="965">
        <v>2</v>
      </c>
      <c r="S118" s="965">
        <v>8</v>
      </c>
      <c r="T118" s="445">
        <v>1</v>
      </c>
      <c r="U118" s="965"/>
      <c r="V118" s="965"/>
      <c r="W118" s="965">
        <v>2</v>
      </c>
      <c r="X118" s="965"/>
      <c r="Y118" s="965"/>
      <c r="Z118" s="965"/>
      <c r="AA118" s="965"/>
      <c r="AB118" s="965"/>
      <c r="AC118" s="965"/>
      <c r="AD118" s="965"/>
      <c r="AE118" s="965">
        <v>2</v>
      </c>
      <c r="AF118" s="965"/>
      <c r="AG118" s="965"/>
      <c r="AH118" s="965">
        <v>1</v>
      </c>
      <c r="AI118" s="965"/>
      <c r="AJ118" s="965"/>
      <c r="AK118" s="965"/>
      <c r="AL118" s="965"/>
      <c r="AM118" s="965">
        <v>4</v>
      </c>
      <c r="AN118" s="965"/>
      <c r="AO118" s="445"/>
      <c r="AP118" s="969"/>
      <c r="AQ118" s="965">
        <v>38</v>
      </c>
      <c r="AR118" s="965"/>
      <c r="AS118" s="970"/>
      <c r="AT118" s="965"/>
      <c r="AU118" s="965"/>
      <c r="AV118" s="965"/>
      <c r="AW118" s="965"/>
      <c r="AX118" s="965">
        <v>38</v>
      </c>
      <c r="AY118" s="964" t="s">
        <v>41</v>
      </c>
      <c r="AZ118" s="969" t="s">
        <v>137</v>
      </c>
      <c r="BA118" s="965"/>
      <c r="BB118" s="965"/>
      <c r="BC118" s="965"/>
      <c r="BD118" s="445"/>
      <c r="BE118" s="445"/>
      <c r="BF118" s="964"/>
      <c r="BG118" s="965">
        <v>4</v>
      </c>
      <c r="BH118" s="965"/>
      <c r="BI118" s="965"/>
      <c r="BJ118" s="965">
        <v>2</v>
      </c>
      <c r="BK118" s="965"/>
      <c r="BL118" s="965"/>
      <c r="BM118" s="965">
        <v>2</v>
      </c>
      <c r="BN118" s="965"/>
      <c r="BO118" s="965"/>
      <c r="BP118" s="964" t="s">
        <v>41</v>
      </c>
      <c r="BQ118" s="971"/>
      <c r="BR118" s="970"/>
      <c r="BS118" s="964"/>
      <c r="BT118" s="420"/>
      <c r="BU118" s="420"/>
      <c r="BV118" s="422"/>
      <c r="BW118" s="420"/>
      <c r="BX118" s="445"/>
      <c r="BY118" s="445"/>
      <c r="BZ118" s="445"/>
      <c r="CA118" s="445"/>
      <c r="CB118" s="445"/>
      <c r="CC118" s="702"/>
      <c r="CD118" s="445"/>
      <c r="CE118" s="972" t="str">
        <f>IFERROR(WWWW[[#This Row],['#_Water sources passed]]/WWWW[[#This Row],['#_Water sources tested for fecal coliform ]],"no test")</f>
        <v>no test</v>
      </c>
      <c r="CF118" s="970" t="str">
        <f>IFERROR(WWWW[[#This Row],['#_Household passed]]/WWWW[[#This Row],['#_Household water samples tested for fecal coliform]],"no test")</f>
        <v>no test</v>
      </c>
      <c r="CG118" s="971" t="str">
        <f>IF(AND(WWWW[[#This Row],[% of water sources passed]]="no test",WWWW[[#This Row],[% Household passed]]="no test"),"No Test","Tested")</f>
        <v>No Test</v>
      </c>
      <c r="CH118" s="971">
        <f>WWWW[[#This Row],['#_Constructed/existing protected hand dug well]]-WWWW[[#This Row],['#_Non-functional protected hand dug well]]</f>
        <v>1</v>
      </c>
      <c r="CI118" s="971">
        <f>(WWWW[[#This Row],['#_Constructed/Existing tube wells/boreholes/handpumps_WASH_agency]]+WWWW[[#This Row],['#_Non-Cluster partner water tube-wells/boreholes/handpumps]])-WWWW[[#This Row],['#_Non-functional tube wells/boreholes/handpumps]]</f>
        <v>2</v>
      </c>
      <c r="CJ118" s="971">
        <f>WWWW[[#This Row],['#_Constructed/Existingwater storage tank with gravity fed reticulation system]]-WWWW[[#This Row],['#_Non-functional storage tank gravity fed reticulation system]]</f>
        <v>0</v>
      </c>
      <c r="CK118" s="971">
        <f>(WWWW[[#This Row],['#_Water_Liters_supplied_by_Water boating or water trucking]]/90)/15</f>
        <v>0</v>
      </c>
      <c r="CL118" s="971">
        <f>WWWW[[#This Row],['#_Water_Liters_from_Constructed/Existing water distribution system from river or natural spring]]/90/15</f>
        <v>0</v>
      </c>
      <c r="CM118" s="421">
        <f>IF(WWWW[[#This Row],['#_of water points in TLS/CFS]]*500&gt;WWWW[[#This Row],[Total PoP ]],WWWW[[#This Row],[Total PoP ]],WWWW[[#This Row],['#_of water points in TLS/CFS]]*500)</f>
        <v>0</v>
      </c>
      <c r="CN118" s="421">
        <f>IF(WWWW[[#This Row],['#_of water points in THF]]*500&gt;WWWW[[#This Row],[Total PoP ]],WWWW[[#This Row],[Total PoP ]],WWWW[[#This Row],['#_of water points in THF]]*500)</f>
        <v>0</v>
      </c>
      <c r="CO118" s="421"/>
      <c r="CP11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8" s="970">
        <f>IF(WWWW[[#This Row],[Location Type 1]]="Village",WWWW[[#This Row],[Access to safe drinking water for Village]],WWWW[[#This Row],[Access to safe drinking water for Camp]])</f>
        <v>1</v>
      </c>
      <c r="CS118" s="968">
        <f>WWWW[[#This Row],[%Equitable and continuous access to sufficient quantity of safe drinking water]]*WWWW[[#This Row],[Total PoP ]]</f>
        <v>157</v>
      </c>
      <c r="CT118" s="970">
        <f>IF((WWWW[[#This Row],['#_Constructed/Existing protected/fenced ponds]]*250)/WWWW[[#This Row],[Total PoP ]]&gt;1,1,(WWWW[[#This Row],['#_Constructed/Existing protected/fenced ponds]]*250)/WWWW[[#This Row],[Total PoP ]])</f>
        <v>1</v>
      </c>
      <c r="CU118" s="968">
        <f>WWWW[[#This Row],[% Access to unimproved water points]]*WWWW[[#This Row],[Total PoP ]]</f>
        <v>157</v>
      </c>
      <c r="CV11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X118" s="968">
        <f>WWWW[[#This Row],[HRP1]]/500</f>
        <v>0.314</v>
      </c>
      <c r="CY118" s="973">
        <f>1-WWWW[[#This Row],[% Equitable and continuous access to sufficient quantity of domestic water]]</f>
        <v>0</v>
      </c>
      <c r="CZ118" s="968">
        <f>WWWW[[#This Row],[%equitable and continuous access to sufficient quantity of safe drinking and domestic water''s GAP]]*WWWW[[#This Row],[Total PoP ]]</f>
        <v>0</v>
      </c>
      <c r="DA118" s="971">
        <f>IF(WWWW[[#This Row],[Total required water points]]-WWWW[[#This Row],['#Water points coverage]]&lt;0,0,WWWW[[#This Row],[Total required water points]]-WWWW[[#This Row],['#Water points coverage]])</f>
        <v>0.68599999999999994</v>
      </c>
      <c r="DB118" s="971">
        <f>ROUND(IF(WWWW[[#This Row],[Total PoP ]]&lt;500,1,WWWW[[#This Row],[Total PoP ]]/500),0)</f>
        <v>1</v>
      </c>
      <c r="DC118" s="971">
        <f>(WWWW[[#This Row],['#_Constructed latrines_by_WASHAgencies]]+WWWW[[#This Row],['#_Non Cluster partner latrines]])-WWWW[[#This Row],['#_Non-functional latrines]]</f>
        <v>38</v>
      </c>
      <c r="DD118" s="619">
        <f>WWWW[[#This Row],[HRP2]]/WWWW[[#This Row],[Total PoP ]]</f>
        <v>1</v>
      </c>
      <c r="DE11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v>
      </c>
      <c r="DF11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8" s="421">
        <f>IF(WWWW[[#This Row],['# of functional latrines in THF supported by WASH partners during the reporting period2]]="",0,WWWW[[#This Row],['# of functional latrines in THF supported by WASH partners during the reporting period2]]*50)</f>
        <v>0</v>
      </c>
      <c r="DI118" s="971">
        <f>ROUND(IF(WWWW[[#This Row],[Location Type 1]]="camp",WWWW[[#This Row],[Total PoP ]]/20,IF(WWWW[[#This Row],[Location Type 1]]="Temporary Location",WWWW[[#This Row],[Total PoP ]]/50,(WWWW[[#This Row],[Total PoP ]]/6))),0)</f>
        <v>8</v>
      </c>
      <c r="DJ118" s="971">
        <f>IF(WWWW[[#This Row],[Total required Latrines]]-(WWWW[[#This Row],['#_Constructed latrines_by_WASHAgencies]]+WWWW[[#This Row],['#_Non Cluster partner latrines]])&lt;0,0,WWWW[[#This Row],[Total required Latrines]]-(WWWW[[#This Row],['#_Constructed latrines_by_WASHAgencies]]+WWWW[[#This Row],['#_Non Cluster partner latrines]]))</f>
        <v>0</v>
      </c>
      <c r="DK118" s="973">
        <f>1-WWWW[[#This Row],[% people access to functioning Latrine]]</f>
        <v>0</v>
      </c>
      <c r="DL118" s="972">
        <f>IF(OR(WWWW[[#This Row],['#_Non-functional latrines]]="",WWWW[[#This Row],['#_Non-functional latrines]]=0),0,WWWW[[#This Row],['#_Non-functional latrines]]/(WWWW[[#This Row],['#_Constructed latrines_by_WASHAgencies]]+WWWW[[#This Row],['#_Non Cluster partner latrines]]))</f>
        <v>0</v>
      </c>
      <c r="DM118" s="968">
        <f>IF(500*(WWWW[[#This Row],['#_male hygiene promoters]]+WWWW[[#This Row],['#_female hygiene promoters]])&gt;WWWW[[#This Row],[Total PoP ]],WWWW[[#This Row],[Total PoP ]],500*(WWWW[[#This Row],['#_male hygiene promoters]]+WWWW[[#This Row],['#_female hygiene promoters]]))</f>
        <v>157</v>
      </c>
      <c r="DN11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8" s="971">
        <f>IF(WWWW[[#This Row],['# People with access to soap]]&gt;WWWW[[#This Row],['# People with access to Sanity Pads]],WWWW[[#This Row],['# People with access to soap]],WWWW[[#This Row],['# People with access to Sanity Pads]])</f>
        <v>0</v>
      </c>
      <c r="DQ118" s="971">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R118" s="973">
        <f>IF(WWWW[[#This Row],[HRP3]]/WWWW[[#This Row],[Total PoP ]]&gt;1,1,WWWW[[#This Row],[HRP3]]/WWWW[[#This Row],[Total PoP ]])</f>
        <v>1</v>
      </c>
      <c r="DS118" s="972">
        <f>1-WWWW[[#This Row],[Hygiene Coverage%]]</f>
        <v>0</v>
      </c>
      <c r="DT118" s="970">
        <f>WWWW[[#This Row],['# people reached by regular dedicated hygiene promotion_5]]/WWWW[[#This Row],[Total PoP ]]</f>
        <v>1</v>
      </c>
      <c r="DU11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8" s="971">
        <f>WWWW[[#This Row],['#_Constructed/Existing hand washing stations]]-WWWW[[#This Row],['#_Non-Functional_hand_washing_stations]]</f>
        <v>4</v>
      </c>
      <c r="DX118" s="968">
        <f>IF(WWWW[[#This Row],['# Functional hand washing stations during reporting period]]*20&gt;WWWW[[#This Row],[Total HH]],WWWW[[#This Row],[Total HH]],WWWW[[#This Row],['# Functional hand washing stations during reporting period]]*20)</f>
        <v>30</v>
      </c>
      <c r="DY118" s="968">
        <f>IF(WWWW[[#This Row],[Is sufficient soap available for TLS? (Yes/No)]]="yes",WWWW[[#This Row],['#_Constructed/Existing hand washing stations at TLS/CFS/THF]],0)</f>
        <v>4</v>
      </c>
      <c r="DZ118" s="425">
        <f>IF(WWWW[[#This Row],['# Functional hand washing stations during reporting period]]*100&gt;WWWW[[#This Row],[Total PoP ]],WWWW[[#This Row],[Total PoP ]],WWWW[[#This Row],['# Functional hand washing stations during reporting period]]*100)</f>
        <v>157</v>
      </c>
      <c r="EA118" s="425" t="str">
        <f>IF(OR(WWWW[[#This Row],['#_students at TLS_CFS]]="",WWWW[[#This Row],['#_students at TLS_CFS]]=0),"No","Yes")</f>
        <v>No</v>
      </c>
      <c r="EB11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8" s="570">
        <f>WWWW[[#This Row],[%_of_affected_people_surveyed_who_report_feeling_satistfied_with_the_latrine_design_and_sanitation_service]]*WWWW[[#This Row],[Total PoP ]]</f>
        <v>0</v>
      </c>
      <c r="ED118" s="570">
        <f>WWWW[[#This Row],[%_of_affected_people_surveyed_who_report_feeling_satistfied_with_the_water_point_design_and_water_service]]*WWWW[[#This Row],[Total PoP ]]</f>
        <v>0</v>
      </c>
      <c r="EE118" s="570">
        <f>WWWW[[#This Row],[%_of_complaints_received_that_result_in_timely_corrective_action_and_feedback_to_the_community]]*WWWW[[#This Row],[Total PoP ]]</f>
        <v>0</v>
      </c>
      <c r="EF11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8" s="964" t="str">
        <f>VLOOKUP(WWWW[[#This Row],[Site Name]],SiteDB6[[Site Name]:[CCCM Management]],6,FALSE)</f>
        <v>Yes</v>
      </c>
      <c r="EJ118" s="964" t="str">
        <f>VLOOKUP(WWWW[[#This Row],[Site Name]],SiteDB6[[Site Name]:[CCCM Focal Agency]],7,FALSE)</f>
        <v>KMSS-LSO</v>
      </c>
      <c r="EK118" s="964" t="str">
        <f>VLOOKUP(WWWW[[#This Row],[Site Name]],SiteDB6[[Site Name]:[Location Type 1]],9,FALSE)</f>
        <v>Camp</v>
      </c>
      <c r="EL118" s="964" t="str">
        <f>VLOOKUP(WWWW[[#This Row],[Site Name]],SiteDB6[[Site Name]:[Type of Accommodation]],10,FALSE)</f>
        <v>Closed Camp</v>
      </c>
      <c r="EM118" s="964" t="str">
        <f>VLOOKUP(WWWW[[#This Row],[Site Name]],SiteDB6[[Site Name]:[Ethnic or GCA/NGCA]],11,FALSE)</f>
        <v>GCA</v>
      </c>
      <c r="EN118" s="964">
        <f>VLOOKUP(WWWW[[#This Row],[Site Name]],SiteDB6[[Site Name]:[Lat]],12,FALSE)</f>
        <v>23.24661</v>
      </c>
      <c r="EO118" s="964">
        <f>VLOOKUP(WWWW[[#This Row],[Site Name]],SiteDB6[[Site Name]:[Long]],13,FALSE)</f>
        <v>97.116680000000002</v>
      </c>
      <c r="EP118" s="964" t="str">
        <f>VLOOKUP(WWWW[[#This Row],[Site Name]],SiteDB6[[Site Name]:[Pcode]],3,FALSE)</f>
        <v>MMR015CMP027</v>
      </c>
      <c r="EQ118" s="969" t="str">
        <f t="shared" si="3"/>
        <v>Covered</v>
      </c>
      <c r="ER118" s="969" t="s">
        <v>3147</v>
      </c>
      <c r="ES118" s="964">
        <f>VLOOKUP(WWWW[[#This Row],[Site Name]],SiteDB6[[Site Name]:[Pop
(Kachin/Shan-CCCM as of March 2023)]],16,FALSE)</f>
        <v>30</v>
      </c>
      <c r="ET118" s="964">
        <f>VLOOKUP(WWWW[[#This Row],[Site Name]],SiteDB6[[Site Name]:[Pop
(Kachin/Shan-CCCM as of March 2023)]],17,FALSE)</f>
        <v>159</v>
      </c>
    </row>
    <row r="119" spans="1:150" hidden="1">
      <c r="A119" s="962" t="s">
        <v>2977</v>
      </c>
      <c r="B119" s="962" t="s">
        <v>192</v>
      </c>
      <c r="C119" s="963" t="s">
        <v>192</v>
      </c>
      <c r="D119" s="963" t="s">
        <v>2648</v>
      </c>
      <c r="E119" s="963" t="s">
        <v>515</v>
      </c>
      <c r="F119" s="963" t="s">
        <v>534</v>
      </c>
      <c r="G119" s="964" t="s">
        <v>43</v>
      </c>
      <c r="H119" s="963" t="s">
        <v>563</v>
      </c>
      <c r="I119" s="965">
        <v>42</v>
      </c>
      <c r="J119" s="965">
        <v>195</v>
      </c>
      <c r="K119" s="966">
        <v>44511</v>
      </c>
      <c r="L119" s="967">
        <v>44926</v>
      </c>
      <c r="M119" s="965"/>
      <c r="N119" s="965"/>
      <c r="O119" s="965"/>
      <c r="P119" s="965"/>
      <c r="Q119" s="968"/>
      <c r="R119" s="965">
        <v>4</v>
      </c>
      <c r="S119" s="965">
        <v>4</v>
      </c>
      <c r="T119" s="445"/>
      <c r="U119" s="965"/>
      <c r="V119" s="965"/>
      <c r="W119" s="965">
        <v>1</v>
      </c>
      <c r="X119" s="965"/>
      <c r="Y119" s="965"/>
      <c r="Z119" s="965"/>
      <c r="AA119" s="965">
        <v>1</v>
      </c>
      <c r="AB119" s="965"/>
      <c r="AC119" s="965"/>
      <c r="AD119" s="965"/>
      <c r="AE119" s="965"/>
      <c r="AF119" s="965"/>
      <c r="AG119" s="965"/>
      <c r="AH119" s="965">
        <v>1</v>
      </c>
      <c r="AI119" s="965"/>
      <c r="AJ119" s="965"/>
      <c r="AK119" s="965"/>
      <c r="AL119" s="965"/>
      <c r="AM119" s="965">
        <v>1</v>
      </c>
      <c r="AN119" s="965"/>
      <c r="AO119" s="445"/>
      <c r="AP119" s="969"/>
      <c r="AQ119" s="965">
        <v>38</v>
      </c>
      <c r="AR119" s="965"/>
      <c r="AS119" s="970"/>
      <c r="AT119" s="965"/>
      <c r="AU119" s="965"/>
      <c r="AV119" s="965"/>
      <c r="AW119" s="965"/>
      <c r="AX119" s="965"/>
      <c r="AY119" s="964" t="s">
        <v>136</v>
      </c>
      <c r="AZ119" s="969" t="s">
        <v>136</v>
      </c>
      <c r="BA119" s="965"/>
      <c r="BB119" s="965"/>
      <c r="BC119" s="965"/>
      <c r="BD119" s="445"/>
      <c r="BE119" s="445"/>
      <c r="BF119" s="964"/>
      <c r="BG119" s="965"/>
      <c r="BH119" s="965"/>
      <c r="BI119" s="965"/>
      <c r="BJ119" s="965"/>
      <c r="BK119" s="965"/>
      <c r="BL119" s="965"/>
      <c r="BM119" s="965">
        <v>1</v>
      </c>
      <c r="BN119" s="965"/>
      <c r="BO119" s="965"/>
      <c r="BP119" s="964" t="s">
        <v>41</v>
      </c>
      <c r="BQ119" s="971"/>
      <c r="BR119" s="970"/>
      <c r="BS119" s="964"/>
      <c r="BT119" s="420"/>
      <c r="BU119" s="420"/>
      <c r="BV119" s="422"/>
      <c r="BW119" s="420"/>
      <c r="BX119" s="445"/>
      <c r="BY119" s="445"/>
      <c r="BZ119" s="445"/>
      <c r="CA119" s="445"/>
      <c r="CB119" s="445"/>
      <c r="CC119" s="702"/>
      <c r="CD119" s="445"/>
      <c r="CE119" s="972" t="str">
        <f>IFERROR(WWWW[[#This Row],['#_Water sources passed]]/WWWW[[#This Row],['#_Water sources tested for fecal coliform ]],"no test")</f>
        <v>no test</v>
      </c>
      <c r="CF119" s="970" t="str">
        <f>IFERROR(WWWW[[#This Row],['#_Household passed]]/WWWW[[#This Row],['#_Household water samples tested for fecal coliform]],"no test")</f>
        <v>no test</v>
      </c>
      <c r="CG119" s="971" t="str">
        <f>IF(AND(WWWW[[#This Row],[% of water sources passed]]="no test",WWWW[[#This Row],[% Household passed]]="no test"),"No Test","Tested")</f>
        <v>No Test</v>
      </c>
      <c r="CH119" s="971">
        <f>WWWW[[#This Row],['#_Constructed/existing protected hand dug well]]-WWWW[[#This Row],['#_Non-functional protected hand dug well]]</f>
        <v>0</v>
      </c>
      <c r="CI119" s="971">
        <f>(WWWW[[#This Row],['#_Constructed/Existing tube wells/boreholes/handpumps_WASH_agency]]+WWWW[[#This Row],['#_Non-Cluster partner water tube-wells/boreholes/handpumps]])-WWWW[[#This Row],['#_Non-functional tube wells/boreholes/handpumps]]</f>
        <v>1</v>
      </c>
      <c r="CJ119" s="971">
        <f>WWWW[[#This Row],['#_Constructed/Existingwater storage tank with gravity fed reticulation system]]-WWWW[[#This Row],['#_Non-functional storage tank gravity fed reticulation system]]</f>
        <v>1</v>
      </c>
      <c r="CK119" s="971">
        <f>(WWWW[[#This Row],['#_Water_Liters_supplied_by_Water boating or water trucking]]/90)/15</f>
        <v>0</v>
      </c>
      <c r="CL119" s="971">
        <f>WWWW[[#This Row],['#_Water_Liters_from_Constructed/Existing water distribution system from river or natural spring]]/90/15</f>
        <v>0</v>
      </c>
      <c r="CM119" s="421">
        <f>IF(WWWW[[#This Row],['#_of water points in TLS/CFS]]*500&gt;WWWW[[#This Row],[Total PoP ]],WWWW[[#This Row],[Total PoP ]],WWWW[[#This Row],['#_of water points in TLS/CFS]]*500)</f>
        <v>0</v>
      </c>
      <c r="CN119" s="421">
        <f>IF(WWWW[[#This Row],['#_of water points in THF]]*500&gt;WWWW[[#This Row],[Total PoP ]],WWWW[[#This Row],[Total PoP ]],WWWW[[#This Row],['#_of water points in THF]]*500)</f>
        <v>0</v>
      </c>
      <c r="CO119" s="421"/>
      <c r="CP11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9" s="970">
        <f>IF(WWWW[[#This Row],[Location Type 1]]="Village",WWWW[[#This Row],[Access to safe drinking water for Village]],WWWW[[#This Row],[Access to safe drinking water for Camp]])</f>
        <v>1</v>
      </c>
      <c r="CS119" s="968">
        <f>WWWW[[#This Row],[%Equitable and continuous access to sufficient quantity of safe drinking water]]*WWWW[[#This Row],[Total PoP ]]</f>
        <v>195</v>
      </c>
      <c r="CT119" s="970">
        <f>IF((WWWW[[#This Row],['#_Constructed/Existing protected/fenced ponds]]*250)/WWWW[[#This Row],[Total PoP ]]&gt;1,1,(WWWW[[#This Row],['#_Constructed/Existing protected/fenced ponds]]*250)/WWWW[[#This Row],[Total PoP ]])</f>
        <v>0</v>
      </c>
      <c r="CU119" s="968">
        <f>WWWW[[#This Row],[% Access to unimproved water points]]*WWWW[[#This Row],[Total PoP ]]</f>
        <v>0</v>
      </c>
      <c r="CV11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X119" s="968">
        <f>WWWW[[#This Row],[HRP1]]/500</f>
        <v>0.39</v>
      </c>
      <c r="CY119" s="973">
        <f>1-WWWW[[#This Row],[% Equitable and continuous access to sufficient quantity of domestic water]]</f>
        <v>0</v>
      </c>
      <c r="CZ119" s="968">
        <f>WWWW[[#This Row],[%equitable and continuous access to sufficient quantity of safe drinking and domestic water''s GAP]]*WWWW[[#This Row],[Total PoP ]]</f>
        <v>0</v>
      </c>
      <c r="DA119" s="971">
        <f>IF(WWWW[[#This Row],[Total required water points]]-WWWW[[#This Row],['#Water points coverage]]&lt;0,0,WWWW[[#This Row],[Total required water points]]-WWWW[[#This Row],['#Water points coverage]])</f>
        <v>0.61</v>
      </c>
      <c r="DB119" s="971">
        <f>ROUND(IF(WWWW[[#This Row],[Total PoP ]]&lt;500,1,WWWW[[#This Row],[Total PoP ]]/500),0)</f>
        <v>1</v>
      </c>
      <c r="DC119" s="971">
        <f>(WWWW[[#This Row],['#_Constructed latrines_by_WASHAgencies]]+WWWW[[#This Row],['#_Non Cluster partner latrines]])-WWWW[[#This Row],['#_Non-functional latrines]]</f>
        <v>38</v>
      </c>
      <c r="DD119" s="619">
        <f>WWWW[[#This Row],[HRP2]]/WWWW[[#This Row],[Total PoP ]]</f>
        <v>1</v>
      </c>
      <c r="DE11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195</v>
      </c>
      <c r="DF11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9" s="421">
        <f>IF(WWWW[[#This Row],['# of functional latrines in THF supported by WASH partners during the reporting period2]]="",0,WWWW[[#This Row],['# of functional latrines in THF supported by WASH partners during the reporting period2]]*50)</f>
        <v>0</v>
      </c>
      <c r="DI119" s="971">
        <f>ROUND(IF(WWWW[[#This Row],[Location Type 1]]="camp",WWWW[[#This Row],[Total PoP ]]/20,IF(WWWW[[#This Row],[Location Type 1]]="Temporary Location",WWWW[[#This Row],[Total PoP ]]/50,(WWWW[[#This Row],[Total PoP ]]/6))),0)</f>
        <v>10</v>
      </c>
      <c r="DJ119" s="971">
        <f>IF(WWWW[[#This Row],[Total required Latrines]]-(WWWW[[#This Row],['#_Constructed latrines_by_WASHAgencies]]+WWWW[[#This Row],['#_Non Cluster partner latrines]])&lt;0,0,WWWW[[#This Row],[Total required Latrines]]-(WWWW[[#This Row],['#_Constructed latrines_by_WASHAgencies]]+WWWW[[#This Row],['#_Non Cluster partner latrines]]))</f>
        <v>0</v>
      </c>
      <c r="DK119" s="973">
        <f>1-WWWW[[#This Row],[% people access to functioning Latrine]]</f>
        <v>0</v>
      </c>
      <c r="DL119" s="972">
        <f>IF(OR(WWWW[[#This Row],['#_Non-functional latrines]]="",WWWW[[#This Row],['#_Non-functional latrines]]=0),0,WWWW[[#This Row],['#_Non-functional latrines]]/(WWWW[[#This Row],['#_Constructed latrines_by_WASHAgencies]]+WWWW[[#This Row],['#_Non Cluster partner latrines]]))</f>
        <v>0</v>
      </c>
      <c r="DM119" s="968">
        <f>IF(500*(WWWW[[#This Row],['#_male hygiene promoters]]+WWWW[[#This Row],['#_female hygiene promoters]])&gt;WWWW[[#This Row],[Total PoP ]],WWWW[[#This Row],[Total PoP ]],500*(WWWW[[#This Row],['#_male hygiene promoters]]+WWWW[[#This Row],['#_female hygiene promoters]]))</f>
        <v>195</v>
      </c>
      <c r="DN11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9" s="971">
        <f>IF(WWWW[[#This Row],['# People with access to soap]]&gt;WWWW[[#This Row],['# People with access to Sanity Pads]],WWWW[[#This Row],['# People with access to soap]],WWWW[[#This Row],['# People with access to Sanity Pads]])</f>
        <v>0</v>
      </c>
      <c r="DQ119" s="971">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R119" s="973">
        <f>IF(WWWW[[#This Row],[HRP3]]/WWWW[[#This Row],[Total PoP ]]&gt;1,1,WWWW[[#This Row],[HRP3]]/WWWW[[#This Row],[Total PoP ]])</f>
        <v>1</v>
      </c>
      <c r="DS119" s="972">
        <f>1-WWWW[[#This Row],[Hygiene Coverage%]]</f>
        <v>0</v>
      </c>
      <c r="DT119" s="970">
        <f>WWWW[[#This Row],['# people reached by regular dedicated hygiene promotion_5]]/WWWW[[#This Row],[Total PoP ]]</f>
        <v>1</v>
      </c>
      <c r="DU11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9" s="971">
        <f>WWWW[[#This Row],['#_Constructed/Existing hand washing stations]]-WWWW[[#This Row],['#_Non-Functional_hand_washing_stations]]</f>
        <v>0</v>
      </c>
      <c r="DX119" s="968">
        <f>IF(WWWW[[#This Row],['# Functional hand washing stations during reporting period]]*20&gt;WWWW[[#This Row],[Total HH]],WWWW[[#This Row],[Total HH]],WWWW[[#This Row],['# Functional hand washing stations during reporting period]]*20)</f>
        <v>0</v>
      </c>
      <c r="DY119" s="968">
        <f>IF(WWWW[[#This Row],[Is sufficient soap available for TLS? (Yes/No)]]="yes",WWWW[[#This Row],['#_Constructed/Existing hand washing stations at TLS/CFS/THF]],0)</f>
        <v>1</v>
      </c>
      <c r="DZ119" s="425">
        <f>IF(WWWW[[#This Row],['# Functional hand washing stations during reporting period]]*100&gt;WWWW[[#This Row],[Total PoP ]],WWWW[[#This Row],[Total PoP ]],WWWW[[#This Row],['# Functional hand washing stations during reporting period]]*100)</f>
        <v>0</v>
      </c>
      <c r="EA119" s="425" t="str">
        <f>IF(OR(WWWW[[#This Row],['#_students at TLS_CFS]]="",WWWW[[#This Row],['#_students at TLS_CFS]]=0),"No","Yes")</f>
        <v>No</v>
      </c>
      <c r="EB11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9" s="570">
        <f>WWWW[[#This Row],[%_of_affected_people_surveyed_who_report_feeling_satistfied_with_the_latrine_design_and_sanitation_service]]*WWWW[[#This Row],[Total PoP ]]</f>
        <v>0</v>
      </c>
      <c r="ED119" s="570">
        <f>WWWW[[#This Row],[%_of_affected_people_surveyed_who_report_feeling_satistfied_with_the_water_point_design_and_water_service]]*WWWW[[#This Row],[Total PoP ]]</f>
        <v>0</v>
      </c>
      <c r="EE119" s="570">
        <f>WWWW[[#This Row],[%_of_complaints_received_that_result_in_timely_corrective_action_and_feedback_to_the_community]]*WWWW[[#This Row],[Total PoP ]]</f>
        <v>0</v>
      </c>
      <c r="EF11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9" s="964">
        <f>VLOOKUP(WWWW[[#This Row],[Site Name]],SiteDB6[[Site Name]:[CCCM Management]],6,FALSE)</f>
        <v>0</v>
      </c>
      <c r="EJ119" s="964">
        <f>VLOOKUP(WWWW[[#This Row],[Site Name]],SiteDB6[[Site Name]:[CCCM Focal Agency]],7,FALSE)</f>
        <v>0</v>
      </c>
      <c r="EK119" s="964" t="str">
        <f>VLOOKUP(WWWW[[#This Row],[Site Name]],SiteDB6[[Site Name]:[Location Type 1]],9,FALSE)</f>
        <v>Camp</v>
      </c>
      <c r="EL119" s="964" t="str">
        <f>VLOOKUP(WWWW[[#This Row],[Site Name]],SiteDB6[[Site Name]:[Type of Accommodation]],10,FALSE)</f>
        <v>Closed Camp</v>
      </c>
      <c r="EM119" s="964" t="str">
        <f>VLOOKUP(WWWW[[#This Row],[Site Name]],SiteDB6[[Site Name]:[Ethnic or GCA/NGCA]],11,FALSE)</f>
        <v>GCA</v>
      </c>
      <c r="EN119" s="964">
        <f>VLOOKUP(WWWW[[#This Row],[Site Name]],SiteDB6[[Site Name]:[Lat]],12,FALSE)</f>
        <v>23.353999999999999</v>
      </c>
      <c r="EO119" s="964">
        <f>VLOOKUP(WWWW[[#This Row],[Site Name]],SiteDB6[[Site Name]:[Long]],13,FALSE)</f>
        <v>98.221000000000004</v>
      </c>
      <c r="EP119" s="964" t="str">
        <f>VLOOKUP(WWWW[[#This Row],[Site Name]],SiteDB6[[Site Name]:[Pcode]],3,FALSE)</f>
        <v>MMR015CMP226</v>
      </c>
      <c r="EQ119" s="969" t="str">
        <f t="shared" si="3"/>
        <v>Covered</v>
      </c>
      <c r="ER119" s="969" t="s">
        <v>3147</v>
      </c>
      <c r="ES119" s="964">
        <f>VLOOKUP(WWWW[[#This Row],[Site Name]],SiteDB6[[Site Name]:[Pop
(Kachin/Shan-CCCM as of March 2023)]],16,FALSE)</f>
        <v>0</v>
      </c>
      <c r="ET119" s="964">
        <f>VLOOKUP(WWWW[[#This Row],[Site Name]],SiteDB6[[Site Name]:[Pop
(Kachin/Shan-CCCM as of March 2023)]],17,FALSE)</f>
        <v>0</v>
      </c>
    </row>
    <row r="120" spans="1:150" hidden="1">
      <c r="A120" s="962" t="s">
        <v>2977</v>
      </c>
      <c r="B120" s="962" t="s">
        <v>192</v>
      </c>
      <c r="C120" s="963" t="s">
        <v>192</v>
      </c>
      <c r="D120" s="963" t="s">
        <v>2648</v>
      </c>
      <c r="E120" s="963" t="s">
        <v>515</v>
      </c>
      <c r="F120" s="963" t="s">
        <v>519</v>
      </c>
      <c r="G120" s="964" t="s">
        <v>43</v>
      </c>
      <c r="H120" s="963" t="s">
        <v>542</v>
      </c>
      <c r="I120" s="965">
        <v>121</v>
      </c>
      <c r="J120" s="965">
        <v>664</v>
      </c>
      <c r="K120" s="966">
        <v>44511</v>
      </c>
      <c r="L120" s="967">
        <v>44926</v>
      </c>
      <c r="M120" s="965"/>
      <c r="N120" s="965">
        <v>1</v>
      </c>
      <c r="O120" s="965"/>
      <c r="P120" s="965"/>
      <c r="Q120" s="968" t="s">
        <v>41</v>
      </c>
      <c r="R120" s="965">
        <v>4</v>
      </c>
      <c r="S120" s="965">
        <v>5</v>
      </c>
      <c r="T120" s="445"/>
      <c r="U120" s="965"/>
      <c r="V120" s="965"/>
      <c r="W120" s="965"/>
      <c r="X120" s="965"/>
      <c r="Y120" s="965"/>
      <c r="Z120" s="965"/>
      <c r="AA120" s="965">
        <v>8</v>
      </c>
      <c r="AB120" s="965"/>
      <c r="AC120" s="965"/>
      <c r="AD120" s="965"/>
      <c r="AE120" s="965"/>
      <c r="AF120" s="965"/>
      <c r="AG120" s="965"/>
      <c r="AH120" s="965"/>
      <c r="AI120" s="965"/>
      <c r="AJ120" s="965"/>
      <c r="AK120" s="965"/>
      <c r="AL120" s="965"/>
      <c r="AM120" s="965">
        <v>1</v>
      </c>
      <c r="AN120" s="965"/>
      <c r="AO120" s="445"/>
      <c r="AP120" s="969"/>
      <c r="AQ120" s="965">
        <v>105</v>
      </c>
      <c r="AR120" s="965"/>
      <c r="AS120" s="970"/>
      <c r="AT120" s="965"/>
      <c r="AU120" s="965"/>
      <c r="AV120" s="965"/>
      <c r="AW120" s="965"/>
      <c r="AX120" s="965"/>
      <c r="AY120" s="964" t="s">
        <v>41</v>
      </c>
      <c r="AZ120" s="969" t="s">
        <v>137</v>
      </c>
      <c r="BA120" s="965"/>
      <c r="BB120" s="965"/>
      <c r="BC120" s="965"/>
      <c r="BD120" s="445"/>
      <c r="BE120" s="445"/>
      <c r="BF120" s="964"/>
      <c r="BG120" s="965">
        <v>8</v>
      </c>
      <c r="BH120" s="965"/>
      <c r="BI120" s="965"/>
      <c r="BJ120" s="965">
        <v>3</v>
      </c>
      <c r="BK120" s="965"/>
      <c r="BL120" s="965"/>
      <c r="BM120" s="965">
        <v>1</v>
      </c>
      <c r="BN120" s="965"/>
      <c r="BO120" s="965"/>
      <c r="BP120" s="964" t="s">
        <v>41</v>
      </c>
      <c r="BQ120" s="971"/>
      <c r="BR120" s="970"/>
      <c r="BS120" s="964"/>
      <c r="BT120" s="420"/>
      <c r="BU120" s="420"/>
      <c r="BV120" s="422"/>
      <c r="BW120" s="420"/>
      <c r="BX120" s="445"/>
      <c r="BY120" s="445"/>
      <c r="BZ120" s="445"/>
      <c r="CA120" s="445"/>
      <c r="CB120" s="445"/>
      <c r="CC120" s="702"/>
      <c r="CD120" s="445"/>
      <c r="CE120" s="972" t="str">
        <f>IFERROR(WWWW[[#This Row],['#_Water sources passed]]/WWWW[[#This Row],['#_Water sources tested for fecal coliform ]],"no test")</f>
        <v>no test</v>
      </c>
      <c r="CF120" s="970" t="str">
        <f>IFERROR(WWWW[[#This Row],['#_Household passed]]/WWWW[[#This Row],['#_Household water samples tested for fecal coliform]],"no test")</f>
        <v>no test</v>
      </c>
      <c r="CG120" s="971" t="str">
        <f>IF(AND(WWWW[[#This Row],[% of water sources passed]]="no test",WWWW[[#This Row],[% Household passed]]="no test"),"No Test","Tested")</f>
        <v>No Test</v>
      </c>
      <c r="CH120" s="971">
        <f>WWWW[[#This Row],['#_Constructed/existing protected hand dug well]]-WWWW[[#This Row],['#_Non-functional protected hand dug well]]</f>
        <v>0</v>
      </c>
      <c r="CI120" s="971">
        <f>(WWWW[[#This Row],['#_Constructed/Existing tube wells/boreholes/handpumps_WASH_agency]]+WWWW[[#This Row],['#_Non-Cluster partner water tube-wells/boreholes/handpumps]])-WWWW[[#This Row],['#_Non-functional tube wells/boreholes/handpumps]]</f>
        <v>0</v>
      </c>
      <c r="CJ120" s="971">
        <f>WWWW[[#This Row],['#_Constructed/Existingwater storage tank with gravity fed reticulation system]]-WWWW[[#This Row],['#_Non-functional storage tank gravity fed reticulation system]]</f>
        <v>8</v>
      </c>
      <c r="CK120" s="971">
        <f>(WWWW[[#This Row],['#_Water_Liters_supplied_by_Water boating or water trucking]]/90)/15</f>
        <v>0</v>
      </c>
      <c r="CL120" s="971">
        <f>WWWW[[#This Row],['#_Water_Liters_from_Constructed/Existing water distribution system from river or natural spring]]/90/15</f>
        <v>0</v>
      </c>
      <c r="CM120" s="421">
        <f>IF(WWWW[[#This Row],['#_of water points in TLS/CFS]]*500&gt;WWWW[[#This Row],[Total PoP ]],WWWW[[#This Row],[Total PoP ]],WWWW[[#This Row],['#_of water points in TLS/CFS]]*500)</f>
        <v>0</v>
      </c>
      <c r="CN120" s="421">
        <f>IF(WWWW[[#This Row],['#_of water points in THF]]*500&gt;WWWW[[#This Row],[Total PoP ]],WWWW[[#This Row],[Total PoP ]],WWWW[[#This Row],['#_of water points in THF]]*500)</f>
        <v>0</v>
      </c>
      <c r="CO120" s="421"/>
      <c r="CP12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Q12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R120" s="970">
        <f>IF(WWWW[[#This Row],[Location Type 1]]="Village",WWWW[[#This Row],[Access to safe drinking water for Village]],WWWW[[#This Row],[Access to safe drinking water for Camp]])</f>
        <v>0.8032128514056226</v>
      </c>
      <c r="CS120" s="968">
        <f>WWWW[[#This Row],[%Equitable and continuous access to sufficient quantity of safe drinking water]]*WWWW[[#This Row],[Total PoP ]]</f>
        <v>533.33333333333337</v>
      </c>
      <c r="CT120" s="970">
        <f>IF((WWWW[[#This Row],['#_Constructed/Existing protected/fenced ponds]]*250)/WWWW[[#This Row],[Total PoP ]]&gt;1,1,(WWWW[[#This Row],['#_Constructed/Existing protected/fenced ponds]]*250)/WWWW[[#This Row],[Total PoP ]])</f>
        <v>0</v>
      </c>
      <c r="CU120" s="968">
        <f>WWWW[[#This Row],[% Access to unimproved water points]]*WWWW[[#This Row],[Total PoP ]]</f>
        <v>0</v>
      </c>
      <c r="CV12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W12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120" s="968">
        <f>WWWW[[#This Row],[HRP1]]/500</f>
        <v>1.0666666666666667</v>
      </c>
      <c r="CY120" s="973">
        <f>1-WWWW[[#This Row],[% Equitable and continuous access to sufficient quantity of domestic water]]</f>
        <v>0.1967871485943774</v>
      </c>
      <c r="CZ120" s="968">
        <f>WWWW[[#This Row],[%equitable and continuous access to sufficient quantity of safe drinking and domestic water''s GAP]]*WWWW[[#This Row],[Total PoP ]]</f>
        <v>130.6666666666666</v>
      </c>
      <c r="DA120" s="971">
        <f>IF(WWWW[[#This Row],[Total required water points]]-WWWW[[#This Row],['#Water points coverage]]&lt;0,0,WWWW[[#This Row],[Total required water points]]-WWWW[[#This Row],['#Water points coverage]])</f>
        <v>0</v>
      </c>
      <c r="DB120" s="971">
        <f>ROUND(IF(WWWW[[#This Row],[Total PoP ]]&lt;500,1,WWWW[[#This Row],[Total PoP ]]/500),0)</f>
        <v>1</v>
      </c>
      <c r="DC120" s="971">
        <f>(WWWW[[#This Row],['#_Constructed latrines_by_WASHAgencies]]+WWWW[[#This Row],['#_Non Cluster partner latrines]])-WWWW[[#This Row],['#_Non-functional latrines]]</f>
        <v>105</v>
      </c>
      <c r="DD120" s="619">
        <f>WWWW[[#This Row],[HRP2]]/WWWW[[#This Row],[Total PoP ]]</f>
        <v>0.79066265060240959</v>
      </c>
      <c r="DE12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525</v>
      </c>
      <c r="DF12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0" s="421">
        <f>IF(WWWW[[#This Row],['# of functional latrines in THF supported by WASH partners during the reporting period2]]="",0,WWWW[[#This Row],['# of functional latrines in THF supported by WASH partners during the reporting period2]]*50)</f>
        <v>0</v>
      </c>
      <c r="DI120" s="971">
        <f>ROUND(IF(WWWW[[#This Row],[Location Type 1]]="camp",WWWW[[#This Row],[Total PoP ]]/20,IF(WWWW[[#This Row],[Location Type 1]]="Temporary Location",WWWW[[#This Row],[Total PoP ]]/50,(WWWW[[#This Row],[Total PoP ]]/6))),0)</f>
        <v>111</v>
      </c>
      <c r="DJ120" s="971">
        <f>IF(WWWW[[#This Row],[Total required Latrines]]-(WWWW[[#This Row],['#_Constructed latrines_by_WASHAgencies]]+WWWW[[#This Row],['#_Non Cluster partner latrines]])&lt;0,0,WWWW[[#This Row],[Total required Latrines]]-(WWWW[[#This Row],['#_Constructed latrines_by_WASHAgencies]]+WWWW[[#This Row],['#_Non Cluster partner latrines]]))</f>
        <v>6</v>
      </c>
      <c r="DK120" s="973">
        <f>1-WWWW[[#This Row],[% people access to functioning Latrine]]</f>
        <v>0.20933734939759041</v>
      </c>
      <c r="DL120" s="972">
        <f>IF(OR(WWWW[[#This Row],['#_Non-functional latrines]]="",WWWW[[#This Row],['#_Non-functional latrines]]=0),0,WWWW[[#This Row],['#_Non-functional latrines]]/(WWWW[[#This Row],['#_Constructed latrines_by_WASHAgencies]]+WWWW[[#This Row],['#_Non Cluster partner latrines]]))</f>
        <v>0</v>
      </c>
      <c r="DM120" s="968">
        <f>IF(500*(WWWW[[#This Row],['#_male hygiene promoters]]+WWWW[[#This Row],['#_female hygiene promoters]])&gt;WWWW[[#This Row],[Total PoP ]],WWWW[[#This Row],[Total PoP ]],500*(WWWW[[#This Row],['#_male hygiene promoters]]+WWWW[[#This Row],['#_female hygiene promoters]]))</f>
        <v>500</v>
      </c>
      <c r="DN12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0" s="971">
        <f>IF(WWWW[[#This Row],['# People with access to soap]]&gt;WWWW[[#This Row],['# People with access to Sanity Pads]],WWWW[[#This Row],['# People with access to soap]],WWWW[[#This Row],['# People with access to Sanity Pads]])</f>
        <v>0</v>
      </c>
      <c r="DQ120"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20" s="973">
        <f>IF(WWWW[[#This Row],[HRP3]]/WWWW[[#This Row],[Total PoP ]]&gt;1,1,WWWW[[#This Row],[HRP3]]/WWWW[[#This Row],[Total PoP ]])</f>
        <v>0.75301204819277112</v>
      </c>
      <c r="DS120" s="972">
        <f>1-WWWW[[#This Row],[Hygiene Coverage%]]</f>
        <v>0.24698795180722888</v>
      </c>
      <c r="DT120" s="970">
        <f>WWWW[[#This Row],['# people reached by regular dedicated hygiene promotion_5]]/WWWW[[#This Row],[Total PoP ]]</f>
        <v>0.75301204819277112</v>
      </c>
      <c r="DU12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0" s="971">
        <f>WWWW[[#This Row],['#_Constructed/Existing hand washing stations]]-WWWW[[#This Row],['#_Non-Functional_hand_washing_stations]]</f>
        <v>8</v>
      </c>
      <c r="DX120" s="968">
        <f>IF(WWWW[[#This Row],['# Functional hand washing stations during reporting period]]*20&gt;WWWW[[#This Row],[Total HH]],WWWW[[#This Row],[Total HH]],WWWW[[#This Row],['# Functional hand washing stations during reporting period]]*20)</f>
        <v>121</v>
      </c>
      <c r="DY120" s="968">
        <f>IF(WWWW[[#This Row],[Is sufficient soap available for TLS? (Yes/No)]]="yes",WWWW[[#This Row],['#_Constructed/Existing hand washing stations at TLS/CFS/THF]],0)</f>
        <v>1</v>
      </c>
      <c r="DZ120" s="425">
        <f>IF(WWWW[[#This Row],['# Functional hand washing stations during reporting period]]*100&gt;WWWW[[#This Row],[Total PoP ]],WWWW[[#This Row],[Total PoP ]],WWWW[[#This Row],['# Functional hand washing stations during reporting period]]*100)</f>
        <v>664</v>
      </c>
      <c r="EA120" s="425" t="str">
        <f>IF(OR(WWWW[[#This Row],['#_students at TLS_CFS]]="",WWWW[[#This Row],['#_students at TLS_CFS]]=0),"No","Yes")</f>
        <v>No</v>
      </c>
      <c r="EB12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0" s="570">
        <f>WWWW[[#This Row],[%_of_affected_people_surveyed_who_report_feeling_satistfied_with_the_latrine_design_and_sanitation_service]]*WWWW[[#This Row],[Total PoP ]]</f>
        <v>0</v>
      </c>
      <c r="ED120" s="570">
        <f>WWWW[[#This Row],[%_of_affected_people_surveyed_who_report_feeling_satistfied_with_the_water_point_design_and_water_service]]*WWWW[[#This Row],[Total PoP ]]</f>
        <v>0</v>
      </c>
      <c r="EE120" s="570">
        <f>WWWW[[#This Row],[%_of_complaints_received_that_result_in_timely_corrective_action_and_feedback_to_the_community]]*WWWW[[#This Row],[Total PoP ]]</f>
        <v>0</v>
      </c>
      <c r="EF12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0" s="964" t="str">
        <f>VLOOKUP(WWWW[[#This Row],[Site Name]],SiteDB6[[Site Name]:[CCCM Management]],6,FALSE)</f>
        <v>Yes</v>
      </c>
      <c r="EJ120" s="964" t="str">
        <f>VLOOKUP(WWWW[[#This Row],[Site Name]],SiteDB6[[Site Name]:[CCCM Focal Agency]],7,FALSE)</f>
        <v>KMSS-LSO</v>
      </c>
      <c r="EK120" s="964" t="str">
        <f>VLOOKUP(WWWW[[#This Row],[Site Name]],SiteDB6[[Site Name]:[Location Type 1]],9,FALSE)</f>
        <v>Village Type Camp</v>
      </c>
      <c r="EL120" s="964" t="str">
        <f>VLOOKUP(WWWW[[#This Row],[Site Name]],SiteDB6[[Site Name]:[Type of Accommodation]],10,FALSE)</f>
        <v>Camp</v>
      </c>
      <c r="EM120" s="964" t="str">
        <f>VLOOKUP(WWWW[[#This Row],[Site Name]],SiteDB6[[Site Name]:[Ethnic or GCA/NGCA]],11,FALSE)</f>
        <v>GCA</v>
      </c>
      <c r="EN120" s="964">
        <f>VLOOKUP(WWWW[[#This Row],[Site Name]],SiteDB6[[Site Name]:[Lat]],12,FALSE)</f>
        <v>23.447111</v>
      </c>
      <c r="EO120" s="964">
        <f>VLOOKUP(WWWW[[#This Row],[Site Name]],SiteDB6[[Site Name]:[Long]],13,FALSE)</f>
        <v>97.868876999999998</v>
      </c>
      <c r="EP120" s="964" t="str">
        <f>VLOOKUP(WWWW[[#This Row],[Site Name]],SiteDB6[[Site Name]:[Pcode]],3,FALSE)</f>
        <v>MMR015CMP037</v>
      </c>
      <c r="EQ120" s="969" t="str">
        <f t="shared" si="3"/>
        <v>Covered</v>
      </c>
      <c r="ER120" s="969" t="s">
        <v>3147</v>
      </c>
      <c r="ES120" s="964">
        <f>VLOOKUP(WWWW[[#This Row],[Site Name]],SiteDB6[[Site Name]:[Pop
(Kachin/Shan-CCCM as of March 2023)]],16,FALSE)</f>
        <v>127</v>
      </c>
      <c r="ET120" s="964">
        <f>VLOOKUP(WWWW[[#This Row],[Site Name]],SiteDB6[[Site Name]:[Pop
(Kachin/Shan-CCCM as of March 2023)]],17,FALSE)</f>
        <v>713</v>
      </c>
    </row>
    <row r="121" spans="1:150" hidden="1">
      <c r="A121" s="962" t="s">
        <v>2977</v>
      </c>
      <c r="B121" s="962" t="s">
        <v>192</v>
      </c>
      <c r="C121" s="963" t="s">
        <v>192</v>
      </c>
      <c r="D121" s="963" t="s">
        <v>2648</v>
      </c>
      <c r="E121" s="963" t="s">
        <v>37</v>
      </c>
      <c r="F121" s="963" t="s">
        <v>38</v>
      </c>
      <c r="G121" s="964" t="str">
        <f>VLOOKUP(WWWW[[#This Row],[Site Name]],SiteDB6[[Site Name]:[Location Type]],8,FALSE)</f>
        <v>Camp</v>
      </c>
      <c r="H121" s="963" t="s">
        <v>2889</v>
      </c>
      <c r="I121" s="965">
        <v>97</v>
      </c>
      <c r="J121" s="965">
        <v>544</v>
      </c>
      <c r="K121" s="966">
        <v>44511</v>
      </c>
      <c r="L121" s="967" t="s">
        <v>2973</v>
      </c>
      <c r="M121" s="965"/>
      <c r="N121" s="965"/>
      <c r="O121" s="965"/>
      <c r="P121" s="965"/>
      <c r="Q121" s="968"/>
      <c r="R121" s="965"/>
      <c r="S121" s="965"/>
      <c r="T121" s="445">
        <v>3</v>
      </c>
      <c r="U121" s="965"/>
      <c r="V121" s="965"/>
      <c r="W121" s="965"/>
      <c r="X121" s="965"/>
      <c r="Y121" s="965"/>
      <c r="Z121" s="965"/>
      <c r="AA121" s="965"/>
      <c r="AB121" s="965"/>
      <c r="AC121" s="965"/>
      <c r="AD121" s="965"/>
      <c r="AE121" s="965"/>
      <c r="AF121" s="965"/>
      <c r="AG121" s="965"/>
      <c r="AH121" s="965"/>
      <c r="AI121" s="965"/>
      <c r="AJ121" s="965"/>
      <c r="AK121" s="965"/>
      <c r="AL121" s="965"/>
      <c r="AM121" s="965"/>
      <c r="AN121" s="965"/>
      <c r="AO121" s="445"/>
      <c r="AP121" s="969"/>
      <c r="AQ121" s="965"/>
      <c r="AR121" s="965"/>
      <c r="AS121" s="970"/>
      <c r="AT121" s="965"/>
      <c r="AU121" s="965"/>
      <c r="AV121" s="965"/>
      <c r="AW121" s="965"/>
      <c r="AX121" s="965"/>
      <c r="AY121" s="964" t="s">
        <v>140</v>
      </c>
      <c r="AZ121" s="969" t="s">
        <v>140</v>
      </c>
      <c r="BA121" s="965"/>
      <c r="BB121" s="965"/>
      <c r="BC121" s="965"/>
      <c r="BD121" s="445"/>
      <c r="BE121" s="445"/>
      <c r="BF121" s="964"/>
      <c r="BG121" s="965">
        <v>7</v>
      </c>
      <c r="BH121" s="965"/>
      <c r="BI121" s="965"/>
      <c r="BJ121" s="965">
        <v>7</v>
      </c>
      <c r="BK121" s="965"/>
      <c r="BL121" s="965"/>
      <c r="BM121" s="965"/>
      <c r="BN121" s="965"/>
      <c r="BO121" s="965"/>
      <c r="BP121" s="964" t="s">
        <v>41</v>
      </c>
      <c r="BQ121" s="971"/>
      <c r="BR121" s="970"/>
      <c r="BS121" s="964"/>
      <c r="BT121" s="420"/>
      <c r="BU121" s="420"/>
      <c r="BV121" s="422"/>
      <c r="BW121" s="420"/>
      <c r="BX121" s="445"/>
      <c r="BY121" s="445"/>
      <c r="BZ121" s="445"/>
      <c r="CA121" s="445"/>
      <c r="CB121" s="445"/>
      <c r="CC121" s="702"/>
      <c r="CD121" s="445"/>
      <c r="CE121" s="972" t="str">
        <f>IFERROR(WWWW[[#This Row],['#_Water sources passed]]/WWWW[[#This Row],['#_Water sources tested for fecal coliform ]],"no test")</f>
        <v>no test</v>
      </c>
      <c r="CF121" s="970" t="str">
        <f>IFERROR(WWWW[[#This Row],['#_Household passed]]/WWWW[[#This Row],['#_Household water samples tested for fecal coliform]],"no test")</f>
        <v>no test</v>
      </c>
      <c r="CG121" s="971" t="str">
        <f>IF(AND(WWWW[[#This Row],[% of water sources passed]]="no test",WWWW[[#This Row],[% Household passed]]="no test"),"No Test","Tested")</f>
        <v>No Test</v>
      </c>
      <c r="CH121" s="971">
        <f>WWWW[[#This Row],['#_Constructed/existing protected hand dug well]]-WWWW[[#This Row],['#_Non-functional protected hand dug well]]</f>
        <v>3</v>
      </c>
      <c r="CI121" s="971">
        <f>(WWWW[[#This Row],['#_Constructed/Existing tube wells/boreholes/handpumps_WASH_agency]]+WWWW[[#This Row],['#_Non-Cluster partner water tube-wells/boreholes/handpumps]])-WWWW[[#This Row],['#_Non-functional tube wells/boreholes/handpumps]]</f>
        <v>0</v>
      </c>
      <c r="CJ121" s="971">
        <f>WWWW[[#This Row],['#_Constructed/Existingwater storage tank with gravity fed reticulation system]]-WWWW[[#This Row],['#_Non-functional storage tank gravity fed reticulation system]]</f>
        <v>0</v>
      </c>
      <c r="CK121" s="971">
        <f>(WWWW[[#This Row],['#_Water_Liters_supplied_by_Water boating or water trucking]]/90)/15</f>
        <v>0</v>
      </c>
      <c r="CL121" s="971">
        <f>WWWW[[#This Row],['#_Water_Liters_from_Constructed/Existing water distribution system from river or natural spring]]/90/15</f>
        <v>0</v>
      </c>
      <c r="CM121" s="421">
        <f>IF(WWWW[[#This Row],['#_of water points in TLS/CFS]]*500&gt;WWWW[[#This Row],[Total PoP ]],WWWW[[#This Row],[Total PoP ]],WWWW[[#This Row],['#_of water points in TLS/CFS]]*500)</f>
        <v>0</v>
      </c>
      <c r="CN121" s="421">
        <f>IF(WWWW[[#This Row],['#_of water points in THF]]*500&gt;WWWW[[#This Row],[Total PoP ]],WWWW[[#This Row],[Total PoP ]],WWWW[[#This Row],['#_of water points in THF]]*500)</f>
        <v>0</v>
      </c>
      <c r="CO121" s="421"/>
      <c r="CP12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1" s="970">
        <f>IF(WWWW[[#This Row],[Location Type 1]]="Village",WWWW[[#This Row],[Access to safe drinking water for Village]],WWWW[[#This Row],[Access to safe drinking water for Camp]])</f>
        <v>1</v>
      </c>
      <c r="CS121" s="968">
        <f>WWWW[[#This Row],[%Equitable and continuous access to sufficient quantity of safe drinking water]]*WWWW[[#This Row],[Total PoP ]]</f>
        <v>544</v>
      </c>
      <c r="CT121" s="970">
        <f>IF((WWWW[[#This Row],['#_Constructed/Existing protected/fenced ponds]]*250)/WWWW[[#This Row],[Total PoP ]]&gt;1,1,(WWWW[[#This Row],['#_Constructed/Existing protected/fenced ponds]]*250)/WWWW[[#This Row],[Total PoP ]])</f>
        <v>0</v>
      </c>
      <c r="CU121" s="968">
        <f>WWWW[[#This Row],[% Access to unimproved water points]]*WWWW[[#This Row],[Total PoP ]]</f>
        <v>0</v>
      </c>
      <c r="CV12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X121" s="968">
        <f>WWWW[[#This Row],[HRP1]]/500</f>
        <v>1.0880000000000001</v>
      </c>
      <c r="CY121" s="973">
        <f>1-WWWW[[#This Row],[% Equitable and continuous access to sufficient quantity of domestic water]]</f>
        <v>0</v>
      </c>
      <c r="CZ121" s="968">
        <f>WWWW[[#This Row],[%equitable and continuous access to sufficient quantity of safe drinking and domestic water''s GAP]]*WWWW[[#This Row],[Total PoP ]]</f>
        <v>0</v>
      </c>
      <c r="DA121" s="971">
        <f>IF(WWWW[[#This Row],[Total required water points]]-WWWW[[#This Row],['#Water points coverage]]&lt;0,0,WWWW[[#This Row],[Total required water points]]-WWWW[[#This Row],['#Water points coverage]])</f>
        <v>0</v>
      </c>
      <c r="DB121" s="971">
        <f>ROUND(IF(WWWW[[#This Row],[Total PoP ]]&lt;500,1,WWWW[[#This Row],[Total PoP ]]/500),0)</f>
        <v>1</v>
      </c>
      <c r="DC121" s="971">
        <f>(WWWW[[#This Row],['#_Constructed latrines_by_WASHAgencies]]+WWWW[[#This Row],['#_Non Cluster partner latrines]])-WWWW[[#This Row],['#_Non-functional latrines]]</f>
        <v>0</v>
      </c>
      <c r="DD121" s="619">
        <f>WWWW[[#This Row],[HRP2]]/WWWW[[#This Row],[Total PoP ]]</f>
        <v>0</v>
      </c>
      <c r="DE12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1" s="421">
        <f>IF(WWWW[[#This Row],['# of functional latrines in THF supported by WASH partners during the reporting period2]]="",0,WWWW[[#This Row],['# of functional latrines in THF supported by WASH partners during the reporting period2]]*50)</f>
        <v>0</v>
      </c>
      <c r="DI121" s="971">
        <f>ROUND(IF(WWWW[[#This Row],[Location Type 1]]="camp",WWWW[[#This Row],[Total PoP ]]/20,IF(WWWW[[#This Row],[Location Type 1]]="Temporary Location",WWWW[[#This Row],[Total PoP ]]/50,(WWWW[[#This Row],[Total PoP ]]/6))),0)</f>
        <v>27</v>
      </c>
      <c r="DJ121" s="971">
        <f>IF(WWWW[[#This Row],[Total required Latrines]]-(WWWW[[#This Row],['#_Constructed latrines_by_WASHAgencies]]+WWWW[[#This Row],['#_Non Cluster partner latrines]])&lt;0,0,WWWW[[#This Row],[Total required Latrines]]-(WWWW[[#This Row],['#_Constructed latrines_by_WASHAgencies]]+WWWW[[#This Row],['#_Non Cluster partner latrines]]))</f>
        <v>27</v>
      </c>
      <c r="DK121" s="973">
        <f>1-WWWW[[#This Row],[% people access to functioning Latrine]]</f>
        <v>1</v>
      </c>
      <c r="DL121" s="972">
        <f>IF(OR(WWWW[[#This Row],['#_Non-functional latrines]]="",WWWW[[#This Row],['#_Non-functional latrines]]=0),0,WWWW[[#This Row],['#_Non-functional latrines]]/(WWWW[[#This Row],['#_Constructed latrines_by_WASHAgencies]]+WWWW[[#This Row],['#_Non Cluster partner latrines]]))</f>
        <v>0</v>
      </c>
      <c r="DM121" s="968">
        <f>IF(500*(WWWW[[#This Row],['#_male hygiene promoters]]+WWWW[[#This Row],['#_female hygiene promoters]])&gt;WWWW[[#This Row],[Total PoP ]],WWWW[[#This Row],[Total PoP ]],500*(WWWW[[#This Row],['#_male hygiene promoters]]+WWWW[[#This Row],['#_female hygiene promoters]]))</f>
        <v>0</v>
      </c>
      <c r="DN12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1" s="971">
        <f>IF(WWWW[[#This Row],['# People with access to soap]]&gt;WWWW[[#This Row],['# People with access to Sanity Pads]],WWWW[[#This Row],['# People with access to soap]],WWWW[[#This Row],['# People with access to Sanity Pads]])</f>
        <v>0</v>
      </c>
      <c r="DQ12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1" s="973">
        <f>IF(WWWW[[#This Row],[HRP3]]/WWWW[[#This Row],[Total PoP ]]&gt;1,1,WWWW[[#This Row],[HRP3]]/WWWW[[#This Row],[Total PoP ]])</f>
        <v>0</v>
      </c>
      <c r="DS121" s="972">
        <f>1-WWWW[[#This Row],[Hygiene Coverage%]]</f>
        <v>1</v>
      </c>
      <c r="DT121" s="970">
        <f>WWWW[[#This Row],['# people reached by regular dedicated hygiene promotion_5]]/WWWW[[#This Row],[Total PoP ]]</f>
        <v>0</v>
      </c>
      <c r="DU12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1" s="971">
        <f>WWWW[[#This Row],['#_Constructed/Existing hand washing stations]]-WWWW[[#This Row],['#_Non-Functional_hand_washing_stations]]</f>
        <v>7</v>
      </c>
      <c r="DX121" s="968">
        <f>IF(WWWW[[#This Row],['# Functional hand washing stations during reporting period]]*20&gt;WWWW[[#This Row],[Total HH]],WWWW[[#This Row],[Total HH]],WWWW[[#This Row],['# Functional hand washing stations during reporting period]]*20)</f>
        <v>97</v>
      </c>
      <c r="DY121" s="968">
        <f>IF(WWWW[[#This Row],[Is sufficient soap available for TLS? (Yes/No)]]="yes",WWWW[[#This Row],['#_Constructed/Existing hand washing stations at TLS/CFS/THF]],0)</f>
        <v>0</v>
      </c>
      <c r="DZ121" s="425">
        <f>IF(WWWW[[#This Row],['# Functional hand washing stations during reporting period]]*100&gt;WWWW[[#This Row],[Total PoP ]],WWWW[[#This Row],[Total PoP ]],WWWW[[#This Row],['# Functional hand washing stations during reporting period]]*100)</f>
        <v>544</v>
      </c>
      <c r="EA121" s="425" t="str">
        <f>IF(OR(WWWW[[#This Row],['#_students at TLS_CFS]]="",WWWW[[#This Row],['#_students at TLS_CFS]]=0),"No","Yes")</f>
        <v>No</v>
      </c>
      <c r="EB12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1" s="570">
        <f>WWWW[[#This Row],[%_of_affected_people_surveyed_who_report_feeling_satistfied_with_the_latrine_design_and_sanitation_service]]*WWWW[[#This Row],[Total PoP ]]</f>
        <v>0</v>
      </c>
      <c r="ED121" s="570">
        <f>WWWW[[#This Row],[%_of_affected_people_surveyed_who_report_feeling_satistfied_with_the_water_point_design_and_water_service]]*WWWW[[#This Row],[Total PoP ]]</f>
        <v>0</v>
      </c>
      <c r="EE121" s="570">
        <f>WWWW[[#This Row],[%_of_complaints_received_that_result_in_timely_corrective_action_and_feedback_to_the_community]]*WWWW[[#This Row],[Total PoP ]]</f>
        <v>0</v>
      </c>
      <c r="EF12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1" s="964">
        <f>VLOOKUP(WWWW[[#This Row],[Site Name]],SiteDB6[[Site Name]:[CCCM Management]],6,FALSE)</f>
        <v>0</v>
      </c>
      <c r="EJ121" s="964" t="str">
        <f>VLOOKUP(WWWW[[#This Row],[Site Name]],SiteDB6[[Site Name]:[CCCM Focal Agency]],7,FALSE)</f>
        <v>uncovered</v>
      </c>
      <c r="EK121" s="964" t="str">
        <f>VLOOKUP(WWWW[[#This Row],[Site Name]],SiteDB6[[Site Name]:[Location Type 1]],9,FALSE)</f>
        <v>Camp</v>
      </c>
      <c r="EL121" s="964" t="str">
        <f>VLOOKUP(WWWW[[#This Row],[Site Name]],SiteDB6[[Site Name]:[Type of Accommodation]],10,FALSE)</f>
        <v>IDPs in host</v>
      </c>
      <c r="EM121" s="964" t="str">
        <f>VLOOKUP(WWWW[[#This Row],[Site Name]],SiteDB6[[Site Name]:[Ethnic or GCA/NGCA]],11,FALSE)</f>
        <v>GCA</v>
      </c>
      <c r="EN121" s="964">
        <f>VLOOKUP(WWWW[[#This Row],[Site Name]],SiteDB6[[Site Name]:[Lat]],12,FALSE)</f>
        <v>23.827870999999998</v>
      </c>
      <c r="EO121" s="964">
        <f>VLOOKUP(WWWW[[#This Row],[Site Name]],SiteDB6[[Site Name]:[Long]],13,FALSE)</f>
        <v>97.588291999999996</v>
      </c>
      <c r="EP121" s="964" t="str">
        <f>VLOOKUP(WWWW[[#This Row],[Site Name]],SiteDB6[[Site Name]:[Pcode]],3,FALSE)</f>
        <v>MMR001CMP134</v>
      </c>
      <c r="EQ121" s="969" t="str">
        <f t="shared" ref="EQ121:EQ152" si="4">IF(C121="none","Notcovered","Covered")</f>
        <v>Covered</v>
      </c>
      <c r="ER121" s="969" t="s">
        <v>3147</v>
      </c>
      <c r="ES121" s="964">
        <f>VLOOKUP(WWWW[[#This Row],[Site Name]],SiteDB6[[Site Name]:[Pop
(Kachin/Shan-CCCM as of March 2023)]],16,FALSE)</f>
        <v>120</v>
      </c>
      <c r="ET121" s="964">
        <f>VLOOKUP(WWWW[[#This Row],[Site Name]],SiteDB6[[Site Name]:[Pop
(Kachin/Shan-CCCM as of March 2023)]],17,FALSE)</f>
        <v>664</v>
      </c>
    </row>
    <row r="122" spans="1:150" hidden="1">
      <c r="A122" s="962" t="s">
        <v>2977</v>
      </c>
      <c r="B122" s="962" t="s">
        <v>309</v>
      </c>
      <c r="C122" s="963" t="s">
        <v>309</v>
      </c>
      <c r="D122" s="963"/>
      <c r="E122" s="963" t="s">
        <v>37</v>
      </c>
      <c r="F122" s="963" t="s">
        <v>38</v>
      </c>
      <c r="G122" s="964" t="str">
        <f>VLOOKUP(WWWW[[#This Row],[Site Name]],SiteDB6[[Site Name]:[Location Type]],8,FALSE)</f>
        <v>Camp</v>
      </c>
      <c r="H122" s="963" t="s">
        <v>2890</v>
      </c>
      <c r="I122" s="965">
        <v>67</v>
      </c>
      <c r="J122" s="965">
        <v>308</v>
      </c>
      <c r="K122" s="966"/>
      <c r="L122" s="967"/>
      <c r="M122" s="965"/>
      <c r="N122" s="965"/>
      <c r="O122" s="965"/>
      <c r="P122" s="965"/>
      <c r="Q122" s="968"/>
      <c r="R122" s="965"/>
      <c r="S122" s="965">
        <v>4</v>
      </c>
      <c r="T122" s="445"/>
      <c r="U122" s="965"/>
      <c r="V122" s="965"/>
      <c r="W122" s="965"/>
      <c r="X122" s="965"/>
      <c r="Y122" s="965"/>
      <c r="Z122" s="965"/>
      <c r="AA122" s="965"/>
      <c r="AB122" s="965"/>
      <c r="AC122" s="965"/>
      <c r="AD122" s="965"/>
      <c r="AE122" s="965"/>
      <c r="AF122" s="965"/>
      <c r="AG122" s="965"/>
      <c r="AH122" s="965"/>
      <c r="AI122" s="965"/>
      <c r="AJ122" s="965"/>
      <c r="AK122" s="965"/>
      <c r="AL122" s="965"/>
      <c r="AM122" s="965"/>
      <c r="AN122" s="965"/>
      <c r="AO122" s="445"/>
      <c r="AP122" s="969"/>
      <c r="AQ122" s="965"/>
      <c r="AR122" s="965"/>
      <c r="AS122" s="970"/>
      <c r="AT122" s="965"/>
      <c r="AU122" s="965"/>
      <c r="AV122" s="965"/>
      <c r="AW122" s="965"/>
      <c r="AX122" s="965"/>
      <c r="AY122" s="964" t="s">
        <v>140</v>
      </c>
      <c r="AZ122" s="969" t="s">
        <v>140</v>
      </c>
      <c r="BA122" s="965"/>
      <c r="BB122" s="965"/>
      <c r="BC122" s="965"/>
      <c r="BD122" s="445"/>
      <c r="BE122" s="445"/>
      <c r="BF122" s="964"/>
      <c r="BG122" s="965">
        <v>7</v>
      </c>
      <c r="BH122" s="965"/>
      <c r="BI122" s="965"/>
      <c r="BJ122" s="965">
        <v>7</v>
      </c>
      <c r="BK122" s="965"/>
      <c r="BL122" s="965"/>
      <c r="BM122" s="965"/>
      <c r="BN122" s="965"/>
      <c r="BO122" s="965"/>
      <c r="BP122" s="964"/>
      <c r="BQ122" s="971"/>
      <c r="BR122" s="970"/>
      <c r="BS122" s="964"/>
      <c r="BT122" s="420"/>
      <c r="BU122" s="420"/>
      <c r="BV122" s="422"/>
      <c r="BW122" s="420"/>
      <c r="BX122" s="445"/>
      <c r="BY122" s="445"/>
      <c r="BZ122" s="445"/>
      <c r="CA122" s="445"/>
      <c r="CB122" s="445"/>
      <c r="CC122" s="702"/>
      <c r="CD122" s="445"/>
      <c r="CE122" s="972" t="str">
        <f>IFERROR(WWWW[[#This Row],['#_Water sources passed]]/WWWW[[#This Row],['#_Water sources tested for fecal coliform ]],"no test")</f>
        <v>no test</v>
      </c>
      <c r="CF122" s="970" t="str">
        <f>IFERROR(WWWW[[#This Row],['#_Household passed]]/WWWW[[#This Row],['#_Household water samples tested for fecal coliform]],"no test")</f>
        <v>no test</v>
      </c>
      <c r="CG122" s="971" t="str">
        <f>IF(AND(WWWW[[#This Row],[% of water sources passed]]="no test",WWWW[[#This Row],[% Household passed]]="no test"),"No Test","Tested")</f>
        <v>No Test</v>
      </c>
      <c r="CH122" s="971">
        <f>WWWW[[#This Row],['#_Constructed/existing protected hand dug well]]-WWWW[[#This Row],['#_Non-functional protected hand dug well]]</f>
        <v>0</v>
      </c>
      <c r="CI122" s="971">
        <f>(WWWW[[#This Row],['#_Constructed/Existing tube wells/boreholes/handpumps_WASH_agency]]+WWWW[[#This Row],['#_Non-Cluster partner water tube-wells/boreholes/handpumps]])-WWWW[[#This Row],['#_Non-functional tube wells/boreholes/handpumps]]</f>
        <v>0</v>
      </c>
      <c r="CJ122" s="971">
        <f>WWWW[[#This Row],['#_Constructed/Existingwater storage tank with gravity fed reticulation system]]-WWWW[[#This Row],['#_Non-functional storage tank gravity fed reticulation system]]</f>
        <v>0</v>
      </c>
      <c r="CK122" s="971">
        <f>(WWWW[[#This Row],['#_Water_Liters_supplied_by_Water boating or water trucking]]/90)/15</f>
        <v>0</v>
      </c>
      <c r="CL122" s="971">
        <f>WWWW[[#This Row],['#_Water_Liters_from_Constructed/Existing water distribution system from river or natural spring]]/90/15</f>
        <v>0</v>
      </c>
      <c r="CM122" s="421">
        <f>IF(WWWW[[#This Row],['#_of water points in TLS/CFS]]*500&gt;WWWW[[#This Row],[Total PoP ]],WWWW[[#This Row],[Total PoP ]],WWWW[[#This Row],['#_of water points in TLS/CFS]]*500)</f>
        <v>0</v>
      </c>
      <c r="CN122" s="421">
        <f>IF(WWWW[[#This Row],['#_of water points in THF]]*500&gt;WWWW[[#This Row],[Total PoP ]],WWWW[[#This Row],[Total PoP ]],WWWW[[#This Row],['#_of water points in THF]]*500)</f>
        <v>0</v>
      </c>
      <c r="CO122" s="421"/>
      <c r="CP12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2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22" s="970">
        <f>IF(WWWW[[#This Row],[Location Type 1]]="Village",WWWW[[#This Row],[Access to safe drinking water for Village]],WWWW[[#This Row],[Access to safe drinking water for Camp]])</f>
        <v>0</v>
      </c>
      <c r="CS122" s="968">
        <f>WWWW[[#This Row],[%Equitable and continuous access to sufficient quantity of safe drinking water]]*WWWW[[#This Row],[Total PoP ]]</f>
        <v>0</v>
      </c>
      <c r="CT122" s="970">
        <f>IF((WWWW[[#This Row],['#_Constructed/Existing protected/fenced ponds]]*250)/WWWW[[#This Row],[Total PoP ]]&gt;1,1,(WWWW[[#This Row],['#_Constructed/Existing protected/fenced ponds]]*250)/WWWW[[#This Row],[Total PoP ]])</f>
        <v>0</v>
      </c>
      <c r="CU122" s="968">
        <f>WWWW[[#This Row],[% Access to unimproved water points]]*WWWW[[#This Row],[Total PoP ]]</f>
        <v>0</v>
      </c>
      <c r="CV12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2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22" s="968">
        <f>WWWW[[#This Row],[HRP1]]/500</f>
        <v>0</v>
      </c>
      <c r="CY122" s="973">
        <f>1-WWWW[[#This Row],[% Equitable and continuous access to sufficient quantity of domestic water]]</f>
        <v>1</v>
      </c>
      <c r="CZ122" s="968">
        <f>WWWW[[#This Row],[%equitable and continuous access to sufficient quantity of safe drinking and domestic water''s GAP]]*WWWW[[#This Row],[Total PoP ]]</f>
        <v>308</v>
      </c>
      <c r="DA122" s="971">
        <f>IF(WWWW[[#This Row],[Total required water points]]-WWWW[[#This Row],['#Water points coverage]]&lt;0,0,WWWW[[#This Row],[Total required water points]]-WWWW[[#This Row],['#Water points coverage]])</f>
        <v>1</v>
      </c>
      <c r="DB122" s="971">
        <f>ROUND(IF(WWWW[[#This Row],[Total PoP ]]&lt;500,1,WWWW[[#This Row],[Total PoP ]]/500),0)</f>
        <v>1</v>
      </c>
      <c r="DC122" s="971">
        <f>(WWWW[[#This Row],['#_Constructed latrines_by_WASHAgencies]]+WWWW[[#This Row],['#_Non Cluster partner latrines]])-WWWW[[#This Row],['#_Non-functional latrines]]</f>
        <v>0</v>
      </c>
      <c r="DD122" s="619">
        <f>WWWW[[#This Row],[HRP2]]/WWWW[[#This Row],[Total PoP ]]</f>
        <v>0</v>
      </c>
      <c r="DE12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2" s="421">
        <f>IF(WWWW[[#This Row],['# of functional latrines in THF supported by WASH partners during the reporting period2]]="",0,WWWW[[#This Row],['# of functional latrines in THF supported by WASH partners during the reporting period2]]*50)</f>
        <v>0</v>
      </c>
      <c r="DI122" s="971">
        <f>ROUND(IF(WWWW[[#This Row],[Location Type 1]]="camp",WWWW[[#This Row],[Total PoP ]]/20,IF(WWWW[[#This Row],[Location Type 1]]="Temporary Location",WWWW[[#This Row],[Total PoP ]]/50,(WWWW[[#This Row],[Total PoP ]]/6))),0)</f>
        <v>15</v>
      </c>
      <c r="DJ122" s="971">
        <f>IF(WWWW[[#This Row],[Total required Latrines]]-(WWWW[[#This Row],['#_Constructed latrines_by_WASHAgencies]]+WWWW[[#This Row],['#_Non Cluster partner latrines]])&lt;0,0,WWWW[[#This Row],[Total required Latrines]]-(WWWW[[#This Row],['#_Constructed latrines_by_WASHAgencies]]+WWWW[[#This Row],['#_Non Cluster partner latrines]]))</f>
        <v>15</v>
      </c>
      <c r="DK122" s="973">
        <f>1-WWWW[[#This Row],[% people access to functioning Latrine]]</f>
        <v>1</v>
      </c>
      <c r="DL122" s="972">
        <f>IF(OR(WWWW[[#This Row],['#_Non-functional latrines]]="",WWWW[[#This Row],['#_Non-functional latrines]]=0),0,WWWW[[#This Row],['#_Non-functional latrines]]/(WWWW[[#This Row],['#_Constructed latrines_by_WASHAgencies]]+WWWW[[#This Row],['#_Non Cluster partner latrines]]))</f>
        <v>0</v>
      </c>
      <c r="DM122" s="968">
        <f>IF(500*(WWWW[[#This Row],['#_male hygiene promoters]]+WWWW[[#This Row],['#_female hygiene promoters]])&gt;WWWW[[#This Row],[Total PoP ]],WWWW[[#This Row],[Total PoP ]],500*(WWWW[[#This Row],['#_male hygiene promoters]]+WWWW[[#This Row],['#_female hygiene promoters]]))</f>
        <v>0</v>
      </c>
      <c r="DN12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2" s="971">
        <f>IF(WWWW[[#This Row],['# People with access to soap]]&gt;WWWW[[#This Row],['# People with access to Sanity Pads]],WWWW[[#This Row],['# People with access to soap]],WWWW[[#This Row],['# People with access to Sanity Pads]])</f>
        <v>0</v>
      </c>
      <c r="DQ12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2" s="973">
        <f>IF(WWWW[[#This Row],[HRP3]]/WWWW[[#This Row],[Total PoP ]]&gt;1,1,WWWW[[#This Row],[HRP3]]/WWWW[[#This Row],[Total PoP ]])</f>
        <v>0</v>
      </c>
      <c r="DS122" s="972">
        <f>1-WWWW[[#This Row],[Hygiene Coverage%]]</f>
        <v>1</v>
      </c>
      <c r="DT122" s="970">
        <f>WWWW[[#This Row],['# people reached by regular dedicated hygiene promotion_5]]/WWWW[[#This Row],[Total PoP ]]</f>
        <v>0</v>
      </c>
      <c r="DU12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2" s="971">
        <f>WWWW[[#This Row],['#_Constructed/Existing hand washing stations]]-WWWW[[#This Row],['#_Non-Functional_hand_washing_stations]]</f>
        <v>7</v>
      </c>
      <c r="DX122" s="968">
        <f>IF(WWWW[[#This Row],['# Functional hand washing stations during reporting period]]*20&gt;WWWW[[#This Row],[Total HH]],WWWW[[#This Row],[Total HH]],WWWW[[#This Row],['# Functional hand washing stations during reporting period]]*20)</f>
        <v>67</v>
      </c>
      <c r="DY122" s="968">
        <f>IF(WWWW[[#This Row],[Is sufficient soap available for TLS? (Yes/No)]]="yes",WWWW[[#This Row],['#_Constructed/Existing hand washing stations at TLS/CFS/THF]],0)</f>
        <v>0</v>
      </c>
      <c r="DZ122" s="425">
        <f>IF(WWWW[[#This Row],['# Functional hand washing stations during reporting period]]*100&gt;WWWW[[#This Row],[Total PoP ]],WWWW[[#This Row],[Total PoP ]],WWWW[[#This Row],['# Functional hand washing stations during reporting period]]*100)</f>
        <v>308</v>
      </c>
      <c r="EA122" s="425" t="str">
        <f>IF(OR(WWWW[[#This Row],['#_students at TLS_CFS]]="",WWWW[[#This Row],['#_students at TLS_CFS]]=0),"No","Yes")</f>
        <v>No</v>
      </c>
      <c r="EB12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2" s="570">
        <f>WWWW[[#This Row],[%_of_affected_people_surveyed_who_report_feeling_satistfied_with_the_latrine_design_and_sanitation_service]]*WWWW[[#This Row],[Total PoP ]]</f>
        <v>0</v>
      </c>
      <c r="ED122" s="570">
        <f>WWWW[[#This Row],[%_of_affected_people_surveyed_who_report_feeling_satistfied_with_the_water_point_design_and_water_service]]*WWWW[[#This Row],[Total PoP ]]</f>
        <v>0</v>
      </c>
      <c r="EE122" s="570">
        <f>WWWW[[#This Row],[%_of_complaints_received_that_result_in_timely_corrective_action_and_feedback_to_the_community]]*WWWW[[#This Row],[Total PoP ]]</f>
        <v>0</v>
      </c>
      <c r="EF12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2" s="964">
        <f>VLOOKUP(WWWW[[#This Row],[Site Name]],SiteDB6[[Site Name]:[CCCM Management]],6,FALSE)</f>
        <v>0</v>
      </c>
      <c r="EJ122" s="964" t="str">
        <f>VLOOKUP(WWWW[[#This Row],[Site Name]],SiteDB6[[Site Name]:[CCCM Focal Agency]],7,FALSE)</f>
        <v>uncovered</v>
      </c>
      <c r="EK122" s="964" t="str">
        <f>VLOOKUP(WWWW[[#This Row],[Site Name]],SiteDB6[[Site Name]:[Location Type 1]],9,FALSE)</f>
        <v>Camp</v>
      </c>
      <c r="EL122" s="964" t="str">
        <f>VLOOKUP(WWWW[[#This Row],[Site Name]],SiteDB6[[Site Name]:[Type of Accommodation]],10,FALSE)</f>
        <v>IDPs in host</v>
      </c>
      <c r="EM122" s="964" t="str">
        <f>VLOOKUP(WWWW[[#This Row],[Site Name]],SiteDB6[[Site Name]:[Ethnic or GCA/NGCA]],11,FALSE)</f>
        <v>GCA</v>
      </c>
      <c r="EN122" s="964">
        <f>VLOOKUP(WWWW[[#This Row],[Site Name]],SiteDB6[[Site Name]:[Lat]],12,FALSE)</f>
        <v>24.118618999999999</v>
      </c>
      <c r="EO122" s="964">
        <f>VLOOKUP(WWWW[[#This Row],[Site Name]],SiteDB6[[Site Name]:[Long]],13,FALSE)</f>
        <v>97.298055000000005</v>
      </c>
      <c r="EP122" s="964" t="str">
        <f>VLOOKUP(WWWW[[#This Row],[Site Name]],SiteDB6[[Site Name]:[Pcode]],3,FALSE)</f>
        <v>MMR001CMP196</v>
      </c>
      <c r="EQ122" s="969" t="str">
        <f t="shared" si="4"/>
        <v>Notcovered</v>
      </c>
      <c r="ER122" s="969"/>
      <c r="ES122" s="964">
        <f>VLOOKUP(WWWW[[#This Row],[Site Name]],SiteDB6[[Site Name]:[Pop
(Kachin/Shan-CCCM as of March 2023)]],16,FALSE)</f>
        <v>67</v>
      </c>
      <c r="ET122" s="964">
        <f>VLOOKUP(WWWW[[#This Row],[Site Name]],SiteDB6[[Site Name]:[Pop
(Kachin/Shan-CCCM as of March 2023)]],17,FALSE)</f>
        <v>325</v>
      </c>
    </row>
    <row r="123" spans="1:150" hidden="1">
      <c r="A123" s="962" t="s">
        <v>2977</v>
      </c>
      <c r="B123" s="962" t="s">
        <v>192</v>
      </c>
      <c r="C123" s="963" t="s">
        <v>192</v>
      </c>
      <c r="D123" s="963" t="s">
        <v>2648</v>
      </c>
      <c r="E123" s="963" t="s">
        <v>515</v>
      </c>
      <c r="F123" s="963" t="s">
        <v>519</v>
      </c>
      <c r="G123" s="964" t="str">
        <f>VLOOKUP(WWWW[[#This Row],[Site Name]],SiteDB6[[Site Name]:[Location Type]],8,FALSE)</f>
        <v>Camp</v>
      </c>
      <c r="H123" s="963" t="s">
        <v>546</v>
      </c>
      <c r="I123" s="965">
        <v>38</v>
      </c>
      <c r="J123" s="965">
        <v>180</v>
      </c>
      <c r="K123" s="966">
        <v>44511</v>
      </c>
      <c r="L123" s="967">
        <v>44926</v>
      </c>
      <c r="M123" s="965"/>
      <c r="N123" s="965"/>
      <c r="O123" s="965"/>
      <c r="P123" s="965"/>
      <c r="Q123" s="968"/>
      <c r="R123" s="965">
        <v>4</v>
      </c>
      <c r="S123" s="965">
        <v>5</v>
      </c>
      <c r="T123" s="445">
        <v>1</v>
      </c>
      <c r="U123" s="965"/>
      <c r="V123" s="965"/>
      <c r="W123" s="965">
        <v>1</v>
      </c>
      <c r="X123" s="965"/>
      <c r="Y123" s="965"/>
      <c r="Z123" s="965"/>
      <c r="AA123" s="965"/>
      <c r="AB123" s="965"/>
      <c r="AC123" s="965"/>
      <c r="AD123" s="965"/>
      <c r="AE123" s="965"/>
      <c r="AF123" s="965"/>
      <c r="AG123" s="965"/>
      <c r="AH123" s="965"/>
      <c r="AI123" s="965"/>
      <c r="AJ123" s="965"/>
      <c r="AK123" s="965"/>
      <c r="AL123" s="965"/>
      <c r="AM123" s="965"/>
      <c r="AN123" s="965"/>
      <c r="AO123" s="445"/>
      <c r="AP123" s="969"/>
      <c r="AQ123" s="965">
        <v>9</v>
      </c>
      <c r="AR123" s="965"/>
      <c r="AS123" s="970"/>
      <c r="AT123" s="965"/>
      <c r="AU123" s="965"/>
      <c r="AV123" s="965"/>
      <c r="AW123" s="965"/>
      <c r="AX123" s="965"/>
      <c r="AY123" s="964" t="s">
        <v>41</v>
      </c>
      <c r="AZ123" s="969" t="s">
        <v>137</v>
      </c>
      <c r="BA123" s="965"/>
      <c r="BB123" s="965"/>
      <c r="BC123" s="965"/>
      <c r="BD123" s="445"/>
      <c r="BE123" s="445"/>
      <c r="BF123" s="964"/>
      <c r="BG123" s="965">
        <v>4</v>
      </c>
      <c r="BH123" s="965"/>
      <c r="BI123" s="965"/>
      <c r="BJ123" s="965">
        <v>2</v>
      </c>
      <c r="BK123" s="965"/>
      <c r="BL123" s="965"/>
      <c r="BM123" s="965">
        <v>1</v>
      </c>
      <c r="BN123" s="965"/>
      <c r="BO123" s="965"/>
      <c r="BP123" s="964" t="s">
        <v>41</v>
      </c>
      <c r="BQ123" s="971"/>
      <c r="BR123" s="970"/>
      <c r="BS123" s="964"/>
      <c r="BT123" s="420"/>
      <c r="BU123" s="420"/>
      <c r="BV123" s="422"/>
      <c r="BW123" s="420"/>
      <c r="BX123" s="445"/>
      <c r="BY123" s="445"/>
      <c r="BZ123" s="445"/>
      <c r="CA123" s="445"/>
      <c r="CB123" s="445"/>
      <c r="CC123" s="702"/>
      <c r="CD123" s="445"/>
      <c r="CE123" s="972" t="str">
        <f>IFERROR(WWWW[[#This Row],['#_Water sources passed]]/WWWW[[#This Row],['#_Water sources tested for fecal coliform ]],"no test")</f>
        <v>no test</v>
      </c>
      <c r="CF123" s="970" t="str">
        <f>IFERROR(WWWW[[#This Row],['#_Household passed]]/WWWW[[#This Row],['#_Household water samples tested for fecal coliform]],"no test")</f>
        <v>no test</v>
      </c>
      <c r="CG123" s="971" t="str">
        <f>IF(AND(WWWW[[#This Row],[% of water sources passed]]="no test",WWWW[[#This Row],[% Household passed]]="no test"),"No Test","Tested")</f>
        <v>No Test</v>
      </c>
      <c r="CH123" s="971">
        <f>WWWW[[#This Row],['#_Constructed/existing protected hand dug well]]-WWWW[[#This Row],['#_Non-functional protected hand dug well]]</f>
        <v>1</v>
      </c>
      <c r="CI123" s="971">
        <f>(WWWW[[#This Row],['#_Constructed/Existing tube wells/boreholes/handpumps_WASH_agency]]+WWWW[[#This Row],['#_Non-Cluster partner water tube-wells/boreholes/handpumps]])-WWWW[[#This Row],['#_Non-functional tube wells/boreholes/handpumps]]</f>
        <v>1</v>
      </c>
      <c r="CJ123" s="971">
        <f>WWWW[[#This Row],['#_Constructed/Existingwater storage tank with gravity fed reticulation system]]-WWWW[[#This Row],['#_Non-functional storage tank gravity fed reticulation system]]</f>
        <v>0</v>
      </c>
      <c r="CK123" s="971">
        <f>(WWWW[[#This Row],['#_Water_Liters_supplied_by_Water boating or water trucking]]/90)/15</f>
        <v>0</v>
      </c>
      <c r="CL123" s="971">
        <f>WWWW[[#This Row],['#_Water_Liters_from_Constructed/Existing water distribution system from river or natural spring]]/90/15</f>
        <v>0</v>
      </c>
      <c r="CM123" s="421">
        <f>IF(WWWW[[#This Row],['#_of water points in TLS/CFS]]*500&gt;WWWW[[#This Row],[Total PoP ]],WWWW[[#This Row],[Total PoP ]],WWWW[[#This Row],['#_of water points in TLS/CFS]]*500)</f>
        <v>0</v>
      </c>
      <c r="CN123" s="421">
        <f>IF(WWWW[[#This Row],['#_of water points in THF]]*500&gt;WWWW[[#This Row],[Total PoP ]],WWWW[[#This Row],[Total PoP ]],WWWW[[#This Row],['#_of water points in THF]]*500)</f>
        <v>0</v>
      </c>
      <c r="CO123" s="421"/>
      <c r="CP12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3" s="970">
        <f>IF(WWWW[[#This Row],[Location Type 1]]="Village",WWWW[[#This Row],[Access to safe drinking water for Village]],WWWW[[#This Row],[Access to safe drinking water for Camp]])</f>
        <v>1</v>
      </c>
      <c r="CS123" s="968">
        <f>WWWW[[#This Row],[%Equitable and continuous access to sufficient quantity of safe drinking water]]*WWWW[[#This Row],[Total PoP ]]</f>
        <v>180</v>
      </c>
      <c r="CT123" s="970">
        <f>IF((WWWW[[#This Row],['#_Constructed/Existing protected/fenced ponds]]*250)/WWWW[[#This Row],[Total PoP ]]&gt;1,1,(WWWW[[#This Row],['#_Constructed/Existing protected/fenced ponds]]*250)/WWWW[[#This Row],[Total PoP ]])</f>
        <v>0</v>
      </c>
      <c r="CU123" s="968">
        <f>WWWW[[#This Row],[% Access to unimproved water points]]*WWWW[[#This Row],[Total PoP ]]</f>
        <v>0</v>
      </c>
      <c r="CV12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X123" s="968">
        <f>WWWW[[#This Row],[HRP1]]/500</f>
        <v>0.36</v>
      </c>
      <c r="CY123" s="973">
        <f>1-WWWW[[#This Row],[% Equitable and continuous access to sufficient quantity of domestic water]]</f>
        <v>0</v>
      </c>
      <c r="CZ123" s="968">
        <f>WWWW[[#This Row],[%equitable and continuous access to sufficient quantity of safe drinking and domestic water''s GAP]]*WWWW[[#This Row],[Total PoP ]]</f>
        <v>0</v>
      </c>
      <c r="DA123" s="971">
        <f>IF(WWWW[[#This Row],[Total required water points]]-WWWW[[#This Row],['#Water points coverage]]&lt;0,0,WWWW[[#This Row],[Total required water points]]-WWWW[[#This Row],['#Water points coverage]])</f>
        <v>0.64</v>
      </c>
      <c r="DB123" s="971">
        <f>ROUND(IF(WWWW[[#This Row],[Total PoP ]]&lt;500,1,WWWW[[#This Row],[Total PoP ]]/500),0)</f>
        <v>1</v>
      </c>
      <c r="DC123" s="971">
        <f>(WWWW[[#This Row],['#_Constructed latrines_by_WASHAgencies]]+WWWW[[#This Row],['#_Non Cluster partner latrines]])-WWWW[[#This Row],['#_Non-functional latrines]]</f>
        <v>9</v>
      </c>
      <c r="DD123" s="619">
        <f>WWWW[[#This Row],[HRP2]]/WWWW[[#This Row],[Total PoP ]]</f>
        <v>1</v>
      </c>
      <c r="DE12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12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3" s="421">
        <f>IF(WWWW[[#This Row],['# of functional latrines in THF supported by WASH partners during the reporting period2]]="",0,WWWW[[#This Row],['# of functional latrines in THF supported by WASH partners during the reporting period2]]*50)</f>
        <v>0</v>
      </c>
      <c r="DI123" s="971">
        <f>ROUND(IF(WWWW[[#This Row],[Location Type 1]]="camp",WWWW[[#This Row],[Total PoP ]]/20,IF(WWWW[[#This Row],[Location Type 1]]="Temporary Location",WWWW[[#This Row],[Total PoP ]]/50,(WWWW[[#This Row],[Total PoP ]]/6))),0)</f>
        <v>9</v>
      </c>
      <c r="DJ123" s="971">
        <f>IF(WWWW[[#This Row],[Total required Latrines]]-(WWWW[[#This Row],['#_Constructed latrines_by_WASHAgencies]]+WWWW[[#This Row],['#_Non Cluster partner latrines]])&lt;0,0,WWWW[[#This Row],[Total required Latrines]]-(WWWW[[#This Row],['#_Constructed latrines_by_WASHAgencies]]+WWWW[[#This Row],['#_Non Cluster partner latrines]]))</f>
        <v>0</v>
      </c>
      <c r="DK123" s="973">
        <f>1-WWWW[[#This Row],[% people access to functioning Latrine]]</f>
        <v>0</v>
      </c>
      <c r="DL123" s="972">
        <f>IF(OR(WWWW[[#This Row],['#_Non-functional latrines]]="",WWWW[[#This Row],['#_Non-functional latrines]]=0),0,WWWW[[#This Row],['#_Non-functional latrines]]/(WWWW[[#This Row],['#_Constructed latrines_by_WASHAgencies]]+WWWW[[#This Row],['#_Non Cluster partner latrines]]))</f>
        <v>0</v>
      </c>
      <c r="DM123" s="968">
        <f>IF(500*(WWWW[[#This Row],['#_male hygiene promoters]]+WWWW[[#This Row],['#_female hygiene promoters]])&gt;WWWW[[#This Row],[Total PoP ]],WWWW[[#This Row],[Total PoP ]],500*(WWWW[[#This Row],['#_male hygiene promoters]]+WWWW[[#This Row],['#_female hygiene promoters]]))</f>
        <v>180</v>
      </c>
      <c r="DN12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3" s="971">
        <f>IF(WWWW[[#This Row],['# People with access to soap]]&gt;WWWW[[#This Row],['# People with access to Sanity Pads]],WWWW[[#This Row],['# People with access to soap]],WWWW[[#This Row],['# People with access to Sanity Pads]])</f>
        <v>0</v>
      </c>
      <c r="DQ123" s="971">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R123" s="973">
        <f>IF(WWWW[[#This Row],[HRP3]]/WWWW[[#This Row],[Total PoP ]]&gt;1,1,WWWW[[#This Row],[HRP3]]/WWWW[[#This Row],[Total PoP ]])</f>
        <v>1</v>
      </c>
      <c r="DS123" s="972">
        <f>1-WWWW[[#This Row],[Hygiene Coverage%]]</f>
        <v>0</v>
      </c>
      <c r="DT123" s="970">
        <f>WWWW[[#This Row],['# people reached by regular dedicated hygiene promotion_5]]/WWWW[[#This Row],[Total PoP ]]</f>
        <v>1</v>
      </c>
      <c r="DU12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3" s="971">
        <f>WWWW[[#This Row],['#_Constructed/Existing hand washing stations]]-WWWW[[#This Row],['#_Non-Functional_hand_washing_stations]]</f>
        <v>4</v>
      </c>
      <c r="DX123" s="968">
        <f>IF(WWWW[[#This Row],['# Functional hand washing stations during reporting period]]*20&gt;WWWW[[#This Row],[Total HH]],WWWW[[#This Row],[Total HH]],WWWW[[#This Row],['# Functional hand washing stations during reporting period]]*20)</f>
        <v>38</v>
      </c>
      <c r="DY123" s="968">
        <f>IF(WWWW[[#This Row],[Is sufficient soap available for TLS? (Yes/No)]]="yes",WWWW[[#This Row],['#_Constructed/Existing hand washing stations at TLS/CFS/THF]],0)</f>
        <v>0</v>
      </c>
      <c r="DZ123" s="425">
        <f>IF(WWWW[[#This Row],['# Functional hand washing stations during reporting period]]*100&gt;WWWW[[#This Row],[Total PoP ]],WWWW[[#This Row],[Total PoP ]],WWWW[[#This Row],['# Functional hand washing stations during reporting period]]*100)</f>
        <v>180</v>
      </c>
      <c r="EA123" s="425" t="str">
        <f>IF(OR(WWWW[[#This Row],['#_students at TLS_CFS]]="",WWWW[[#This Row],['#_students at TLS_CFS]]=0),"No","Yes")</f>
        <v>No</v>
      </c>
      <c r="EB12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3" s="570">
        <f>WWWW[[#This Row],[%_of_affected_people_surveyed_who_report_feeling_satistfied_with_the_latrine_design_and_sanitation_service]]*WWWW[[#This Row],[Total PoP ]]</f>
        <v>0</v>
      </c>
      <c r="ED123" s="570">
        <f>WWWW[[#This Row],[%_of_affected_people_surveyed_who_report_feeling_satistfied_with_the_water_point_design_and_water_service]]*WWWW[[#This Row],[Total PoP ]]</f>
        <v>0</v>
      </c>
      <c r="EE123" s="570">
        <f>WWWW[[#This Row],[%_of_complaints_received_that_result_in_timely_corrective_action_and_feedback_to_the_community]]*WWWW[[#This Row],[Total PoP ]]</f>
        <v>0</v>
      </c>
      <c r="EF12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3" s="964" t="str">
        <f>VLOOKUP(WWWW[[#This Row],[Site Name]],SiteDB6[[Site Name]:[CCCM Management]],6,FALSE)</f>
        <v>Yes</v>
      </c>
      <c r="EJ123" s="964" t="str">
        <f>VLOOKUP(WWWW[[#This Row],[Site Name]],SiteDB6[[Site Name]:[CCCM Focal Agency]],7,FALSE)</f>
        <v>KBC-NSS</v>
      </c>
      <c r="EK123" s="964" t="str">
        <f>VLOOKUP(WWWW[[#This Row],[Site Name]],SiteDB6[[Site Name]:[Location Type 1]],9,FALSE)</f>
        <v>Camp</v>
      </c>
      <c r="EL123" s="964" t="str">
        <f>VLOOKUP(WWWW[[#This Row],[Site Name]],SiteDB6[[Site Name]:[Type of Accommodation]],10,FALSE)</f>
        <v>Camp</v>
      </c>
      <c r="EM123" s="964" t="str">
        <f>VLOOKUP(WWWW[[#This Row],[Site Name]],SiteDB6[[Site Name]:[Ethnic or GCA/NGCA]],11,FALSE)</f>
        <v>GCA</v>
      </c>
      <c r="EN123" s="964">
        <f>VLOOKUP(WWWW[[#This Row],[Site Name]],SiteDB6[[Site Name]:[Lat]],12,FALSE)</f>
        <v>23.460349999999998</v>
      </c>
      <c r="EO123" s="964">
        <f>VLOOKUP(WWWW[[#This Row],[Site Name]],SiteDB6[[Site Name]:[Long]],13,FALSE)</f>
        <v>97.947360000000003</v>
      </c>
      <c r="EP123" s="964" t="str">
        <f>VLOOKUP(WWWW[[#This Row],[Site Name]],SiteDB6[[Site Name]:[Pcode]],3,FALSE)</f>
        <v>MMR015CMP063</v>
      </c>
      <c r="EQ123" s="969" t="str">
        <f t="shared" si="4"/>
        <v>Covered</v>
      </c>
      <c r="ER123" s="969" t="s">
        <v>3147</v>
      </c>
      <c r="ES123" s="964">
        <f>VLOOKUP(WWWW[[#This Row],[Site Name]],SiteDB6[[Site Name]:[Pop
(Kachin/Shan-CCCM as of March 2023)]],16,FALSE)</f>
        <v>31</v>
      </c>
      <c r="ET123" s="964">
        <f>VLOOKUP(WWWW[[#This Row],[Site Name]],SiteDB6[[Site Name]:[Pop
(Kachin/Shan-CCCM as of March 2023)]],17,FALSE)</f>
        <v>153</v>
      </c>
    </row>
    <row r="124" spans="1:150" hidden="1">
      <c r="A124" s="962" t="s">
        <v>2977</v>
      </c>
      <c r="B124" s="962" t="s">
        <v>192</v>
      </c>
      <c r="C124" s="963" t="s">
        <v>192</v>
      </c>
      <c r="D124" s="963" t="s">
        <v>2648</v>
      </c>
      <c r="E124" s="963" t="s">
        <v>515</v>
      </c>
      <c r="F124" s="963" t="s">
        <v>519</v>
      </c>
      <c r="G124" s="964" t="s">
        <v>43</v>
      </c>
      <c r="H124" s="963" t="s">
        <v>1617</v>
      </c>
      <c r="I124" s="965">
        <v>64</v>
      </c>
      <c r="J124" s="965">
        <v>251</v>
      </c>
      <c r="K124" s="966">
        <v>44511</v>
      </c>
      <c r="L124" s="967">
        <v>44926</v>
      </c>
      <c r="M124" s="965"/>
      <c r="N124" s="965">
        <v>1</v>
      </c>
      <c r="O124" s="965"/>
      <c r="P124" s="965"/>
      <c r="Q124" s="968" t="s">
        <v>41</v>
      </c>
      <c r="R124" s="965">
        <v>4</v>
      </c>
      <c r="S124" s="965">
        <v>5</v>
      </c>
      <c r="T124" s="445"/>
      <c r="U124" s="965"/>
      <c r="V124" s="965"/>
      <c r="W124" s="965"/>
      <c r="X124" s="965"/>
      <c r="Y124" s="965"/>
      <c r="Z124" s="965"/>
      <c r="AA124" s="965">
        <v>14</v>
      </c>
      <c r="AB124" s="965"/>
      <c r="AC124" s="965"/>
      <c r="AD124" s="965"/>
      <c r="AE124" s="965"/>
      <c r="AF124" s="965"/>
      <c r="AG124" s="965"/>
      <c r="AH124" s="965">
        <v>1</v>
      </c>
      <c r="AI124" s="965"/>
      <c r="AJ124" s="965"/>
      <c r="AK124" s="965"/>
      <c r="AL124" s="965"/>
      <c r="AM124" s="965">
        <v>3</v>
      </c>
      <c r="AN124" s="965"/>
      <c r="AO124" s="445"/>
      <c r="AP124" s="969"/>
      <c r="AQ124" s="965">
        <v>71</v>
      </c>
      <c r="AR124" s="965"/>
      <c r="AS124" s="970"/>
      <c r="AT124" s="965"/>
      <c r="AU124" s="965"/>
      <c r="AV124" s="965"/>
      <c r="AW124" s="965"/>
      <c r="AX124" s="965"/>
      <c r="AY124" s="964" t="s">
        <v>136</v>
      </c>
      <c r="AZ124" s="969" t="s">
        <v>904</v>
      </c>
      <c r="BA124" s="965"/>
      <c r="BB124" s="965"/>
      <c r="BC124" s="965">
        <v>4</v>
      </c>
      <c r="BD124" s="445"/>
      <c r="BE124" s="445"/>
      <c r="BF124" s="964"/>
      <c r="BG124" s="965">
        <v>5</v>
      </c>
      <c r="BH124" s="965"/>
      <c r="BI124" s="965"/>
      <c r="BJ124" s="965">
        <v>3</v>
      </c>
      <c r="BK124" s="965"/>
      <c r="BL124" s="965">
        <v>1</v>
      </c>
      <c r="BM124" s="965"/>
      <c r="BN124" s="965"/>
      <c r="BO124" s="965"/>
      <c r="BP124" s="964" t="s">
        <v>41</v>
      </c>
      <c r="BQ124" s="971"/>
      <c r="BR124" s="970"/>
      <c r="BS124" s="964"/>
      <c r="BT124" s="420"/>
      <c r="BU124" s="420"/>
      <c r="BV124" s="422"/>
      <c r="BW124" s="420"/>
      <c r="BX124" s="445"/>
      <c r="BY124" s="445"/>
      <c r="BZ124" s="445"/>
      <c r="CA124" s="445"/>
      <c r="CB124" s="445"/>
      <c r="CC124" s="702"/>
      <c r="CD124" s="445"/>
      <c r="CE124" s="972" t="str">
        <f>IFERROR(WWWW[[#This Row],['#_Water sources passed]]/WWWW[[#This Row],['#_Water sources tested for fecal coliform ]],"no test")</f>
        <v>no test</v>
      </c>
      <c r="CF124" s="970" t="str">
        <f>IFERROR(WWWW[[#This Row],['#_Household passed]]/WWWW[[#This Row],['#_Household water samples tested for fecal coliform]],"no test")</f>
        <v>no test</v>
      </c>
      <c r="CG124" s="971" t="str">
        <f>IF(AND(WWWW[[#This Row],[% of water sources passed]]="no test",WWWW[[#This Row],[% Household passed]]="no test"),"No Test","Tested")</f>
        <v>No Test</v>
      </c>
      <c r="CH124" s="971">
        <f>WWWW[[#This Row],['#_Constructed/existing protected hand dug well]]-WWWW[[#This Row],['#_Non-functional protected hand dug well]]</f>
        <v>0</v>
      </c>
      <c r="CI124" s="971">
        <f>(WWWW[[#This Row],['#_Constructed/Existing tube wells/boreholes/handpumps_WASH_agency]]+WWWW[[#This Row],['#_Non-Cluster partner water tube-wells/boreholes/handpumps]])-WWWW[[#This Row],['#_Non-functional tube wells/boreholes/handpumps]]</f>
        <v>0</v>
      </c>
      <c r="CJ124" s="971">
        <f>WWWW[[#This Row],['#_Constructed/Existingwater storage tank with gravity fed reticulation system]]-WWWW[[#This Row],['#_Non-functional storage tank gravity fed reticulation system]]</f>
        <v>14</v>
      </c>
      <c r="CK124" s="971">
        <f>(WWWW[[#This Row],['#_Water_Liters_supplied_by_Water boating or water trucking]]/90)/15</f>
        <v>0</v>
      </c>
      <c r="CL124" s="971">
        <f>WWWW[[#This Row],['#_Water_Liters_from_Constructed/Existing water distribution system from river or natural spring]]/90/15</f>
        <v>0</v>
      </c>
      <c r="CM124" s="421">
        <f>IF(WWWW[[#This Row],['#_of water points in TLS/CFS]]*500&gt;WWWW[[#This Row],[Total PoP ]],WWWW[[#This Row],[Total PoP ]],WWWW[[#This Row],['#_of water points in TLS/CFS]]*500)</f>
        <v>0</v>
      </c>
      <c r="CN124" s="421">
        <f>IF(WWWW[[#This Row],['#_of water points in THF]]*500&gt;WWWW[[#This Row],[Total PoP ]],WWWW[[#This Row],[Total PoP ]],WWWW[[#This Row],['#_of water points in THF]]*500)</f>
        <v>0</v>
      </c>
      <c r="CO124" s="421"/>
      <c r="CP12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4" s="970">
        <f>IF(WWWW[[#This Row],[Location Type 1]]="Village",WWWW[[#This Row],[Access to safe drinking water for Village]],WWWW[[#This Row],[Access to safe drinking water for Camp]])</f>
        <v>1</v>
      </c>
      <c r="CS124" s="968">
        <f>WWWW[[#This Row],[%Equitable and continuous access to sufficient quantity of safe drinking water]]*WWWW[[#This Row],[Total PoP ]]</f>
        <v>251</v>
      </c>
      <c r="CT124" s="970">
        <f>IF((WWWW[[#This Row],['#_Constructed/Existing protected/fenced ponds]]*250)/WWWW[[#This Row],[Total PoP ]]&gt;1,1,(WWWW[[#This Row],['#_Constructed/Existing protected/fenced ponds]]*250)/WWWW[[#This Row],[Total PoP ]])</f>
        <v>0</v>
      </c>
      <c r="CU124" s="968">
        <f>WWWW[[#This Row],[% Access to unimproved water points]]*WWWW[[#This Row],[Total PoP ]]</f>
        <v>0</v>
      </c>
      <c r="CV12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X124" s="968">
        <f>WWWW[[#This Row],[HRP1]]/500</f>
        <v>0.502</v>
      </c>
      <c r="CY124" s="973">
        <f>1-WWWW[[#This Row],[% Equitable and continuous access to sufficient quantity of domestic water]]</f>
        <v>0</v>
      </c>
      <c r="CZ124" s="968">
        <f>WWWW[[#This Row],[%equitable and continuous access to sufficient quantity of safe drinking and domestic water''s GAP]]*WWWW[[#This Row],[Total PoP ]]</f>
        <v>0</v>
      </c>
      <c r="DA124" s="971">
        <f>IF(WWWW[[#This Row],[Total required water points]]-WWWW[[#This Row],['#Water points coverage]]&lt;0,0,WWWW[[#This Row],[Total required water points]]-WWWW[[#This Row],['#Water points coverage]])</f>
        <v>0.498</v>
      </c>
      <c r="DB124" s="971">
        <f>ROUND(IF(WWWW[[#This Row],[Total PoP ]]&lt;500,1,WWWW[[#This Row],[Total PoP ]]/500),0)</f>
        <v>1</v>
      </c>
      <c r="DC124" s="971">
        <f>(WWWW[[#This Row],['#_Constructed latrines_by_WASHAgencies]]+WWWW[[#This Row],['#_Non Cluster partner latrines]])-WWWW[[#This Row],['#_Non-functional latrines]]</f>
        <v>71</v>
      </c>
      <c r="DD124" s="619">
        <f>WWWW[[#This Row],[HRP2]]/WWWW[[#This Row],[Total PoP ]]</f>
        <v>1</v>
      </c>
      <c r="DE12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251</v>
      </c>
      <c r="DF12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4" s="421">
        <f>IF(WWWW[[#This Row],['# of functional latrines in THF supported by WASH partners during the reporting period2]]="",0,WWWW[[#This Row],['# of functional latrines in THF supported by WASH partners during the reporting period2]]*50)</f>
        <v>0</v>
      </c>
      <c r="DI124" s="971">
        <f>ROUND(IF(WWWW[[#This Row],[Location Type 1]]="camp",WWWW[[#This Row],[Total PoP ]]/20,IF(WWWW[[#This Row],[Location Type 1]]="Temporary Location",WWWW[[#This Row],[Total PoP ]]/50,(WWWW[[#This Row],[Total PoP ]]/6))),0)</f>
        <v>42</v>
      </c>
      <c r="DJ124" s="971">
        <f>IF(WWWW[[#This Row],[Total required Latrines]]-(WWWW[[#This Row],['#_Constructed latrines_by_WASHAgencies]]+WWWW[[#This Row],['#_Non Cluster partner latrines]])&lt;0,0,WWWW[[#This Row],[Total required Latrines]]-(WWWW[[#This Row],['#_Constructed latrines_by_WASHAgencies]]+WWWW[[#This Row],['#_Non Cluster partner latrines]]))</f>
        <v>0</v>
      </c>
      <c r="DK124" s="973">
        <f>1-WWWW[[#This Row],[% people access to functioning Latrine]]</f>
        <v>0</v>
      </c>
      <c r="DL124" s="972">
        <f>IF(OR(WWWW[[#This Row],['#_Non-functional latrines]]="",WWWW[[#This Row],['#_Non-functional latrines]]=0),0,WWWW[[#This Row],['#_Non-functional latrines]]/(WWWW[[#This Row],['#_Constructed latrines_by_WASHAgencies]]+WWWW[[#This Row],['#_Non Cluster partner latrines]]))</f>
        <v>0</v>
      </c>
      <c r="DM124" s="968">
        <f>IF(500*(WWWW[[#This Row],['#_male hygiene promoters]]+WWWW[[#This Row],['#_female hygiene promoters]])&gt;WWWW[[#This Row],[Total PoP ]],WWWW[[#This Row],[Total PoP ]],500*(WWWW[[#This Row],['#_male hygiene promoters]]+WWWW[[#This Row],['#_female hygiene promoters]]))</f>
        <v>251</v>
      </c>
      <c r="DN12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4" s="971">
        <f>IF(WWWW[[#This Row],['# People with access to soap]]&gt;WWWW[[#This Row],['# People with access to Sanity Pads]],WWWW[[#This Row],['# People with access to soap]],WWWW[[#This Row],['# People with access to Sanity Pads]])</f>
        <v>0</v>
      </c>
      <c r="DQ124" s="971">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R124" s="973">
        <f>IF(WWWW[[#This Row],[HRP3]]/WWWW[[#This Row],[Total PoP ]]&gt;1,1,WWWW[[#This Row],[HRP3]]/WWWW[[#This Row],[Total PoP ]])</f>
        <v>1</v>
      </c>
      <c r="DS124" s="972">
        <f>1-WWWW[[#This Row],[Hygiene Coverage%]]</f>
        <v>0</v>
      </c>
      <c r="DT124" s="970">
        <f>WWWW[[#This Row],['# people reached by regular dedicated hygiene promotion_5]]/WWWW[[#This Row],[Total PoP ]]</f>
        <v>1</v>
      </c>
      <c r="DU12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4" s="971">
        <f>WWWW[[#This Row],['#_Constructed/Existing hand washing stations]]-WWWW[[#This Row],['#_Non-Functional_hand_washing_stations]]</f>
        <v>5</v>
      </c>
      <c r="DX124" s="968">
        <f>IF(WWWW[[#This Row],['# Functional hand washing stations during reporting period]]*20&gt;WWWW[[#This Row],[Total HH]],WWWW[[#This Row],[Total HH]],WWWW[[#This Row],['# Functional hand washing stations during reporting period]]*20)</f>
        <v>64</v>
      </c>
      <c r="DY124" s="968">
        <f>IF(WWWW[[#This Row],[Is sufficient soap available for TLS? (Yes/No)]]="yes",WWWW[[#This Row],['#_Constructed/Existing hand washing stations at TLS/CFS/THF]],0)</f>
        <v>3</v>
      </c>
      <c r="DZ124" s="425">
        <f>IF(WWWW[[#This Row],['# Functional hand washing stations during reporting period]]*100&gt;WWWW[[#This Row],[Total PoP ]],WWWW[[#This Row],[Total PoP ]],WWWW[[#This Row],['# Functional hand washing stations during reporting period]]*100)</f>
        <v>251</v>
      </c>
      <c r="EA124" s="425" t="str">
        <f>IF(OR(WWWW[[#This Row],['#_students at TLS_CFS]]="",WWWW[[#This Row],['#_students at TLS_CFS]]=0),"No","Yes")</f>
        <v>No</v>
      </c>
      <c r="EB12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4" s="570">
        <f>WWWW[[#This Row],[%_of_affected_people_surveyed_who_report_feeling_satistfied_with_the_latrine_design_and_sanitation_service]]*WWWW[[#This Row],[Total PoP ]]</f>
        <v>0</v>
      </c>
      <c r="ED124" s="570">
        <f>WWWW[[#This Row],[%_of_affected_people_surveyed_who_report_feeling_satistfied_with_the_water_point_design_and_water_service]]*WWWW[[#This Row],[Total PoP ]]</f>
        <v>0</v>
      </c>
      <c r="EE124" s="570">
        <f>WWWW[[#This Row],[%_of_complaints_received_that_result_in_timely_corrective_action_and_feedback_to_the_community]]*WWWW[[#This Row],[Total PoP ]]</f>
        <v>0</v>
      </c>
      <c r="EF12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4" s="964" t="str">
        <f>VLOOKUP(WWWW[[#This Row],[Site Name]],SiteDB6[[Site Name]:[CCCM Management]],6,FALSE)</f>
        <v>Yes</v>
      </c>
      <c r="EJ124" s="964" t="str">
        <f>VLOOKUP(WWWW[[#This Row],[Site Name]],SiteDB6[[Site Name]:[CCCM Focal Agency]],7,FALSE)</f>
        <v>KMSS-LSO</v>
      </c>
      <c r="EK124" s="964" t="str">
        <f>VLOOKUP(WWWW[[#This Row],[Site Name]],SiteDB6[[Site Name]:[Location Type 1]],9,FALSE)</f>
        <v>Village Type Camp</v>
      </c>
      <c r="EL124" s="964" t="str">
        <f>VLOOKUP(WWWW[[#This Row],[Site Name]],SiteDB6[[Site Name]:[Type of Accommodation]],10,FALSE)</f>
        <v>Camp</v>
      </c>
      <c r="EM124" s="964" t="str">
        <f>VLOOKUP(WWWW[[#This Row],[Site Name]],SiteDB6[[Site Name]:[Ethnic or GCA/NGCA]],11,FALSE)</f>
        <v>GCA</v>
      </c>
      <c r="EN124" s="964">
        <f>VLOOKUP(WWWW[[#This Row],[Site Name]],SiteDB6[[Site Name]:[Lat]],12,FALSE)</f>
        <v>23.588920000000002</v>
      </c>
      <c r="EO124" s="964">
        <f>VLOOKUP(WWWW[[#This Row],[Site Name]],SiteDB6[[Site Name]:[Long]],13,FALSE)</f>
        <v>97.793019999999999</v>
      </c>
      <c r="EP124" s="964" t="str">
        <f>VLOOKUP(WWWW[[#This Row],[Site Name]],SiteDB6[[Site Name]:[Pcode]],3,FALSE)</f>
        <v>MMR015CMP018</v>
      </c>
      <c r="EQ124" s="969" t="str">
        <f t="shared" si="4"/>
        <v>Covered</v>
      </c>
      <c r="ER124" s="969" t="s">
        <v>3147</v>
      </c>
      <c r="ES124" s="964">
        <f>VLOOKUP(WWWW[[#This Row],[Site Name]],SiteDB6[[Site Name]:[Pop
(Kachin/Shan-CCCM as of March 2023)]],16,FALSE)</f>
        <v>66</v>
      </c>
      <c r="ET124" s="964">
        <f>VLOOKUP(WWWW[[#This Row],[Site Name]],SiteDB6[[Site Name]:[Pop
(Kachin/Shan-CCCM as of March 2023)]],17,FALSE)</f>
        <v>255</v>
      </c>
    </row>
    <row r="125" spans="1:150" hidden="1">
      <c r="A125" s="962" t="s">
        <v>2977</v>
      </c>
      <c r="B125" s="962" t="s">
        <v>192</v>
      </c>
      <c r="C125" s="963" t="s">
        <v>192</v>
      </c>
      <c r="D125" s="963" t="s">
        <v>2648</v>
      </c>
      <c r="E125" s="963" t="s">
        <v>515</v>
      </c>
      <c r="F125" s="963" t="s">
        <v>519</v>
      </c>
      <c r="G125" s="964" t="str">
        <f>VLOOKUP(WWWW[[#This Row],[Site Name]],SiteDB6[[Site Name]:[Location Type]],8,FALSE)</f>
        <v>Camp</v>
      </c>
      <c r="H125" s="963" t="s">
        <v>545</v>
      </c>
      <c r="I125" s="965">
        <v>31</v>
      </c>
      <c r="J125" s="965">
        <v>176</v>
      </c>
      <c r="K125" s="966">
        <v>44511</v>
      </c>
      <c r="L125" s="967">
        <v>44926</v>
      </c>
      <c r="M125" s="965"/>
      <c r="N125" s="965"/>
      <c r="O125" s="965"/>
      <c r="P125" s="965"/>
      <c r="Q125" s="968"/>
      <c r="R125" s="965">
        <v>5</v>
      </c>
      <c r="S125" s="965">
        <v>4</v>
      </c>
      <c r="T125" s="445"/>
      <c r="U125" s="965"/>
      <c r="V125" s="965"/>
      <c r="W125" s="965"/>
      <c r="X125" s="965"/>
      <c r="Y125" s="965"/>
      <c r="Z125" s="965"/>
      <c r="AA125" s="965">
        <v>14</v>
      </c>
      <c r="AB125" s="965"/>
      <c r="AC125" s="965"/>
      <c r="AD125" s="965"/>
      <c r="AE125" s="965"/>
      <c r="AF125" s="965"/>
      <c r="AG125" s="965"/>
      <c r="AH125" s="965"/>
      <c r="AI125" s="965"/>
      <c r="AJ125" s="965"/>
      <c r="AK125" s="965"/>
      <c r="AL125" s="965"/>
      <c r="AM125" s="965"/>
      <c r="AN125" s="965"/>
      <c r="AO125" s="445"/>
      <c r="AP125" s="969"/>
      <c r="AQ125" s="965">
        <v>34</v>
      </c>
      <c r="AR125" s="965"/>
      <c r="AS125" s="970"/>
      <c r="AT125" s="965"/>
      <c r="AU125" s="965"/>
      <c r="AV125" s="965"/>
      <c r="AW125" s="965"/>
      <c r="AX125" s="965"/>
      <c r="AY125" s="964" t="s">
        <v>41</v>
      </c>
      <c r="AZ125" s="969" t="s">
        <v>137</v>
      </c>
      <c r="BA125" s="965"/>
      <c r="BB125" s="965"/>
      <c r="BC125" s="965">
        <v>2</v>
      </c>
      <c r="BD125" s="445"/>
      <c r="BE125" s="445"/>
      <c r="BF125" s="964"/>
      <c r="BG125" s="965">
        <v>2</v>
      </c>
      <c r="BH125" s="965"/>
      <c r="BI125" s="965"/>
      <c r="BJ125" s="965">
        <v>2</v>
      </c>
      <c r="BK125" s="965"/>
      <c r="BL125" s="965"/>
      <c r="BM125" s="965">
        <v>1</v>
      </c>
      <c r="BN125" s="965"/>
      <c r="BO125" s="965"/>
      <c r="BP125" s="964" t="s">
        <v>41</v>
      </c>
      <c r="BQ125" s="971"/>
      <c r="BR125" s="970"/>
      <c r="BS125" s="964"/>
      <c r="BT125" s="420"/>
      <c r="BU125" s="420"/>
      <c r="BV125" s="422"/>
      <c r="BW125" s="420"/>
      <c r="BX125" s="445"/>
      <c r="BY125" s="445"/>
      <c r="BZ125" s="445"/>
      <c r="CA125" s="445"/>
      <c r="CB125" s="445"/>
      <c r="CC125" s="702"/>
      <c r="CD125" s="445"/>
      <c r="CE125" s="972" t="str">
        <f>IFERROR(WWWW[[#This Row],['#_Water sources passed]]/WWWW[[#This Row],['#_Water sources tested for fecal coliform ]],"no test")</f>
        <v>no test</v>
      </c>
      <c r="CF125" s="970" t="str">
        <f>IFERROR(WWWW[[#This Row],['#_Household passed]]/WWWW[[#This Row],['#_Household water samples tested for fecal coliform]],"no test")</f>
        <v>no test</v>
      </c>
      <c r="CG125" s="971" t="str">
        <f>IF(AND(WWWW[[#This Row],[% of water sources passed]]="no test",WWWW[[#This Row],[% Household passed]]="no test"),"No Test","Tested")</f>
        <v>No Test</v>
      </c>
      <c r="CH125" s="971">
        <f>WWWW[[#This Row],['#_Constructed/existing protected hand dug well]]-WWWW[[#This Row],['#_Non-functional protected hand dug well]]</f>
        <v>0</v>
      </c>
      <c r="CI125" s="971">
        <f>(WWWW[[#This Row],['#_Constructed/Existing tube wells/boreholes/handpumps_WASH_agency]]+WWWW[[#This Row],['#_Non-Cluster partner water tube-wells/boreholes/handpumps]])-WWWW[[#This Row],['#_Non-functional tube wells/boreholes/handpumps]]</f>
        <v>0</v>
      </c>
      <c r="CJ125" s="971">
        <f>WWWW[[#This Row],['#_Constructed/Existingwater storage tank with gravity fed reticulation system]]-WWWW[[#This Row],['#_Non-functional storage tank gravity fed reticulation system]]</f>
        <v>14</v>
      </c>
      <c r="CK125" s="971">
        <f>(WWWW[[#This Row],['#_Water_Liters_supplied_by_Water boating or water trucking]]/90)/15</f>
        <v>0</v>
      </c>
      <c r="CL125" s="971">
        <f>WWWW[[#This Row],['#_Water_Liters_from_Constructed/Existing water distribution system from river or natural spring]]/90/15</f>
        <v>0</v>
      </c>
      <c r="CM125" s="421">
        <f>IF(WWWW[[#This Row],['#_of water points in TLS/CFS]]*500&gt;WWWW[[#This Row],[Total PoP ]],WWWW[[#This Row],[Total PoP ]],WWWW[[#This Row],['#_of water points in TLS/CFS]]*500)</f>
        <v>0</v>
      </c>
      <c r="CN125" s="421">
        <f>IF(WWWW[[#This Row],['#_of water points in THF]]*500&gt;WWWW[[#This Row],[Total PoP ]],WWWW[[#This Row],[Total PoP ]],WWWW[[#This Row],['#_of water points in THF]]*500)</f>
        <v>0</v>
      </c>
      <c r="CO125" s="421"/>
      <c r="CP12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5" s="970">
        <f>IF(WWWW[[#This Row],[Location Type 1]]="Village",WWWW[[#This Row],[Access to safe drinking water for Village]],WWWW[[#This Row],[Access to safe drinking water for Camp]])</f>
        <v>1</v>
      </c>
      <c r="CS125" s="968">
        <f>WWWW[[#This Row],[%Equitable and continuous access to sufficient quantity of safe drinking water]]*WWWW[[#This Row],[Total PoP ]]</f>
        <v>176</v>
      </c>
      <c r="CT125" s="970">
        <f>IF((WWWW[[#This Row],['#_Constructed/Existing protected/fenced ponds]]*250)/WWWW[[#This Row],[Total PoP ]]&gt;1,1,(WWWW[[#This Row],['#_Constructed/Existing protected/fenced ponds]]*250)/WWWW[[#This Row],[Total PoP ]])</f>
        <v>0</v>
      </c>
      <c r="CU125" s="968">
        <f>WWWW[[#This Row],[% Access to unimproved water points]]*WWWW[[#This Row],[Total PoP ]]</f>
        <v>0</v>
      </c>
      <c r="CV12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X125" s="968">
        <f>WWWW[[#This Row],[HRP1]]/500</f>
        <v>0.35199999999999998</v>
      </c>
      <c r="CY125" s="973">
        <f>1-WWWW[[#This Row],[% Equitable and continuous access to sufficient quantity of domestic water]]</f>
        <v>0</v>
      </c>
      <c r="CZ125" s="968">
        <f>WWWW[[#This Row],[%equitable and continuous access to sufficient quantity of safe drinking and domestic water''s GAP]]*WWWW[[#This Row],[Total PoP ]]</f>
        <v>0</v>
      </c>
      <c r="DA125" s="971">
        <f>IF(WWWW[[#This Row],[Total required water points]]-WWWW[[#This Row],['#Water points coverage]]&lt;0,0,WWWW[[#This Row],[Total required water points]]-WWWW[[#This Row],['#Water points coverage]])</f>
        <v>0.64800000000000002</v>
      </c>
      <c r="DB125" s="971">
        <f>ROUND(IF(WWWW[[#This Row],[Total PoP ]]&lt;500,1,WWWW[[#This Row],[Total PoP ]]/500),0)</f>
        <v>1</v>
      </c>
      <c r="DC125" s="971">
        <f>(WWWW[[#This Row],['#_Constructed latrines_by_WASHAgencies]]+WWWW[[#This Row],['#_Non Cluster partner latrines]])-WWWW[[#This Row],['#_Non-functional latrines]]</f>
        <v>34</v>
      </c>
      <c r="DD125" s="619">
        <f>WWWW[[#This Row],[HRP2]]/WWWW[[#This Row],[Total PoP ]]</f>
        <v>1</v>
      </c>
      <c r="DE12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176</v>
      </c>
      <c r="DF12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5" s="421">
        <f>IF(WWWW[[#This Row],['# of functional latrines in THF supported by WASH partners during the reporting period2]]="",0,WWWW[[#This Row],['# of functional latrines in THF supported by WASH partners during the reporting period2]]*50)</f>
        <v>0</v>
      </c>
      <c r="DI125" s="971">
        <f>ROUND(IF(WWWW[[#This Row],[Location Type 1]]="camp",WWWW[[#This Row],[Total PoP ]]/20,IF(WWWW[[#This Row],[Location Type 1]]="Temporary Location",WWWW[[#This Row],[Total PoP ]]/50,(WWWW[[#This Row],[Total PoP ]]/6))),0)</f>
        <v>9</v>
      </c>
      <c r="DJ125" s="971">
        <f>IF(WWWW[[#This Row],[Total required Latrines]]-(WWWW[[#This Row],['#_Constructed latrines_by_WASHAgencies]]+WWWW[[#This Row],['#_Non Cluster partner latrines]])&lt;0,0,WWWW[[#This Row],[Total required Latrines]]-(WWWW[[#This Row],['#_Constructed latrines_by_WASHAgencies]]+WWWW[[#This Row],['#_Non Cluster partner latrines]]))</f>
        <v>0</v>
      </c>
      <c r="DK125" s="973">
        <f>1-WWWW[[#This Row],[% people access to functioning Latrine]]</f>
        <v>0</v>
      </c>
      <c r="DL125" s="972">
        <f>IF(OR(WWWW[[#This Row],['#_Non-functional latrines]]="",WWWW[[#This Row],['#_Non-functional latrines]]=0),0,WWWW[[#This Row],['#_Non-functional latrines]]/(WWWW[[#This Row],['#_Constructed latrines_by_WASHAgencies]]+WWWW[[#This Row],['#_Non Cluster partner latrines]]))</f>
        <v>0</v>
      </c>
      <c r="DM125" s="968">
        <f>IF(500*(WWWW[[#This Row],['#_male hygiene promoters]]+WWWW[[#This Row],['#_female hygiene promoters]])&gt;WWWW[[#This Row],[Total PoP ]],WWWW[[#This Row],[Total PoP ]],500*(WWWW[[#This Row],['#_male hygiene promoters]]+WWWW[[#This Row],['#_female hygiene promoters]]))</f>
        <v>176</v>
      </c>
      <c r="DN12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5" s="971">
        <f>IF(WWWW[[#This Row],['# People with access to soap]]&gt;WWWW[[#This Row],['# People with access to Sanity Pads]],WWWW[[#This Row],['# People with access to soap]],WWWW[[#This Row],['# People with access to Sanity Pads]])</f>
        <v>0</v>
      </c>
      <c r="DQ125" s="971">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R125" s="973">
        <f>IF(WWWW[[#This Row],[HRP3]]/WWWW[[#This Row],[Total PoP ]]&gt;1,1,WWWW[[#This Row],[HRP3]]/WWWW[[#This Row],[Total PoP ]])</f>
        <v>1</v>
      </c>
      <c r="DS125" s="972">
        <f>1-WWWW[[#This Row],[Hygiene Coverage%]]</f>
        <v>0</v>
      </c>
      <c r="DT125" s="970">
        <f>WWWW[[#This Row],['# people reached by regular dedicated hygiene promotion_5]]/WWWW[[#This Row],[Total PoP ]]</f>
        <v>1</v>
      </c>
      <c r="DU12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5" s="971">
        <f>WWWW[[#This Row],['#_Constructed/Existing hand washing stations]]-WWWW[[#This Row],['#_Non-Functional_hand_washing_stations]]</f>
        <v>2</v>
      </c>
      <c r="DX125" s="968">
        <f>IF(WWWW[[#This Row],['# Functional hand washing stations during reporting period]]*20&gt;WWWW[[#This Row],[Total HH]],WWWW[[#This Row],[Total HH]],WWWW[[#This Row],['# Functional hand washing stations during reporting period]]*20)</f>
        <v>31</v>
      </c>
      <c r="DY125" s="968">
        <f>IF(WWWW[[#This Row],[Is sufficient soap available for TLS? (Yes/No)]]="yes",WWWW[[#This Row],['#_Constructed/Existing hand washing stations at TLS/CFS/THF]],0)</f>
        <v>0</v>
      </c>
      <c r="DZ125" s="425">
        <f>IF(WWWW[[#This Row],['# Functional hand washing stations during reporting period]]*100&gt;WWWW[[#This Row],[Total PoP ]],WWWW[[#This Row],[Total PoP ]],WWWW[[#This Row],['# Functional hand washing stations during reporting period]]*100)</f>
        <v>176</v>
      </c>
      <c r="EA125" s="425" t="str">
        <f>IF(OR(WWWW[[#This Row],['#_students at TLS_CFS]]="",WWWW[[#This Row],['#_students at TLS_CFS]]=0),"No","Yes")</f>
        <v>No</v>
      </c>
      <c r="EB12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5" s="570">
        <f>WWWW[[#This Row],[%_of_affected_people_surveyed_who_report_feeling_satistfied_with_the_latrine_design_and_sanitation_service]]*WWWW[[#This Row],[Total PoP ]]</f>
        <v>0</v>
      </c>
      <c r="ED125" s="570">
        <f>WWWW[[#This Row],[%_of_affected_people_surveyed_who_report_feeling_satistfied_with_the_water_point_design_and_water_service]]*WWWW[[#This Row],[Total PoP ]]</f>
        <v>0</v>
      </c>
      <c r="EE125" s="570">
        <f>WWWW[[#This Row],[%_of_complaints_received_that_result_in_timely_corrective_action_and_feedback_to_the_community]]*WWWW[[#This Row],[Total PoP ]]</f>
        <v>0</v>
      </c>
      <c r="EF12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5" s="964">
        <f>VLOOKUP(WWWW[[#This Row],[Site Name]],SiteDB6[[Site Name]:[CCCM Management]],6,FALSE)</f>
        <v>0</v>
      </c>
      <c r="EJ125" s="964" t="str">
        <f>VLOOKUP(WWWW[[#This Row],[Site Name]],SiteDB6[[Site Name]:[CCCM Focal Agency]],7,FALSE)</f>
        <v>uncovered</v>
      </c>
      <c r="EK125" s="964" t="str">
        <f>VLOOKUP(WWWW[[#This Row],[Site Name]],SiteDB6[[Site Name]:[Location Type 1]],9,FALSE)</f>
        <v>Camp</v>
      </c>
      <c r="EL125" s="964" t="str">
        <f>VLOOKUP(WWWW[[#This Row],[Site Name]],SiteDB6[[Site Name]:[Type of Accommodation]],10,FALSE)</f>
        <v>Camp like setting</v>
      </c>
      <c r="EM125" s="964" t="str">
        <f>VLOOKUP(WWWW[[#This Row],[Site Name]],SiteDB6[[Site Name]:[Ethnic or GCA/NGCA]],11,FALSE)</f>
        <v>GCA</v>
      </c>
      <c r="EN125" s="964">
        <f>VLOOKUP(WWWW[[#This Row],[Site Name]],SiteDB6[[Site Name]:[Lat]],12,FALSE)</f>
        <v>23.850999999999999</v>
      </c>
      <c r="EO125" s="964">
        <f>VLOOKUP(WWWW[[#This Row],[Site Name]],SiteDB6[[Site Name]:[Long]],13,FALSE)</f>
        <v>98.337999999999994</v>
      </c>
      <c r="EP125" s="964" t="str">
        <f>VLOOKUP(WWWW[[#This Row],[Site Name]],SiteDB6[[Site Name]:[Pcode]],3,FALSE)</f>
        <v>MMR015CMP045</v>
      </c>
      <c r="EQ125" s="969" t="str">
        <f t="shared" si="4"/>
        <v>Covered</v>
      </c>
      <c r="ER125" s="969" t="s">
        <v>3147</v>
      </c>
      <c r="ES125" s="964">
        <f>VLOOKUP(WWWW[[#This Row],[Site Name]],SiteDB6[[Site Name]:[Pop
(Kachin/Shan-CCCM as of March 2023)]],16,FALSE)</f>
        <v>30</v>
      </c>
      <c r="ET125" s="964">
        <f>VLOOKUP(WWWW[[#This Row],[Site Name]],SiteDB6[[Site Name]:[Pop
(Kachin/Shan-CCCM as of March 2023)]],17,FALSE)</f>
        <v>170</v>
      </c>
    </row>
    <row r="126" spans="1:150" hidden="1">
      <c r="A126" s="962" t="s">
        <v>2977</v>
      </c>
      <c r="B126" s="962" t="s">
        <v>192</v>
      </c>
      <c r="C126" s="963" t="s">
        <v>192</v>
      </c>
      <c r="D126" s="963" t="s">
        <v>2648</v>
      </c>
      <c r="E126" s="963" t="s">
        <v>515</v>
      </c>
      <c r="F126" s="963" t="s">
        <v>519</v>
      </c>
      <c r="G126" s="964" t="str">
        <f>VLOOKUP(WWWW[[#This Row],[Site Name]],SiteDB6[[Site Name]:[Location Type]],8,FALSE)</f>
        <v>Camp</v>
      </c>
      <c r="H126" s="963" t="s">
        <v>561</v>
      </c>
      <c r="I126" s="965">
        <v>45</v>
      </c>
      <c r="J126" s="965">
        <v>221</v>
      </c>
      <c r="K126" s="966">
        <v>44511</v>
      </c>
      <c r="L126" s="967">
        <v>44926</v>
      </c>
      <c r="M126" s="965"/>
      <c r="N126" s="965"/>
      <c r="O126" s="965"/>
      <c r="P126" s="965"/>
      <c r="Q126" s="968"/>
      <c r="R126" s="965">
        <v>5</v>
      </c>
      <c r="S126" s="965">
        <v>4</v>
      </c>
      <c r="T126" s="445"/>
      <c r="U126" s="965"/>
      <c r="V126" s="965"/>
      <c r="W126" s="965"/>
      <c r="X126" s="965"/>
      <c r="Y126" s="965"/>
      <c r="Z126" s="965"/>
      <c r="AA126" s="965">
        <v>8</v>
      </c>
      <c r="AB126" s="965"/>
      <c r="AC126" s="965"/>
      <c r="AD126" s="965"/>
      <c r="AE126" s="965"/>
      <c r="AF126" s="965"/>
      <c r="AG126" s="965"/>
      <c r="AH126" s="965">
        <v>1</v>
      </c>
      <c r="AI126" s="965"/>
      <c r="AJ126" s="965"/>
      <c r="AK126" s="965"/>
      <c r="AL126" s="965"/>
      <c r="AM126" s="965">
        <v>2</v>
      </c>
      <c r="AN126" s="965">
        <v>1</v>
      </c>
      <c r="AO126" s="445"/>
      <c r="AP126" s="969"/>
      <c r="AQ126" s="965">
        <v>37</v>
      </c>
      <c r="AR126" s="965"/>
      <c r="AS126" s="970"/>
      <c r="AT126" s="965"/>
      <c r="AU126" s="965"/>
      <c r="AV126" s="965"/>
      <c r="AW126" s="965"/>
      <c r="AX126" s="965">
        <v>3</v>
      </c>
      <c r="AY126" s="964" t="s">
        <v>136</v>
      </c>
      <c r="AZ126" s="969" t="s">
        <v>904</v>
      </c>
      <c r="BA126" s="965"/>
      <c r="BB126" s="965"/>
      <c r="BC126" s="965">
        <v>2</v>
      </c>
      <c r="BD126" s="445"/>
      <c r="BE126" s="445"/>
      <c r="BF126" s="964"/>
      <c r="BG126" s="965">
        <v>7</v>
      </c>
      <c r="BH126" s="965"/>
      <c r="BI126" s="965"/>
      <c r="BJ126" s="965"/>
      <c r="BK126" s="965"/>
      <c r="BL126" s="965"/>
      <c r="BM126" s="965">
        <v>1</v>
      </c>
      <c r="BN126" s="965"/>
      <c r="BO126" s="965"/>
      <c r="BP126" s="964" t="s">
        <v>41</v>
      </c>
      <c r="BQ126" s="971"/>
      <c r="BR126" s="970"/>
      <c r="BS126" s="964"/>
      <c r="BT126" s="420"/>
      <c r="BU126" s="420"/>
      <c r="BV126" s="422"/>
      <c r="BW126" s="420"/>
      <c r="BX126" s="445"/>
      <c r="BY126" s="445"/>
      <c r="BZ126" s="445"/>
      <c r="CA126" s="445"/>
      <c r="CB126" s="445"/>
      <c r="CC126" s="702"/>
      <c r="CD126" s="445"/>
      <c r="CE126" s="972" t="str">
        <f>IFERROR(WWWW[[#This Row],['#_Water sources passed]]/WWWW[[#This Row],['#_Water sources tested for fecal coliform ]],"no test")</f>
        <v>no test</v>
      </c>
      <c r="CF126" s="970" t="str">
        <f>IFERROR(WWWW[[#This Row],['#_Household passed]]/WWWW[[#This Row],['#_Household water samples tested for fecal coliform]],"no test")</f>
        <v>no test</v>
      </c>
      <c r="CG126" s="971" t="str">
        <f>IF(AND(WWWW[[#This Row],[% of water sources passed]]="no test",WWWW[[#This Row],[% Household passed]]="no test"),"No Test","Tested")</f>
        <v>No Test</v>
      </c>
      <c r="CH126" s="971">
        <f>WWWW[[#This Row],['#_Constructed/existing protected hand dug well]]-WWWW[[#This Row],['#_Non-functional protected hand dug well]]</f>
        <v>0</v>
      </c>
      <c r="CI126" s="971">
        <f>(WWWW[[#This Row],['#_Constructed/Existing tube wells/boreholes/handpumps_WASH_agency]]+WWWW[[#This Row],['#_Non-Cluster partner water tube-wells/boreholes/handpumps]])-WWWW[[#This Row],['#_Non-functional tube wells/boreholes/handpumps]]</f>
        <v>0</v>
      </c>
      <c r="CJ126" s="971">
        <f>WWWW[[#This Row],['#_Constructed/Existingwater storage tank with gravity fed reticulation system]]-WWWW[[#This Row],['#_Non-functional storage tank gravity fed reticulation system]]</f>
        <v>8</v>
      </c>
      <c r="CK126" s="971">
        <f>(WWWW[[#This Row],['#_Water_Liters_supplied_by_Water boating or water trucking]]/90)/15</f>
        <v>0</v>
      </c>
      <c r="CL126" s="971">
        <f>WWWW[[#This Row],['#_Water_Liters_from_Constructed/Existing water distribution system from river or natural spring]]/90/15</f>
        <v>0</v>
      </c>
      <c r="CM126" s="421">
        <f>IF(WWWW[[#This Row],['#_of water points in TLS/CFS]]*500&gt;WWWW[[#This Row],[Total PoP ]],WWWW[[#This Row],[Total PoP ]],WWWW[[#This Row],['#_of water points in TLS/CFS]]*500)</f>
        <v>221</v>
      </c>
      <c r="CN126" s="421">
        <f>IF(WWWW[[#This Row],['#_of water points in THF]]*500&gt;WWWW[[#This Row],[Total PoP ]],WWWW[[#This Row],[Total PoP ]],WWWW[[#This Row],['#_of water points in THF]]*500)</f>
        <v>0</v>
      </c>
      <c r="CO126" s="421"/>
      <c r="CP12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6" s="970">
        <f>IF(WWWW[[#This Row],[Location Type 1]]="Village",WWWW[[#This Row],[Access to safe drinking water for Village]],WWWW[[#This Row],[Access to safe drinking water for Camp]])</f>
        <v>1</v>
      </c>
      <c r="CS126" s="968">
        <f>WWWW[[#This Row],[%Equitable and continuous access to sufficient quantity of safe drinking water]]*WWWW[[#This Row],[Total PoP ]]</f>
        <v>221</v>
      </c>
      <c r="CT126" s="970">
        <f>IF((WWWW[[#This Row],['#_Constructed/Existing protected/fenced ponds]]*250)/WWWW[[#This Row],[Total PoP ]]&gt;1,1,(WWWW[[#This Row],['#_Constructed/Existing protected/fenced ponds]]*250)/WWWW[[#This Row],[Total PoP ]])</f>
        <v>0</v>
      </c>
      <c r="CU126" s="968">
        <f>WWWW[[#This Row],[% Access to unimproved water points]]*WWWW[[#This Row],[Total PoP ]]</f>
        <v>0</v>
      </c>
      <c r="CV12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126" s="968">
        <f>WWWW[[#This Row],[HRP1]]/500</f>
        <v>0.442</v>
      </c>
      <c r="CY126" s="973">
        <f>1-WWWW[[#This Row],[% Equitable and continuous access to sufficient quantity of domestic water]]</f>
        <v>0</v>
      </c>
      <c r="CZ126" s="968">
        <f>WWWW[[#This Row],[%equitable and continuous access to sufficient quantity of safe drinking and domestic water''s GAP]]*WWWW[[#This Row],[Total PoP ]]</f>
        <v>0</v>
      </c>
      <c r="DA126" s="971">
        <f>IF(WWWW[[#This Row],[Total required water points]]-WWWW[[#This Row],['#Water points coverage]]&lt;0,0,WWWW[[#This Row],[Total required water points]]-WWWW[[#This Row],['#Water points coverage]])</f>
        <v>0.55800000000000005</v>
      </c>
      <c r="DB126" s="971">
        <f>ROUND(IF(WWWW[[#This Row],[Total PoP ]]&lt;500,1,WWWW[[#This Row],[Total PoP ]]/500),0)</f>
        <v>1</v>
      </c>
      <c r="DC126" s="971">
        <f>(WWWW[[#This Row],['#_Constructed latrines_by_WASHAgencies]]+WWWW[[#This Row],['#_Non Cluster partner latrines]])-WWWW[[#This Row],['#_Non-functional latrines]]</f>
        <v>37</v>
      </c>
      <c r="DD126" s="619">
        <f>WWWW[[#This Row],[HRP2]]/WWWW[[#This Row],[Total PoP ]]</f>
        <v>1</v>
      </c>
      <c r="DE12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221</v>
      </c>
      <c r="DF12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6" s="421">
        <f>IF(WWWW[[#This Row],['# of functional latrines in THF supported by WASH partners during the reporting period2]]="",0,WWWW[[#This Row],['# of functional latrines in THF supported by WASH partners during the reporting period2]]*50)</f>
        <v>0</v>
      </c>
      <c r="DI126" s="971">
        <f>ROUND(IF(WWWW[[#This Row],[Location Type 1]]="camp",WWWW[[#This Row],[Total PoP ]]/20,IF(WWWW[[#This Row],[Location Type 1]]="Temporary Location",WWWW[[#This Row],[Total PoP ]]/50,(WWWW[[#This Row],[Total PoP ]]/6))),0)</f>
        <v>11</v>
      </c>
      <c r="DJ126" s="971">
        <f>IF(WWWW[[#This Row],[Total required Latrines]]-(WWWW[[#This Row],['#_Constructed latrines_by_WASHAgencies]]+WWWW[[#This Row],['#_Non Cluster partner latrines]])&lt;0,0,WWWW[[#This Row],[Total required Latrines]]-(WWWW[[#This Row],['#_Constructed latrines_by_WASHAgencies]]+WWWW[[#This Row],['#_Non Cluster partner latrines]]))</f>
        <v>0</v>
      </c>
      <c r="DK126" s="973">
        <f>1-WWWW[[#This Row],[% people access to functioning Latrine]]</f>
        <v>0</v>
      </c>
      <c r="DL126" s="972">
        <f>IF(OR(WWWW[[#This Row],['#_Non-functional latrines]]="",WWWW[[#This Row],['#_Non-functional latrines]]=0),0,WWWW[[#This Row],['#_Non-functional latrines]]/(WWWW[[#This Row],['#_Constructed latrines_by_WASHAgencies]]+WWWW[[#This Row],['#_Non Cluster partner latrines]]))</f>
        <v>0</v>
      </c>
      <c r="DM126" s="968">
        <f>IF(500*(WWWW[[#This Row],['#_male hygiene promoters]]+WWWW[[#This Row],['#_female hygiene promoters]])&gt;WWWW[[#This Row],[Total PoP ]],WWWW[[#This Row],[Total PoP ]],500*(WWWW[[#This Row],['#_male hygiene promoters]]+WWWW[[#This Row],['#_female hygiene promoters]]))</f>
        <v>221</v>
      </c>
      <c r="DN12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6" s="971">
        <f>IF(WWWW[[#This Row],['# People with access to soap]]&gt;WWWW[[#This Row],['# People with access to Sanity Pads]],WWWW[[#This Row],['# People with access to soap]],WWWW[[#This Row],['# People with access to Sanity Pads]])</f>
        <v>0</v>
      </c>
      <c r="DQ126" s="971">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126" s="973">
        <f>IF(WWWW[[#This Row],[HRP3]]/WWWW[[#This Row],[Total PoP ]]&gt;1,1,WWWW[[#This Row],[HRP3]]/WWWW[[#This Row],[Total PoP ]])</f>
        <v>1</v>
      </c>
      <c r="DS126" s="972">
        <f>1-WWWW[[#This Row],[Hygiene Coverage%]]</f>
        <v>0</v>
      </c>
      <c r="DT126" s="970">
        <f>WWWW[[#This Row],['# people reached by regular dedicated hygiene promotion_5]]/WWWW[[#This Row],[Total PoP ]]</f>
        <v>1</v>
      </c>
      <c r="DU12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6" s="971">
        <f>WWWW[[#This Row],['#_Constructed/Existing hand washing stations]]-WWWW[[#This Row],['#_Non-Functional_hand_washing_stations]]</f>
        <v>7</v>
      </c>
      <c r="DX126" s="968">
        <f>IF(WWWW[[#This Row],['# Functional hand washing stations during reporting period]]*20&gt;WWWW[[#This Row],[Total HH]],WWWW[[#This Row],[Total HH]],WWWW[[#This Row],['# Functional hand washing stations during reporting period]]*20)</f>
        <v>45</v>
      </c>
      <c r="DY126" s="968">
        <f>IF(WWWW[[#This Row],[Is sufficient soap available for TLS? (Yes/No)]]="yes",WWWW[[#This Row],['#_Constructed/Existing hand washing stations at TLS/CFS/THF]],0)</f>
        <v>2</v>
      </c>
      <c r="DZ126" s="425">
        <f>IF(WWWW[[#This Row],['# Functional hand washing stations during reporting period]]*100&gt;WWWW[[#This Row],[Total PoP ]],WWWW[[#This Row],[Total PoP ]],WWWW[[#This Row],['# Functional hand washing stations during reporting period]]*100)</f>
        <v>221</v>
      </c>
      <c r="EA126" s="425" t="str">
        <f>IF(OR(WWWW[[#This Row],['#_students at TLS_CFS]]="",WWWW[[#This Row],['#_students at TLS_CFS]]=0),"No","Yes")</f>
        <v>No</v>
      </c>
      <c r="EB12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6" s="570">
        <f>WWWW[[#This Row],[%_of_affected_people_surveyed_who_report_feeling_satistfied_with_the_latrine_design_and_sanitation_service]]*WWWW[[#This Row],[Total PoP ]]</f>
        <v>0</v>
      </c>
      <c r="ED126" s="570">
        <f>WWWW[[#This Row],[%_of_affected_people_surveyed_who_report_feeling_satistfied_with_the_water_point_design_and_water_service]]*WWWW[[#This Row],[Total PoP ]]</f>
        <v>0</v>
      </c>
      <c r="EE126" s="570">
        <f>WWWW[[#This Row],[%_of_complaints_received_that_result_in_timely_corrective_action_and_feedback_to_the_community]]*WWWW[[#This Row],[Total PoP ]]</f>
        <v>0</v>
      </c>
      <c r="EF12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H12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6" s="964" t="str">
        <f>VLOOKUP(WWWW[[#This Row],[Site Name]],SiteDB6[[Site Name]:[CCCM Management]],6,FALSE)</f>
        <v>Yes</v>
      </c>
      <c r="EJ126" s="964" t="str">
        <f>VLOOKUP(WWWW[[#This Row],[Site Name]],SiteDB6[[Site Name]:[CCCM Focal Agency]],7,FALSE)</f>
        <v>KMSS-LSO</v>
      </c>
      <c r="EK126" s="964" t="str">
        <f>VLOOKUP(WWWW[[#This Row],[Site Name]],SiteDB6[[Site Name]:[Location Type 1]],9,FALSE)</f>
        <v>Camp</v>
      </c>
      <c r="EL126" s="964" t="str">
        <f>VLOOKUP(WWWW[[#This Row],[Site Name]],SiteDB6[[Site Name]:[Type of Accommodation]],10,FALSE)</f>
        <v>Camp</v>
      </c>
      <c r="EM126" s="964" t="str">
        <f>VLOOKUP(WWWW[[#This Row],[Site Name]],SiteDB6[[Site Name]:[Ethnic or GCA/NGCA]],11,FALSE)</f>
        <v>GCA</v>
      </c>
      <c r="EN126" s="964">
        <f>VLOOKUP(WWWW[[#This Row],[Site Name]],SiteDB6[[Site Name]:[Lat]],12,FALSE)</f>
        <v>23.59</v>
      </c>
      <c r="EO126" s="964">
        <f>VLOOKUP(WWWW[[#This Row],[Site Name]],SiteDB6[[Site Name]:[Long]],13,FALSE)</f>
        <v>97.805999999999997</v>
      </c>
      <c r="EP126" s="964" t="str">
        <f>VLOOKUP(WWWW[[#This Row],[Site Name]],SiteDB6[[Site Name]:[Pcode]],3,FALSE)</f>
        <v>MMR015CMP067</v>
      </c>
      <c r="EQ126" s="969" t="str">
        <f t="shared" si="4"/>
        <v>Covered</v>
      </c>
      <c r="ER126" s="969" t="s">
        <v>3147</v>
      </c>
      <c r="ES126" s="964">
        <f>VLOOKUP(WWWW[[#This Row],[Site Name]],SiteDB6[[Site Name]:[Pop
(Kachin/Shan-CCCM as of March 2023)]],16,FALSE)</f>
        <v>47</v>
      </c>
      <c r="ET126" s="964">
        <f>VLOOKUP(WWWW[[#This Row],[Site Name]],SiteDB6[[Site Name]:[Pop
(Kachin/Shan-CCCM as of March 2023)]],17,FALSE)</f>
        <v>235</v>
      </c>
    </row>
    <row r="127" spans="1:150" hidden="1">
      <c r="A127" s="962" t="s">
        <v>2977</v>
      </c>
      <c r="B127" s="962" t="s">
        <v>192</v>
      </c>
      <c r="C127" s="963" t="s">
        <v>192</v>
      </c>
      <c r="D127" s="963" t="s">
        <v>2648</v>
      </c>
      <c r="E127" s="963" t="s">
        <v>515</v>
      </c>
      <c r="F127" s="963" t="s">
        <v>519</v>
      </c>
      <c r="G127" s="964" t="s">
        <v>43</v>
      </c>
      <c r="H127" s="963" t="s">
        <v>538</v>
      </c>
      <c r="I127" s="965">
        <v>209</v>
      </c>
      <c r="J127" s="965">
        <v>1101</v>
      </c>
      <c r="K127" s="966">
        <v>44511</v>
      </c>
      <c r="L127" s="967">
        <v>44926</v>
      </c>
      <c r="M127" s="965"/>
      <c r="N127" s="965">
        <v>2</v>
      </c>
      <c r="O127" s="965"/>
      <c r="P127" s="965"/>
      <c r="Q127" s="968" t="s">
        <v>41</v>
      </c>
      <c r="R127" s="965">
        <v>5</v>
      </c>
      <c r="S127" s="965">
        <v>4</v>
      </c>
      <c r="T127" s="445">
        <v>2</v>
      </c>
      <c r="U127" s="965"/>
      <c r="V127" s="965"/>
      <c r="W127" s="965">
        <v>1</v>
      </c>
      <c r="X127" s="965"/>
      <c r="Y127" s="965"/>
      <c r="Z127" s="965"/>
      <c r="AA127" s="965">
        <v>48</v>
      </c>
      <c r="AB127" s="965"/>
      <c r="AC127" s="965"/>
      <c r="AD127" s="965"/>
      <c r="AE127" s="965"/>
      <c r="AF127" s="965"/>
      <c r="AG127" s="965"/>
      <c r="AH127" s="965">
        <v>1</v>
      </c>
      <c r="AI127" s="965"/>
      <c r="AJ127" s="965"/>
      <c r="AK127" s="965"/>
      <c r="AL127" s="965"/>
      <c r="AM127" s="965"/>
      <c r="AN127" s="965">
        <v>2</v>
      </c>
      <c r="AO127" s="445"/>
      <c r="AP127" s="969"/>
      <c r="AQ127" s="965">
        <v>200</v>
      </c>
      <c r="AR127" s="965">
        <v>5</v>
      </c>
      <c r="AS127" s="970"/>
      <c r="AT127" s="965"/>
      <c r="AU127" s="965"/>
      <c r="AV127" s="965"/>
      <c r="AW127" s="965"/>
      <c r="AX127" s="965">
        <v>18</v>
      </c>
      <c r="AY127" s="964" t="s">
        <v>136</v>
      </c>
      <c r="AZ127" s="969" t="s">
        <v>136</v>
      </c>
      <c r="BA127" s="965"/>
      <c r="BB127" s="965"/>
      <c r="BC127" s="965">
        <v>2</v>
      </c>
      <c r="BD127" s="445"/>
      <c r="BE127" s="445"/>
      <c r="BF127" s="964"/>
      <c r="BG127" s="965">
        <v>2</v>
      </c>
      <c r="BH127" s="965"/>
      <c r="BI127" s="965"/>
      <c r="BJ127" s="965">
        <v>5</v>
      </c>
      <c r="BK127" s="965"/>
      <c r="BL127" s="965"/>
      <c r="BM127" s="965">
        <v>1</v>
      </c>
      <c r="BN127" s="965"/>
      <c r="BO127" s="965"/>
      <c r="BP127" s="964" t="s">
        <v>41</v>
      </c>
      <c r="BQ127" s="971"/>
      <c r="BR127" s="970"/>
      <c r="BS127" s="964"/>
      <c r="BT127" s="420"/>
      <c r="BU127" s="420"/>
      <c r="BV127" s="422"/>
      <c r="BW127" s="420"/>
      <c r="BX127" s="445"/>
      <c r="BY127" s="445"/>
      <c r="BZ127" s="445"/>
      <c r="CA127" s="445"/>
      <c r="CB127" s="445"/>
      <c r="CC127" s="702"/>
      <c r="CD127" s="445"/>
      <c r="CE127" s="972" t="str">
        <f>IFERROR(WWWW[[#This Row],['#_Water sources passed]]/WWWW[[#This Row],['#_Water sources tested for fecal coliform ]],"no test")</f>
        <v>no test</v>
      </c>
      <c r="CF127" s="970" t="str">
        <f>IFERROR(WWWW[[#This Row],['#_Household passed]]/WWWW[[#This Row],['#_Household water samples tested for fecal coliform]],"no test")</f>
        <v>no test</v>
      </c>
      <c r="CG127" s="971" t="str">
        <f>IF(AND(WWWW[[#This Row],[% of water sources passed]]="no test",WWWW[[#This Row],[% Household passed]]="no test"),"No Test","Tested")</f>
        <v>No Test</v>
      </c>
      <c r="CH127" s="971">
        <f>WWWW[[#This Row],['#_Constructed/existing protected hand dug well]]-WWWW[[#This Row],['#_Non-functional protected hand dug well]]</f>
        <v>2</v>
      </c>
      <c r="CI127" s="971">
        <f>(WWWW[[#This Row],['#_Constructed/Existing tube wells/boreholes/handpumps_WASH_agency]]+WWWW[[#This Row],['#_Non-Cluster partner water tube-wells/boreholes/handpumps]])-WWWW[[#This Row],['#_Non-functional tube wells/boreholes/handpumps]]</f>
        <v>1</v>
      </c>
      <c r="CJ127" s="971">
        <f>WWWW[[#This Row],['#_Constructed/Existingwater storage tank with gravity fed reticulation system]]-WWWW[[#This Row],['#_Non-functional storage tank gravity fed reticulation system]]</f>
        <v>48</v>
      </c>
      <c r="CK127" s="971">
        <f>(WWWW[[#This Row],['#_Water_Liters_supplied_by_Water boating or water trucking]]/90)/15</f>
        <v>0</v>
      </c>
      <c r="CL127" s="971">
        <f>WWWW[[#This Row],['#_Water_Liters_from_Constructed/Existing water distribution system from river or natural spring]]/90/15</f>
        <v>0</v>
      </c>
      <c r="CM127" s="421">
        <f>IF(WWWW[[#This Row],['#_of water points in TLS/CFS]]*500&gt;WWWW[[#This Row],[Total PoP ]],WWWW[[#This Row],[Total PoP ]],WWWW[[#This Row],['#_of water points in TLS/CFS]]*500)</f>
        <v>1000</v>
      </c>
      <c r="CN127" s="421">
        <f>IF(WWWW[[#This Row],['#_of water points in THF]]*500&gt;WWWW[[#This Row],[Total PoP ]],WWWW[[#This Row],[Total PoP ]],WWWW[[#This Row],['#_of water points in THF]]*500)</f>
        <v>0</v>
      </c>
      <c r="CO127" s="421"/>
      <c r="CP12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7" s="970">
        <f>IF(WWWW[[#This Row],[Location Type 1]]="Village",WWWW[[#This Row],[Access to safe drinking water for Village]],WWWW[[#This Row],[Access to safe drinking water for Camp]])</f>
        <v>1</v>
      </c>
      <c r="CS127" s="968">
        <f>WWWW[[#This Row],[%Equitable and continuous access to sufficient quantity of safe drinking water]]*WWWW[[#This Row],[Total PoP ]]</f>
        <v>1101</v>
      </c>
      <c r="CT127" s="970">
        <f>IF((WWWW[[#This Row],['#_Constructed/Existing protected/fenced ponds]]*250)/WWWW[[#This Row],[Total PoP ]]&gt;1,1,(WWWW[[#This Row],['#_Constructed/Existing protected/fenced ponds]]*250)/WWWW[[#This Row],[Total PoP ]])</f>
        <v>0</v>
      </c>
      <c r="CU127" s="968">
        <f>WWWW[[#This Row],[% Access to unimproved water points]]*WWWW[[#This Row],[Total PoP ]]</f>
        <v>0</v>
      </c>
      <c r="CV12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X127" s="968">
        <f>WWWW[[#This Row],[HRP1]]/500</f>
        <v>2.202</v>
      </c>
      <c r="CY127" s="973">
        <f>1-WWWW[[#This Row],[% Equitable and continuous access to sufficient quantity of domestic water]]</f>
        <v>0</v>
      </c>
      <c r="CZ127" s="968">
        <f>WWWW[[#This Row],[%equitable and continuous access to sufficient quantity of safe drinking and domestic water''s GAP]]*WWWW[[#This Row],[Total PoP ]]</f>
        <v>0</v>
      </c>
      <c r="DA127" s="971">
        <f>IF(WWWW[[#This Row],[Total required water points]]-WWWW[[#This Row],['#Water points coverage]]&lt;0,0,WWWW[[#This Row],[Total required water points]]-WWWW[[#This Row],['#Water points coverage]])</f>
        <v>0</v>
      </c>
      <c r="DB127" s="971">
        <f>ROUND(IF(WWWW[[#This Row],[Total PoP ]]&lt;500,1,WWWW[[#This Row],[Total PoP ]]/500),0)</f>
        <v>2</v>
      </c>
      <c r="DC127" s="971">
        <f>(WWWW[[#This Row],['#_Constructed latrines_by_WASHAgencies]]+WWWW[[#This Row],['#_Non Cluster partner latrines]])-WWWW[[#This Row],['#_Non-functional latrines]]</f>
        <v>205</v>
      </c>
      <c r="DD127" s="619">
        <f>WWWW[[#This Row],[HRP2]]/WWWW[[#This Row],[Total PoP ]]</f>
        <v>0.93097184377838327</v>
      </c>
      <c r="DE12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1025</v>
      </c>
      <c r="DF12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7" s="421">
        <f>IF(WWWW[[#This Row],['# of functional latrines in THF supported by WASH partners during the reporting period2]]="",0,WWWW[[#This Row],['# of functional latrines in THF supported by WASH partners during the reporting period2]]*50)</f>
        <v>0</v>
      </c>
      <c r="DI127" s="971">
        <f>ROUND(IF(WWWW[[#This Row],[Location Type 1]]="camp",WWWW[[#This Row],[Total PoP ]]/20,IF(WWWW[[#This Row],[Location Type 1]]="Temporary Location",WWWW[[#This Row],[Total PoP ]]/50,(WWWW[[#This Row],[Total PoP ]]/6))),0)</f>
        <v>184</v>
      </c>
      <c r="DJ127" s="971">
        <f>IF(WWWW[[#This Row],[Total required Latrines]]-(WWWW[[#This Row],['#_Constructed latrines_by_WASHAgencies]]+WWWW[[#This Row],['#_Non Cluster partner latrines]])&lt;0,0,WWWW[[#This Row],[Total required Latrines]]-(WWWW[[#This Row],['#_Constructed latrines_by_WASHAgencies]]+WWWW[[#This Row],['#_Non Cluster partner latrines]]))</f>
        <v>0</v>
      </c>
      <c r="DK127" s="973">
        <f>1-WWWW[[#This Row],[% people access to functioning Latrine]]</f>
        <v>6.9028156221616732E-2</v>
      </c>
      <c r="DL127" s="972">
        <f>IF(OR(WWWW[[#This Row],['#_Non-functional latrines]]="",WWWW[[#This Row],['#_Non-functional latrines]]=0),0,WWWW[[#This Row],['#_Non-functional latrines]]/(WWWW[[#This Row],['#_Constructed latrines_by_WASHAgencies]]+WWWW[[#This Row],['#_Non Cluster partner latrines]]))</f>
        <v>0</v>
      </c>
      <c r="DM127" s="968">
        <f>IF(500*(WWWW[[#This Row],['#_male hygiene promoters]]+WWWW[[#This Row],['#_female hygiene promoters]])&gt;WWWW[[#This Row],[Total PoP ]],WWWW[[#This Row],[Total PoP ]],500*(WWWW[[#This Row],['#_male hygiene promoters]]+WWWW[[#This Row],['#_female hygiene promoters]]))</f>
        <v>500</v>
      </c>
      <c r="DN12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7" s="971">
        <f>IF(WWWW[[#This Row],['# People with access to soap]]&gt;WWWW[[#This Row],['# People with access to Sanity Pads]],WWWW[[#This Row],['# People with access to soap]],WWWW[[#This Row],['# People with access to Sanity Pads]])</f>
        <v>0</v>
      </c>
      <c r="DQ127"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27" s="973">
        <f>IF(WWWW[[#This Row],[HRP3]]/WWWW[[#This Row],[Total PoP ]]&gt;1,1,WWWW[[#This Row],[HRP3]]/WWWW[[#This Row],[Total PoP ]])</f>
        <v>0.45413260672116257</v>
      </c>
      <c r="DS127" s="972">
        <f>1-WWWW[[#This Row],[Hygiene Coverage%]]</f>
        <v>0.54586739327883738</v>
      </c>
      <c r="DT127" s="970">
        <f>WWWW[[#This Row],['# people reached by regular dedicated hygiene promotion_5]]/WWWW[[#This Row],[Total PoP ]]</f>
        <v>0.45413260672116257</v>
      </c>
      <c r="DU12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7" s="971">
        <f>WWWW[[#This Row],['#_Constructed/Existing hand washing stations]]-WWWW[[#This Row],['#_Non-Functional_hand_washing_stations]]</f>
        <v>2</v>
      </c>
      <c r="DX127" s="968">
        <f>IF(WWWW[[#This Row],['# Functional hand washing stations during reporting period]]*20&gt;WWWW[[#This Row],[Total HH]],WWWW[[#This Row],[Total HH]],WWWW[[#This Row],['# Functional hand washing stations during reporting period]]*20)</f>
        <v>40</v>
      </c>
      <c r="DY127" s="968">
        <f>IF(WWWW[[#This Row],[Is sufficient soap available for TLS? (Yes/No)]]="yes",WWWW[[#This Row],['#_Constructed/Existing hand washing stations at TLS/CFS/THF]],0)</f>
        <v>0</v>
      </c>
      <c r="DZ127" s="425">
        <f>IF(WWWW[[#This Row],['# Functional hand washing stations during reporting period]]*100&gt;WWWW[[#This Row],[Total PoP ]],WWWW[[#This Row],[Total PoP ]],WWWW[[#This Row],['# Functional hand washing stations during reporting period]]*100)</f>
        <v>200</v>
      </c>
      <c r="EA127" s="425" t="str">
        <f>IF(OR(WWWW[[#This Row],['#_students at TLS_CFS]]="",WWWW[[#This Row],['#_students at TLS_CFS]]=0),"No","Yes")</f>
        <v>No</v>
      </c>
      <c r="EB12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7" s="570">
        <f>WWWW[[#This Row],[%_of_affected_people_surveyed_who_report_feeling_satistfied_with_the_latrine_design_and_sanitation_service]]*WWWW[[#This Row],[Total PoP ]]</f>
        <v>0</v>
      </c>
      <c r="ED127" s="570">
        <f>WWWW[[#This Row],[%_of_affected_people_surveyed_who_report_feeling_satistfied_with_the_water_point_design_and_water_service]]*WWWW[[#This Row],[Total PoP ]]</f>
        <v>0</v>
      </c>
      <c r="EE127" s="570">
        <f>WWWW[[#This Row],[%_of_complaints_received_that_result_in_timely_corrective_action_and_feedback_to_the_community]]*WWWW[[#This Row],[Total PoP ]]</f>
        <v>0</v>
      </c>
      <c r="EF12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12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7" s="964" t="str">
        <f>VLOOKUP(WWWW[[#This Row],[Site Name]],SiteDB6[[Site Name]:[CCCM Management]],6,FALSE)</f>
        <v>Yes</v>
      </c>
      <c r="EJ127" s="964" t="str">
        <f>VLOOKUP(WWWW[[#This Row],[Site Name]],SiteDB6[[Site Name]:[CCCM Focal Agency]],7,FALSE)</f>
        <v>KBC-NSS</v>
      </c>
      <c r="EK127" s="964" t="str">
        <f>VLOOKUP(WWWW[[#This Row],[Site Name]],SiteDB6[[Site Name]:[Location Type 1]],9,FALSE)</f>
        <v>Village Type Camp</v>
      </c>
      <c r="EL127" s="964" t="str">
        <f>VLOOKUP(WWWW[[#This Row],[Site Name]],SiteDB6[[Site Name]:[Type of Accommodation]],10,FALSE)</f>
        <v>Camp</v>
      </c>
      <c r="EM127" s="964" t="str">
        <f>VLOOKUP(WWWW[[#This Row],[Site Name]],SiteDB6[[Site Name]:[Ethnic or GCA/NGCA]],11,FALSE)</f>
        <v>GCA</v>
      </c>
      <c r="EN127" s="964">
        <f>VLOOKUP(WWWW[[#This Row],[Site Name]],SiteDB6[[Site Name]:[Lat]],12,FALSE)</f>
        <v>23.38503</v>
      </c>
      <c r="EO127" s="964">
        <f>VLOOKUP(WWWW[[#This Row],[Site Name]],SiteDB6[[Site Name]:[Long]],13,FALSE)</f>
        <v>97.837040000000002</v>
      </c>
      <c r="EP127" s="964" t="str">
        <f>VLOOKUP(WWWW[[#This Row],[Site Name]],SiteDB6[[Site Name]:[Pcode]],3,FALSE)</f>
        <v>MMR015CMP020</v>
      </c>
      <c r="EQ127" s="969" t="str">
        <f t="shared" si="4"/>
        <v>Covered</v>
      </c>
      <c r="ER127" s="969" t="s">
        <v>3147</v>
      </c>
      <c r="ES127" s="964">
        <f>VLOOKUP(WWWW[[#This Row],[Site Name]],SiteDB6[[Site Name]:[Pop
(Kachin/Shan-CCCM as of March 2023)]],16,FALSE)</f>
        <v>209</v>
      </c>
      <c r="ET127" s="964">
        <f>VLOOKUP(WWWW[[#This Row],[Site Name]],SiteDB6[[Site Name]:[Pop
(Kachin/Shan-CCCM as of March 2023)]],17,FALSE)</f>
        <v>1084</v>
      </c>
    </row>
    <row r="128" spans="1:150" hidden="1">
      <c r="A128" s="962" t="s">
        <v>2977</v>
      </c>
      <c r="B128" s="962" t="s">
        <v>192</v>
      </c>
      <c r="C128" s="963" t="s">
        <v>192</v>
      </c>
      <c r="D128" s="963" t="s">
        <v>241</v>
      </c>
      <c r="E128" s="963" t="s">
        <v>515</v>
      </c>
      <c r="F128" s="963" t="s">
        <v>525</v>
      </c>
      <c r="G128" s="964" t="str">
        <f>VLOOKUP(WWWW[[#This Row],[Site Name]],SiteDB6[[Site Name]:[Location Type]],8,FALSE)</f>
        <v>Camp</v>
      </c>
      <c r="H128" s="963" t="s">
        <v>2659</v>
      </c>
      <c r="I128" s="965">
        <v>19</v>
      </c>
      <c r="J128" s="965">
        <v>60</v>
      </c>
      <c r="K128" s="966">
        <v>44511</v>
      </c>
      <c r="L128" s="967">
        <v>44875</v>
      </c>
      <c r="M128" s="965"/>
      <c r="N128" s="965"/>
      <c r="O128" s="965"/>
      <c r="P128" s="965"/>
      <c r="Q128" s="968"/>
      <c r="R128" s="965"/>
      <c r="S128" s="965"/>
      <c r="T128" s="445"/>
      <c r="U128" s="965"/>
      <c r="V128" s="965"/>
      <c r="W128" s="965"/>
      <c r="X128" s="965"/>
      <c r="Y128" s="965"/>
      <c r="Z128" s="965"/>
      <c r="AA128" s="965"/>
      <c r="AB128" s="965"/>
      <c r="AC128" s="965"/>
      <c r="AD128" s="965"/>
      <c r="AE128" s="965"/>
      <c r="AF128" s="965"/>
      <c r="AG128" s="965"/>
      <c r="AH128" s="965"/>
      <c r="AI128" s="965"/>
      <c r="AJ128" s="965"/>
      <c r="AK128" s="965"/>
      <c r="AL128" s="965"/>
      <c r="AM128" s="965"/>
      <c r="AN128" s="965"/>
      <c r="AO128" s="445"/>
      <c r="AP128" s="969"/>
      <c r="AQ128" s="965"/>
      <c r="AR128" s="965"/>
      <c r="AS128" s="970"/>
      <c r="AT128" s="965"/>
      <c r="AU128" s="965"/>
      <c r="AV128" s="965"/>
      <c r="AW128" s="965"/>
      <c r="AX128" s="965"/>
      <c r="AY128" s="964" t="s">
        <v>140</v>
      </c>
      <c r="AZ128" s="969" t="s">
        <v>140</v>
      </c>
      <c r="BA128" s="965"/>
      <c r="BB128" s="965"/>
      <c r="BC128" s="965"/>
      <c r="BD128" s="445"/>
      <c r="BE128" s="445"/>
      <c r="BF128" s="964"/>
      <c r="BG128" s="965">
        <v>8</v>
      </c>
      <c r="BH128" s="965"/>
      <c r="BI128" s="965"/>
      <c r="BJ128" s="965">
        <v>3</v>
      </c>
      <c r="BK128" s="965"/>
      <c r="BL128" s="965"/>
      <c r="BM128" s="965"/>
      <c r="BN128" s="965"/>
      <c r="BO128" s="965"/>
      <c r="BP128" s="964" t="s">
        <v>41</v>
      </c>
      <c r="BQ128" s="971"/>
      <c r="BR128" s="970"/>
      <c r="BS128" s="964"/>
      <c r="BT128" s="420"/>
      <c r="BU128" s="420"/>
      <c r="BV128" s="422"/>
      <c r="BW128" s="420"/>
      <c r="BX128" s="445"/>
      <c r="BY128" s="445"/>
      <c r="BZ128" s="445"/>
      <c r="CA128" s="445"/>
      <c r="CB128" s="445"/>
      <c r="CC128" s="702"/>
      <c r="CD128" s="445"/>
      <c r="CE128" s="972" t="str">
        <f>IFERROR(WWWW[[#This Row],['#_Water sources passed]]/WWWW[[#This Row],['#_Water sources tested for fecal coliform ]],"no test")</f>
        <v>no test</v>
      </c>
      <c r="CF128" s="970" t="str">
        <f>IFERROR(WWWW[[#This Row],['#_Household passed]]/WWWW[[#This Row],['#_Household water samples tested for fecal coliform]],"no test")</f>
        <v>no test</v>
      </c>
      <c r="CG128" s="971" t="str">
        <f>IF(AND(WWWW[[#This Row],[% of water sources passed]]="no test",WWWW[[#This Row],[% Household passed]]="no test"),"No Test","Tested")</f>
        <v>No Test</v>
      </c>
      <c r="CH128" s="971">
        <f>WWWW[[#This Row],['#_Constructed/existing protected hand dug well]]-WWWW[[#This Row],['#_Non-functional protected hand dug well]]</f>
        <v>0</v>
      </c>
      <c r="CI128" s="971">
        <f>(WWWW[[#This Row],['#_Constructed/Existing tube wells/boreholes/handpumps_WASH_agency]]+WWWW[[#This Row],['#_Non-Cluster partner water tube-wells/boreholes/handpumps]])-WWWW[[#This Row],['#_Non-functional tube wells/boreholes/handpumps]]</f>
        <v>0</v>
      </c>
      <c r="CJ128" s="971">
        <f>WWWW[[#This Row],['#_Constructed/Existingwater storage tank with gravity fed reticulation system]]-WWWW[[#This Row],['#_Non-functional storage tank gravity fed reticulation system]]</f>
        <v>0</v>
      </c>
      <c r="CK128" s="971">
        <f>(WWWW[[#This Row],['#_Water_Liters_supplied_by_Water boating or water trucking]]/90)/15</f>
        <v>0</v>
      </c>
      <c r="CL128" s="971">
        <f>WWWW[[#This Row],['#_Water_Liters_from_Constructed/Existing water distribution system from river or natural spring]]/90/15</f>
        <v>0</v>
      </c>
      <c r="CM128" s="421">
        <f>IF(WWWW[[#This Row],['#_of water points in TLS/CFS]]*500&gt;WWWW[[#This Row],[Total PoP ]],WWWW[[#This Row],[Total PoP ]],WWWW[[#This Row],['#_of water points in TLS/CFS]]*500)</f>
        <v>0</v>
      </c>
      <c r="CN128" s="421">
        <f>IF(WWWW[[#This Row],['#_of water points in THF]]*500&gt;WWWW[[#This Row],[Total PoP ]],WWWW[[#This Row],[Total PoP ]],WWWW[[#This Row],['#_of water points in THF]]*500)</f>
        <v>0</v>
      </c>
      <c r="CO128" s="421"/>
      <c r="CP12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2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28" s="970">
        <f>IF(WWWW[[#This Row],[Location Type 1]]="Village",WWWW[[#This Row],[Access to safe drinking water for Village]],WWWW[[#This Row],[Access to safe drinking water for Camp]])</f>
        <v>0</v>
      </c>
      <c r="CS128" s="968">
        <f>WWWW[[#This Row],[%Equitable and continuous access to sufficient quantity of safe drinking water]]*WWWW[[#This Row],[Total PoP ]]</f>
        <v>0</v>
      </c>
      <c r="CT128" s="970">
        <f>IF((WWWW[[#This Row],['#_Constructed/Existing protected/fenced ponds]]*250)/WWWW[[#This Row],[Total PoP ]]&gt;1,1,(WWWW[[#This Row],['#_Constructed/Existing protected/fenced ponds]]*250)/WWWW[[#This Row],[Total PoP ]])</f>
        <v>0</v>
      </c>
      <c r="CU128" s="968">
        <f>WWWW[[#This Row],[% Access to unimproved water points]]*WWWW[[#This Row],[Total PoP ]]</f>
        <v>0</v>
      </c>
      <c r="CV12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2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28" s="968">
        <f>WWWW[[#This Row],[HRP1]]/500</f>
        <v>0</v>
      </c>
      <c r="CY128" s="973">
        <f>1-WWWW[[#This Row],[% Equitable and continuous access to sufficient quantity of domestic water]]</f>
        <v>1</v>
      </c>
      <c r="CZ128" s="968">
        <f>WWWW[[#This Row],[%equitable and continuous access to sufficient quantity of safe drinking and domestic water''s GAP]]*WWWW[[#This Row],[Total PoP ]]</f>
        <v>60</v>
      </c>
      <c r="DA128" s="971">
        <f>IF(WWWW[[#This Row],[Total required water points]]-WWWW[[#This Row],['#Water points coverage]]&lt;0,0,WWWW[[#This Row],[Total required water points]]-WWWW[[#This Row],['#Water points coverage]])</f>
        <v>1</v>
      </c>
      <c r="DB128" s="971">
        <f>ROUND(IF(WWWW[[#This Row],[Total PoP ]]&lt;500,1,WWWW[[#This Row],[Total PoP ]]/500),0)</f>
        <v>1</v>
      </c>
      <c r="DC128" s="971">
        <f>(WWWW[[#This Row],['#_Constructed latrines_by_WASHAgencies]]+WWWW[[#This Row],['#_Non Cluster partner latrines]])-WWWW[[#This Row],['#_Non-functional latrines]]</f>
        <v>0</v>
      </c>
      <c r="DD128" s="619">
        <f>WWWW[[#This Row],[HRP2]]/WWWW[[#This Row],[Total PoP ]]</f>
        <v>0</v>
      </c>
      <c r="DE12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8" s="421">
        <f>IF(WWWW[[#This Row],['# of functional latrines in THF supported by WASH partners during the reporting period2]]="",0,WWWW[[#This Row],['# of functional latrines in THF supported by WASH partners during the reporting period2]]*50)</f>
        <v>0</v>
      </c>
      <c r="DI128" s="971">
        <f>ROUND(IF(WWWW[[#This Row],[Location Type 1]]="camp",WWWW[[#This Row],[Total PoP ]]/20,IF(WWWW[[#This Row],[Location Type 1]]="Temporary Location",WWWW[[#This Row],[Total PoP ]]/50,(WWWW[[#This Row],[Total PoP ]]/6))),0)</f>
        <v>3</v>
      </c>
      <c r="DJ128" s="971">
        <f>IF(WWWW[[#This Row],[Total required Latrines]]-(WWWW[[#This Row],['#_Constructed latrines_by_WASHAgencies]]+WWWW[[#This Row],['#_Non Cluster partner latrines]])&lt;0,0,WWWW[[#This Row],[Total required Latrines]]-(WWWW[[#This Row],['#_Constructed latrines_by_WASHAgencies]]+WWWW[[#This Row],['#_Non Cluster partner latrines]]))</f>
        <v>3</v>
      </c>
      <c r="DK128" s="973">
        <f>1-WWWW[[#This Row],[% people access to functioning Latrine]]</f>
        <v>1</v>
      </c>
      <c r="DL128" s="972">
        <f>IF(OR(WWWW[[#This Row],['#_Non-functional latrines]]="",WWWW[[#This Row],['#_Non-functional latrines]]=0),0,WWWW[[#This Row],['#_Non-functional latrines]]/(WWWW[[#This Row],['#_Constructed latrines_by_WASHAgencies]]+WWWW[[#This Row],['#_Non Cluster partner latrines]]))</f>
        <v>0</v>
      </c>
      <c r="DM128" s="968">
        <f>IF(500*(WWWW[[#This Row],['#_male hygiene promoters]]+WWWW[[#This Row],['#_female hygiene promoters]])&gt;WWWW[[#This Row],[Total PoP ]],WWWW[[#This Row],[Total PoP ]],500*(WWWW[[#This Row],['#_male hygiene promoters]]+WWWW[[#This Row],['#_female hygiene promoters]]))</f>
        <v>0</v>
      </c>
      <c r="DN12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8" s="971">
        <f>IF(WWWW[[#This Row],['# People with access to soap]]&gt;WWWW[[#This Row],['# People with access to Sanity Pads]],WWWW[[#This Row],['# People with access to soap]],WWWW[[#This Row],['# People with access to Sanity Pads]])</f>
        <v>0</v>
      </c>
      <c r="DQ128"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8" s="973">
        <f>IF(WWWW[[#This Row],[HRP3]]/WWWW[[#This Row],[Total PoP ]]&gt;1,1,WWWW[[#This Row],[HRP3]]/WWWW[[#This Row],[Total PoP ]])</f>
        <v>0</v>
      </c>
      <c r="DS128" s="972">
        <f>1-WWWW[[#This Row],[Hygiene Coverage%]]</f>
        <v>1</v>
      </c>
      <c r="DT128" s="970">
        <f>WWWW[[#This Row],['# people reached by regular dedicated hygiene promotion_5]]/WWWW[[#This Row],[Total PoP ]]</f>
        <v>0</v>
      </c>
      <c r="DU12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8" s="971">
        <f>WWWW[[#This Row],['#_Constructed/Existing hand washing stations]]-WWWW[[#This Row],['#_Non-Functional_hand_washing_stations]]</f>
        <v>8</v>
      </c>
      <c r="DX128" s="968">
        <f>IF(WWWW[[#This Row],['# Functional hand washing stations during reporting period]]*20&gt;WWWW[[#This Row],[Total HH]],WWWW[[#This Row],[Total HH]],WWWW[[#This Row],['# Functional hand washing stations during reporting period]]*20)</f>
        <v>19</v>
      </c>
      <c r="DY128" s="968">
        <f>IF(WWWW[[#This Row],[Is sufficient soap available for TLS? (Yes/No)]]="yes",WWWW[[#This Row],['#_Constructed/Existing hand washing stations at TLS/CFS/THF]],0)</f>
        <v>0</v>
      </c>
      <c r="DZ128" s="425">
        <f>IF(WWWW[[#This Row],['# Functional hand washing stations during reporting period]]*100&gt;WWWW[[#This Row],[Total PoP ]],WWWW[[#This Row],[Total PoP ]],WWWW[[#This Row],['# Functional hand washing stations during reporting period]]*100)</f>
        <v>60</v>
      </c>
      <c r="EA128" s="425" t="str">
        <f>IF(OR(WWWW[[#This Row],['#_students at TLS_CFS]]="",WWWW[[#This Row],['#_students at TLS_CFS]]=0),"No","Yes")</f>
        <v>No</v>
      </c>
      <c r="EB12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8" s="570">
        <f>WWWW[[#This Row],[%_of_affected_people_surveyed_who_report_feeling_satistfied_with_the_latrine_design_and_sanitation_service]]*WWWW[[#This Row],[Total PoP ]]</f>
        <v>0</v>
      </c>
      <c r="ED128" s="570">
        <f>WWWW[[#This Row],[%_of_affected_people_surveyed_who_report_feeling_satistfied_with_the_water_point_design_and_water_service]]*WWWW[[#This Row],[Total PoP ]]</f>
        <v>0</v>
      </c>
      <c r="EE128" s="570">
        <f>WWWW[[#This Row],[%_of_complaints_received_that_result_in_timely_corrective_action_and_feedback_to_the_community]]*WWWW[[#This Row],[Total PoP ]]</f>
        <v>0</v>
      </c>
      <c r="EF12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8" s="964">
        <f>VLOOKUP(WWWW[[#This Row],[Site Name]],SiteDB6[[Site Name]:[CCCM Management]],6,FALSE)</f>
        <v>0</v>
      </c>
      <c r="EJ128" s="964">
        <f>VLOOKUP(WWWW[[#This Row],[Site Name]],SiteDB6[[Site Name]:[CCCM Focal Agency]],7,FALSE)</f>
        <v>0</v>
      </c>
      <c r="EK128" s="964" t="str">
        <f>VLOOKUP(WWWW[[#This Row],[Site Name]],SiteDB6[[Site Name]:[Location Type 1]],9,FALSE)</f>
        <v>Camp</v>
      </c>
      <c r="EL128" s="964" t="str">
        <f>VLOOKUP(WWWW[[#This Row],[Site Name]],SiteDB6[[Site Name]:[Type of Accommodation]],10,FALSE)</f>
        <v>IDPs in host</v>
      </c>
      <c r="EM128" s="964" t="str">
        <f>VLOOKUP(WWWW[[#This Row],[Site Name]],SiteDB6[[Site Name]:[Ethnic or GCA/NGCA]],11,FALSE)</f>
        <v>GCA</v>
      </c>
      <c r="EN128" s="964">
        <f>VLOOKUP(WWWW[[#This Row],[Site Name]],SiteDB6[[Site Name]:[Lat]],12,FALSE)</f>
        <v>23.963060379028299</v>
      </c>
      <c r="EO128" s="964">
        <f>VLOOKUP(WWWW[[#This Row],[Site Name]],SiteDB6[[Site Name]:[Long]],13,FALSE)</f>
        <v>98.127189636230497</v>
      </c>
      <c r="EP128" s="964" t="str">
        <f>VLOOKUP(WWWW[[#This Row],[Site Name]],SiteDB6[[Site Name]:[Pcode]],3,FALSE)</f>
        <v>MMR015CMP076</v>
      </c>
      <c r="EQ128" s="969" t="str">
        <f t="shared" si="4"/>
        <v>Covered</v>
      </c>
      <c r="ER128" s="969" t="s">
        <v>3147</v>
      </c>
      <c r="ES128" s="964">
        <f>VLOOKUP(WWWW[[#This Row],[Site Name]],SiteDB6[[Site Name]:[Pop
(Kachin/Shan-CCCM as of March 2023)]],16,FALSE)</f>
        <v>19</v>
      </c>
      <c r="ET128" s="964">
        <f>VLOOKUP(WWWW[[#This Row],[Site Name]],SiteDB6[[Site Name]:[Pop
(Kachin/Shan-CCCM as of March 2023)]],17,FALSE)</f>
        <v>60</v>
      </c>
    </row>
    <row r="129" spans="1:150" hidden="1">
      <c r="A129" s="962" t="s">
        <v>2977</v>
      </c>
      <c r="B129" s="962" t="s">
        <v>192</v>
      </c>
      <c r="C129" s="963" t="s">
        <v>192</v>
      </c>
      <c r="D129" s="963" t="s">
        <v>241</v>
      </c>
      <c r="E129" s="963" t="s">
        <v>515</v>
      </c>
      <c r="F129" s="963" t="s">
        <v>525</v>
      </c>
      <c r="G129" s="964" t="str">
        <f>VLOOKUP(WWWW[[#This Row],[Site Name]],SiteDB6[[Site Name]:[Location Type]],8,FALSE)</f>
        <v>Camp</v>
      </c>
      <c r="H129" s="963" t="s">
        <v>2862</v>
      </c>
      <c r="I129" s="965">
        <v>31</v>
      </c>
      <c r="J129" s="965">
        <v>155</v>
      </c>
      <c r="K129" s="966">
        <v>44511</v>
      </c>
      <c r="L129" s="967">
        <v>44875</v>
      </c>
      <c r="M129" s="965"/>
      <c r="N129" s="965"/>
      <c r="O129" s="965"/>
      <c r="P129" s="965"/>
      <c r="Q129" s="968"/>
      <c r="R129" s="965"/>
      <c r="S129" s="965"/>
      <c r="T129" s="445"/>
      <c r="U129" s="965"/>
      <c r="V129" s="965"/>
      <c r="W129" s="965"/>
      <c r="X129" s="965"/>
      <c r="Y129" s="965"/>
      <c r="Z129" s="965"/>
      <c r="AA129" s="965"/>
      <c r="AB129" s="965"/>
      <c r="AC129" s="965"/>
      <c r="AD129" s="965"/>
      <c r="AE129" s="965"/>
      <c r="AF129" s="965"/>
      <c r="AG129" s="965"/>
      <c r="AH129" s="965"/>
      <c r="AI129" s="965"/>
      <c r="AJ129" s="965"/>
      <c r="AK129" s="965"/>
      <c r="AL129" s="965"/>
      <c r="AM129" s="965"/>
      <c r="AN129" s="965"/>
      <c r="AO129" s="445"/>
      <c r="AP129" s="969"/>
      <c r="AQ129" s="965"/>
      <c r="AR129" s="965"/>
      <c r="AS129" s="970"/>
      <c r="AT129" s="965"/>
      <c r="AU129" s="965"/>
      <c r="AV129" s="965"/>
      <c r="AW129" s="965"/>
      <c r="AX129" s="965"/>
      <c r="AY129" s="964" t="s">
        <v>140</v>
      </c>
      <c r="AZ129" s="969" t="s">
        <v>140</v>
      </c>
      <c r="BA129" s="965"/>
      <c r="BB129" s="965"/>
      <c r="BC129" s="965"/>
      <c r="BD129" s="445"/>
      <c r="BE129" s="445"/>
      <c r="BF129" s="964"/>
      <c r="BG129" s="965"/>
      <c r="BH129" s="965"/>
      <c r="BI129" s="965"/>
      <c r="BJ129" s="965"/>
      <c r="BK129" s="965"/>
      <c r="BL129" s="965"/>
      <c r="BM129" s="965"/>
      <c r="BN129" s="965"/>
      <c r="BO129" s="965"/>
      <c r="BP129" s="964" t="s">
        <v>41</v>
      </c>
      <c r="BQ129" s="971"/>
      <c r="BR129" s="970"/>
      <c r="BS129" s="964"/>
      <c r="BT129" s="420"/>
      <c r="BU129" s="420"/>
      <c r="BV129" s="422"/>
      <c r="BW129" s="420"/>
      <c r="BX129" s="445"/>
      <c r="BY129" s="445"/>
      <c r="BZ129" s="445"/>
      <c r="CA129" s="445"/>
      <c r="CB129" s="445"/>
      <c r="CC129" s="702"/>
      <c r="CD129" s="445"/>
      <c r="CE129" s="972" t="str">
        <f>IFERROR(WWWW[[#This Row],['#_Water sources passed]]/WWWW[[#This Row],['#_Water sources tested for fecal coliform ]],"no test")</f>
        <v>no test</v>
      </c>
      <c r="CF129" s="970" t="str">
        <f>IFERROR(WWWW[[#This Row],['#_Household passed]]/WWWW[[#This Row],['#_Household water samples tested for fecal coliform]],"no test")</f>
        <v>no test</v>
      </c>
      <c r="CG129" s="971" t="str">
        <f>IF(AND(WWWW[[#This Row],[% of water sources passed]]="no test",WWWW[[#This Row],[% Household passed]]="no test"),"No Test","Tested")</f>
        <v>No Test</v>
      </c>
      <c r="CH129" s="971">
        <f>WWWW[[#This Row],['#_Constructed/existing protected hand dug well]]-WWWW[[#This Row],['#_Non-functional protected hand dug well]]</f>
        <v>0</v>
      </c>
      <c r="CI129" s="971">
        <f>(WWWW[[#This Row],['#_Constructed/Existing tube wells/boreholes/handpumps_WASH_agency]]+WWWW[[#This Row],['#_Non-Cluster partner water tube-wells/boreholes/handpumps]])-WWWW[[#This Row],['#_Non-functional tube wells/boreholes/handpumps]]</f>
        <v>0</v>
      </c>
      <c r="CJ129" s="971">
        <f>WWWW[[#This Row],['#_Constructed/Existingwater storage tank with gravity fed reticulation system]]-WWWW[[#This Row],['#_Non-functional storage tank gravity fed reticulation system]]</f>
        <v>0</v>
      </c>
      <c r="CK129" s="971">
        <f>(WWWW[[#This Row],['#_Water_Liters_supplied_by_Water boating or water trucking]]/90)/15</f>
        <v>0</v>
      </c>
      <c r="CL129" s="971">
        <f>WWWW[[#This Row],['#_Water_Liters_from_Constructed/Existing water distribution system from river or natural spring]]/90/15</f>
        <v>0</v>
      </c>
      <c r="CM129" s="421">
        <f>IF(WWWW[[#This Row],['#_of water points in TLS/CFS]]*500&gt;WWWW[[#This Row],[Total PoP ]],WWWW[[#This Row],[Total PoP ]],WWWW[[#This Row],['#_of water points in TLS/CFS]]*500)</f>
        <v>0</v>
      </c>
      <c r="CN129" s="421">
        <f>IF(WWWW[[#This Row],['#_of water points in THF]]*500&gt;WWWW[[#This Row],[Total PoP ]],WWWW[[#This Row],[Total PoP ]],WWWW[[#This Row],['#_of water points in THF]]*500)</f>
        <v>0</v>
      </c>
      <c r="CO129" s="421"/>
      <c r="CP12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2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29" s="970">
        <f>IF(WWWW[[#This Row],[Location Type 1]]="Village",WWWW[[#This Row],[Access to safe drinking water for Village]],WWWW[[#This Row],[Access to safe drinking water for Camp]])</f>
        <v>0</v>
      </c>
      <c r="CS129" s="968">
        <f>WWWW[[#This Row],[%Equitable and continuous access to sufficient quantity of safe drinking water]]*WWWW[[#This Row],[Total PoP ]]</f>
        <v>0</v>
      </c>
      <c r="CT129" s="970">
        <f>IF((WWWW[[#This Row],['#_Constructed/Existing protected/fenced ponds]]*250)/WWWW[[#This Row],[Total PoP ]]&gt;1,1,(WWWW[[#This Row],['#_Constructed/Existing protected/fenced ponds]]*250)/WWWW[[#This Row],[Total PoP ]])</f>
        <v>0</v>
      </c>
      <c r="CU129" s="968">
        <f>WWWW[[#This Row],[% Access to unimproved water points]]*WWWW[[#This Row],[Total PoP ]]</f>
        <v>0</v>
      </c>
      <c r="CV12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2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29" s="968">
        <f>WWWW[[#This Row],[HRP1]]/500</f>
        <v>0</v>
      </c>
      <c r="CY129" s="973">
        <f>1-WWWW[[#This Row],[% Equitable and continuous access to sufficient quantity of domestic water]]</f>
        <v>1</v>
      </c>
      <c r="CZ129" s="968">
        <f>WWWW[[#This Row],[%equitable and continuous access to sufficient quantity of safe drinking and domestic water''s GAP]]*WWWW[[#This Row],[Total PoP ]]</f>
        <v>155</v>
      </c>
      <c r="DA129" s="971">
        <f>IF(WWWW[[#This Row],[Total required water points]]-WWWW[[#This Row],['#Water points coverage]]&lt;0,0,WWWW[[#This Row],[Total required water points]]-WWWW[[#This Row],['#Water points coverage]])</f>
        <v>1</v>
      </c>
      <c r="DB129" s="971">
        <f>ROUND(IF(WWWW[[#This Row],[Total PoP ]]&lt;500,1,WWWW[[#This Row],[Total PoP ]]/500),0)</f>
        <v>1</v>
      </c>
      <c r="DC129" s="971">
        <f>(WWWW[[#This Row],['#_Constructed latrines_by_WASHAgencies]]+WWWW[[#This Row],['#_Non Cluster partner latrines]])-WWWW[[#This Row],['#_Non-functional latrines]]</f>
        <v>0</v>
      </c>
      <c r="DD129" s="619">
        <f>WWWW[[#This Row],[HRP2]]/WWWW[[#This Row],[Total PoP ]]</f>
        <v>0</v>
      </c>
      <c r="DE12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9" s="421">
        <f>IF(WWWW[[#This Row],['# of functional latrines in THF supported by WASH partners during the reporting period2]]="",0,WWWW[[#This Row],['# of functional latrines in THF supported by WASH partners during the reporting period2]]*50)</f>
        <v>0</v>
      </c>
      <c r="DI129" s="971">
        <f>ROUND(IF(WWWW[[#This Row],[Location Type 1]]="camp",WWWW[[#This Row],[Total PoP ]]/20,IF(WWWW[[#This Row],[Location Type 1]]="Temporary Location",WWWW[[#This Row],[Total PoP ]]/50,(WWWW[[#This Row],[Total PoP ]]/6))),0)</f>
        <v>8</v>
      </c>
      <c r="DJ129" s="971">
        <f>IF(WWWW[[#This Row],[Total required Latrines]]-(WWWW[[#This Row],['#_Constructed latrines_by_WASHAgencies]]+WWWW[[#This Row],['#_Non Cluster partner latrines]])&lt;0,0,WWWW[[#This Row],[Total required Latrines]]-(WWWW[[#This Row],['#_Constructed latrines_by_WASHAgencies]]+WWWW[[#This Row],['#_Non Cluster partner latrines]]))</f>
        <v>8</v>
      </c>
      <c r="DK129" s="973">
        <f>1-WWWW[[#This Row],[% people access to functioning Latrine]]</f>
        <v>1</v>
      </c>
      <c r="DL129" s="972">
        <f>IF(OR(WWWW[[#This Row],['#_Non-functional latrines]]="",WWWW[[#This Row],['#_Non-functional latrines]]=0),0,WWWW[[#This Row],['#_Non-functional latrines]]/(WWWW[[#This Row],['#_Constructed latrines_by_WASHAgencies]]+WWWW[[#This Row],['#_Non Cluster partner latrines]]))</f>
        <v>0</v>
      </c>
      <c r="DM129" s="968">
        <f>IF(500*(WWWW[[#This Row],['#_male hygiene promoters]]+WWWW[[#This Row],['#_female hygiene promoters]])&gt;WWWW[[#This Row],[Total PoP ]],WWWW[[#This Row],[Total PoP ]],500*(WWWW[[#This Row],['#_male hygiene promoters]]+WWWW[[#This Row],['#_female hygiene promoters]]))</f>
        <v>0</v>
      </c>
      <c r="DN12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9" s="971">
        <f>IF(WWWW[[#This Row],['# People with access to soap]]&gt;WWWW[[#This Row],['# People with access to Sanity Pads]],WWWW[[#This Row],['# People with access to soap]],WWWW[[#This Row],['# People with access to Sanity Pads]])</f>
        <v>0</v>
      </c>
      <c r="DQ12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9" s="973">
        <f>IF(WWWW[[#This Row],[HRP3]]/WWWW[[#This Row],[Total PoP ]]&gt;1,1,WWWW[[#This Row],[HRP3]]/WWWW[[#This Row],[Total PoP ]])</f>
        <v>0</v>
      </c>
      <c r="DS129" s="972">
        <f>1-WWWW[[#This Row],[Hygiene Coverage%]]</f>
        <v>1</v>
      </c>
      <c r="DT129" s="970">
        <f>WWWW[[#This Row],['# people reached by regular dedicated hygiene promotion_5]]/WWWW[[#This Row],[Total PoP ]]</f>
        <v>0</v>
      </c>
      <c r="DU12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9" s="971">
        <f>WWWW[[#This Row],['#_Constructed/Existing hand washing stations]]-WWWW[[#This Row],['#_Non-Functional_hand_washing_stations]]</f>
        <v>0</v>
      </c>
      <c r="DX129" s="968">
        <f>IF(WWWW[[#This Row],['# Functional hand washing stations during reporting period]]*20&gt;WWWW[[#This Row],[Total HH]],WWWW[[#This Row],[Total HH]],WWWW[[#This Row],['# Functional hand washing stations during reporting period]]*20)</f>
        <v>0</v>
      </c>
      <c r="DY129" s="968">
        <f>IF(WWWW[[#This Row],[Is sufficient soap available for TLS? (Yes/No)]]="yes",WWWW[[#This Row],['#_Constructed/Existing hand washing stations at TLS/CFS/THF]],0)</f>
        <v>0</v>
      </c>
      <c r="DZ129" s="425">
        <f>IF(WWWW[[#This Row],['# Functional hand washing stations during reporting period]]*100&gt;WWWW[[#This Row],[Total PoP ]],WWWW[[#This Row],[Total PoP ]],WWWW[[#This Row],['# Functional hand washing stations during reporting period]]*100)</f>
        <v>0</v>
      </c>
      <c r="EA129" s="425" t="str">
        <f>IF(OR(WWWW[[#This Row],['#_students at TLS_CFS]]="",WWWW[[#This Row],['#_students at TLS_CFS]]=0),"No","Yes")</f>
        <v>No</v>
      </c>
      <c r="EB12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9" s="570">
        <f>WWWW[[#This Row],[%_of_affected_people_surveyed_who_report_feeling_satistfied_with_the_latrine_design_and_sanitation_service]]*WWWW[[#This Row],[Total PoP ]]</f>
        <v>0</v>
      </c>
      <c r="ED129" s="570">
        <f>WWWW[[#This Row],[%_of_affected_people_surveyed_who_report_feeling_satistfied_with_the_water_point_design_and_water_service]]*WWWW[[#This Row],[Total PoP ]]</f>
        <v>0</v>
      </c>
      <c r="EE129" s="570">
        <f>WWWW[[#This Row],[%_of_complaints_received_that_result_in_timely_corrective_action_and_feedback_to_the_community]]*WWWW[[#This Row],[Total PoP ]]</f>
        <v>0</v>
      </c>
      <c r="EF12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9" s="964">
        <f>VLOOKUP(WWWW[[#This Row],[Site Name]],SiteDB6[[Site Name]:[CCCM Management]],6,FALSE)</f>
        <v>0</v>
      </c>
      <c r="EJ129" s="964">
        <f>VLOOKUP(WWWW[[#This Row],[Site Name]],SiteDB6[[Site Name]:[CCCM Focal Agency]],7,FALSE)</f>
        <v>0</v>
      </c>
      <c r="EK129" s="964" t="str">
        <f>VLOOKUP(WWWW[[#This Row],[Site Name]],SiteDB6[[Site Name]:[Location Type 1]],9,FALSE)</f>
        <v>Camp</v>
      </c>
      <c r="EL129" s="964" t="str">
        <f>VLOOKUP(WWWW[[#This Row],[Site Name]],SiteDB6[[Site Name]:[Type of Accommodation]],10,FALSE)</f>
        <v>Camp like setting</v>
      </c>
      <c r="EM129" s="964" t="str">
        <f>VLOOKUP(WWWW[[#This Row],[Site Name]],SiteDB6[[Site Name]:[Ethnic or GCA/NGCA]],11,FALSE)</f>
        <v>GCA</v>
      </c>
      <c r="EN129" s="964">
        <f>VLOOKUP(WWWW[[#This Row],[Site Name]],SiteDB6[[Site Name]:[Lat]],12,FALSE)</f>
        <v>0</v>
      </c>
      <c r="EO129" s="964">
        <f>VLOOKUP(WWWW[[#This Row],[Site Name]],SiteDB6[[Site Name]:[Long]],13,FALSE)</f>
        <v>0</v>
      </c>
      <c r="EP129" s="964" t="str">
        <f>VLOOKUP(WWWW[[#This Row],[Site Name]],SiteDB6[[Site Name]:[Pcode]],3,FALSE)</f>
        <v>MMR015CMP083</v>
      </c>
      <c r="EQ129" s="969" t="str">
        <f t="shared" si="4"/>
        <v>Covered</v>
      </c>
      <c r="ER129" s="969" t="s">
        <v>3147</v>
      </c>
      <c r="ES129" s="964">
        <f>VLOOKUP(WWWW[[#This Row],[Site Name]],SiteDB6[[Site Name]:[Pop
(Kachin/Shan-CCCM as of March 2023)]],16,FALSE)</f>
        <v>31</v>
      </c>
      <c r="ET129" s="964">
        <f>VLOOKUP(WWWW[[#This Row],[Site Name]],SiteDB6[[Site Name]:[Pop
(Kachin/Shan-CCCM as of March 2023)]],17,FALSE)</f>
        <v>155</v>
      </c>
    </row>
    <row r="130" spans="1:150" hidden="1">
      <c r="A130" s="962" t="s">
        <v>2977</v>
      </c>
      <c r="B130" s="962" t="s">
        <v>192</v>
      </c>
      <c r="C130" s="963" t="s">
        <v>192</v>
      </c>
      <c r="D130" s="963" t="s">
        <v>2648</v>
      </c>
      <c r="E130" s="963" t="s">
        <v>515</v>
      </c>
      <c r="F130" s="963" t="s">
        <v>516</v>
      </c>
      <c r="G130" s="964" t="s">
        <v>43</v>
      </c>
      <c r="H130" s="963" t="s">
        <v>551</v>
      </c>
      <c r="I130" s="965">
        <v>6</v>
      </c>
      <c r="J130" s="965">
        <v>31</v>
      </c>
      <c r="K130" s="966">
        <v>44511</v>
      </c>
      <c r="L130" s="967">
        <v>44926</v>
      </c>
      <c r="M130" s="965"/>
      <c r="N130" s="965"/>
      <c r="O130" s="965">
        <v>1</v>
      </c>
      <c r="P130" s="965"/>
      <c r="Q130" s="968"/>
      <c r="R130" s="965"/>
      <c r="S130" s="965"/>
      <c r="T130" s="445"/>
      <c r="U130" s="965"/>
      <c r="V130" s="965"/>
      <c r="W130" s="965"/>
      <c r="X130" s="965">
        <v>1</v>
      </c>
      <c r="Y130" s="965"/>
      <c r="Z130" s="965"/>
      <c r="AA130" s="965"/>
      <c r="AB130" s="965"/>
      <c r="AC130" s="965"/>
      <c r="AD130" s="965"/>
      <c r="AE130" s="965"/>
      <c r="AF130" s="965"/>
      <c r="AG130" s="965"/>
      <c r="AH130" s="965"/>
      <c r="AI130" s="965"/>
      <c r="AJ130" s="965"/>
      <c r="AK130" s="965"/>
      <c r="AL130" s="965"/>
      <c r="AM130" s="965"/>
      <c r="AN130" s="965"/>
      <c r="AO130" s="445"/>
      <c r="AP130" s="969"/>
      <c r="AQ130" s="965"/>
      <c r="AR130" s="965">
        <v>10</v>
      </c>
      <c r="AS130" s="970"/>
      <c r="AT130" s="965"/>
      <c r="AU130" s="965"/>
      <c r="AV130" s="965"/>
      <c r="AW130" s="965"/>
      <c r="AX130" s="965"/>
      <c r="AY130" s="964" t="s">
        <v>140</v>
      </c>
      <c r="AZ130" s="969" t="s">
        <v>140</v>
      </c>
      <c r="BA130" s="965"/>
      <c r="BB130" s="965"/>
      <c r="BC130" s="965"/>
      <c r="BD130" s="445"/>
      <c r="BE130" s="445"/>
      <c r="BF130" s="964"/>
      <c r="BG130" s="965">
        <v>7</v>
      </c>
      <c r="BH130" s="965"/>
      <c r="BI130" s="965"/>
      <c r="BJ130" s="965">
        <v>4</v>
      </c>
      <c r="BK130" s="965"/>
      <c r="BL130" s="965"/>
      <c r="BM130" s="965">
        <v>1</v>
      </c>
      <c r="BN130" s="965"/>
      <c r="BO130" s="965"/>
      <c r="BP130" s="964" t="s">
        <v>41</v>
      </c>
      <c r="BQ130" s="971"/>
      <c r="BR130" s="970"/>
      <c r="BS130" s="964"/>
      <c r="BT130" s="420"/>
      <c r="BU130" s="420"/>
      <c r="BV130" s="422"/>
      <c r="BW130" s="420"/>
      <c r="BX130" s="445"/>
      <c r="BY130" s="445"/>
      <c r="BZ130" s="445"/>
      <c r="CA130" s="445"/>
      <c r="CB130" s="445"/>
      <c r="CC130" s="702"/>
      <c r="CD130" s="445"/>
      <c r="CE130" s="972" t="str">
        <f>IFERROR(WWWW[[#This Row],['#_Water sources passed]]/WWWW[[#This Row],['#_Water sources tested for fecal coliform ]],"no test")</f>
        <v>no test</v>
      </c>
      <c r="CF130" s="970" t="str">
        <f>IFERROR(WWWW[[#This Row],['#_Household passed]]/WWWW[[#This Row],['#_Household water samples tested for fecal coliform]],"no test")</f>
        <v>no test</v>
      </c>
      <c r="CG130" s="971" t="str">
        <f>IF(AND(WWWW[[#This Row],[% of water sources passed]]="no test",WWWW[[#This Row],[% Household passed]]="no test"),"No Test","Tested")</f>
        <v>No Test</v>
      </c>
      <c r="CH130" s="971">
        <f>WWWW[[#This Row],['#_Constructed/existing protected hand dug well]]-WWWW[[#This Row],['#_Non-functional protected hand dug well]]</f>
        <v>0</v>
      </c>
      <c r="CI130" s="971">
        <f>(WWWW[[#This Row],['#_Constructed/Existing tube wells/boreholes/handpumps_WASH_agency]]+WWWW[[#This Row],['#_Non-Cluster partner water tube-wells/boreholes/handpumps]])-WWWW[[#This Row],['#_Non-functional tube wells/boreholes/handpumps]]</f>
        <v>1</v>
      </c>
      <c r="CJ130" s="971">
        <f>WWWW[[#This Row],['#_Constructed/Existingwater storage tank with gravity fed reticulation system]]-WWWW[[#This Row],['#_Non-functional storage tank gravity fed reticulation system]]</f>
        <v>0</v>
      </c>
      <c r="CK130" s="971">
        <f>(WWWW[[#This Row],['#_Water_Liters_supplied_by_Water boating or water trucking]]/90)/15</f>
        <v>0</v>
      </c>
      <c r="CL130" s="971">
        <f>WWWW[[#This Row],['#_Water_Liters_from_Constructed/Existing water distribution system from river or natural spring]]/90/15</f>
        <v>0</v>
      </c>
      <c r="CM130" s="421">
        <f>IF(WWWW[[#This Row],['#_of water points in TLS/CFS]]*500&gt;WWWW[[#This Row],[Total PoP ]],WWWW[[#This Row],[Total PoP ]],WWWW[[#This Row],['#_of water points in TLS/CFS]]*500)</f>
        <v>0</v>
      </c>
      <c r="CN130" s="421">
        <f>IF(WWWW[[#This Row],['#_of water points in THF]]*500&gt;WWWW[[#This Row],[Total PoP ]],WWWW[[#This Row],[Total PoP ]],WWWW[[#This Row],['#_of water points in THF]]*500)</f>
        <v>0</v>
      </c>
      <c r="CO130" s="421"/>
      <c r="CP13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0" s="970">
        <f>IF(WWWW[[#This Row],[Location Type 1]]="Village",WWWW[[#This Row],[Access to safe drinking water for Village]],WWWW[[#This Row],[Access to safe drinking water for Camp]])</f>
        <v>1</v>
      </c>
      <c r="CS130" s="968">
        <f>WWWW[[#This Row],[%Equitable and continuous access to sufficient quantity of safe drinking water]]*WWWW[[#This Row],[Total PoP ]]</f>
        <v>31</v>
      </c>
      <c r="CT130" s="970">
        <f>IF((WWWW[[#This Row],['#_Constructed/Existing protected/fenced ponds]]*250)/WWWW[[#This Row],[Total PoP ]]&gt;1,1,(WWWW[[#This Row],['#_Constructed/Existing protected/fenced ponds]]*250)/WWWW[[#This Row],[Total PoP ]])</f>
        <v>0</v>
      </c>
      <c r="CU130" s="968">
        <f>WWWW[[#This Row],[% Access to unimproved water points]]*WWWW[[#This Row],[Total PoP ]]</f>
        <v>0</v>
      </c>
      <c r="CV13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X130" s="968">
        <f>WWWW[[#This Row],[HRP1]]/500</f>
        <v>6.2E-2</v>
      </c>
      <c r="CY130" s="973">
        <f>1-WWWW[[#This Row],[% Equitable and continuous access to sufficient quantity of domestic water]]</f>
        <v>0</v>
      </c>
      <c r="CZ130" s="968">
        <f>WWWW[[#This Row],[%equitable and continuous access to sufficient quantity of safe drinking and domestic water''s GAP]]*WWWW[[#This Row],[Total PoP ]]</f>
        <v>0</v>
      </c>
      <c r="DA130" s="971">
        <f>IF(WWWW[[#This Row],[Total required water points]]-WWWW[[#This Row],['#Water points coverage]]&lt;0,0,WWWW[[#This Row],[Total required water points]]-WWWW[[#This Row],['#Water points coverage]])</f>
        <v>0.93799999999999994</v>
      </c>
      <c r="DB130" s="971">
        <f>ROUND(IF(WWWW[[#This Row],[Total PoP ]]&lt;500,1,WWWW[[#This Row],[Total PoP ]]/500),0)</f>
        <v>1</v>
      </c>
      <c r="DC130" s="971">
        <f>(WWWW[[#This Row],['#_Constructed latrines_by_WASHAgencies]]+WWWW[[#This Row],['#_Non Cluster partner latrines]])-WWWW[[#This Row],['#_Non-functional latrines]]</f>
        <v>10</v>
      </c>
      <c r="DD130" s="619">
        <f>WWWW[[#This Row],[HRP2]]/WWWW[[#This Row],[Total PoP ]]</f>
        <v>1</v>
      </c>
      <c r="DE13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13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0" s="421">
        <f>IF(WWWW[[#This Row],['# of functional latrines in THF supported by WASH partners during the reporting period2]]="",0,WWWW[[#This Row],['# of functional latrines in THF supported by WASH partners during the reporting period2]]*50)</f>
        <v>0</v>
      </c>
      <c r="DI130" s="971">
        <f>ROUND(IF(WWWW[[#This Row],[Location Type 1]]="camp",WWWW[[#This Row],[Total PoP ]]/20,IF(WWWW[[#This Row],[Location Type 1]]="Temporary Location",WWWW[[#This Row],[Total PoP ]]/50,(WWWW[[#This Row],[Total PoP ]]/6))),0)</f>
        <v>2</v>
      </c>
      <c r="DJ130" s="971">
        <f>IF(WWWW[[#This Row],[Total required Latrines]]-(WWWW[[#This Row],['#_Constructed latrines_by_WASHAgencies]]+WWWW[[#This Row],['#_Non Cluster partner latrines]])&lt;0,0,WWWW[[#This Row],[Total required Latrines]]-(WWWW[[#This Row],['#_Constructed latrines_by_WASHAgencies]]+WWWW[[#This Row],['#_Non Cluster partner latrines]]))</f>
        <v>0</v>
      </c>
      <c r="DK130" s="973">
        <f>1-WWWW[[#This Row],[% people access to functioning Latrine]]</f>
        <v>0</v>
      </c>
      <c r="DL130" s="972">
        <f>IF(OR(WWWW[[#This Row],['#_Non-functional latrines]]="",WWWW[[#This Row],['#_Non-functional latrines]]=0),0,WWWW[[#This Row],['#_Non-functional latrines]]/(WWWW[[#This Row],['#_Constructed latrines_by_WASHAgencies]]+WWWW[[#This Row],['#_Non Cluster partner latrines]]))</f>
        <v>0</v>
      </c>
      <c r="DM130" s="968">
        <f>IF(500*(WWWW[[#This Row],['#_male hygiene promoters]]+WWWW[[#This Row],['#_female hygiene promoters]])&gt;WWWW[[#This Row],[Total PoP ]],WWWW[[#This Row],[Total PoP ]],500*(WWWW[[#This Row],['#_male hygiene promoters]]+WWWW[[#This Row],['#_female hygiene promoters]]))</f>
        <v>31</v>
      </c>
      <c r="DN13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0" s="971">
        <f>IF(WWWW[[#This Row],['# People with access to soap]]&gt;WWWW[[#This Row],['# People with access to Sanity Pads]],WWWW[[#This Row],['# People with access to soap]],WWWW[[#This Row],['# People with access to Sanity Pads]])</f>
        <v>0</v>
      </c>
      <c r="DQ130" s="971">
        <f>IF(WWWW[[#This Row],['# people reached by regular dedicated hygiene promotion_5]]&gt;WWWW[[#This Row],['# People received regular supply of hygiene items_6]],WWWW[[#This Row],['# people reached by regular dedicated hygiene promotion_5]],WWWW[[#This Row],['# People received regular supply of hygiene items_6]])</f>
        <v>31</v>
      </c>
      <c r="DR130" s="973">
        <f>IF(WWWW[[#This Row],[HRP3]]/WWWW[[#This Row],[Total PoP ]]&gt;1,1,WWWW[[#This Row],[HRP3]]/WWWW[[#This Row],[Total PoP ]])</f>
        <v>1</v>
      </c>
      <c r="DS130" s="972">
        <f>1-WWWW[[#This Row],[Hygiene Coverage%]]</f>
        <v>0</v>
      </c>
      <c r="DT130" s="970">
        <f>WWWW[[#This Row],['# people reached by regular dedicated hygiene promotion_5]]/WWWW[[#This Row],[Total PoP ]]</f>
        <v>1</v>
      </c>
      <c r="DU13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0" s="971">
        <f>WWWW[[#This Row],['#_Constructed/Existing hand washing stations]]-WWWW[[#This Row],['#_Non-Functional_hand_washing_stations]]</f>
        <v>7</v>
      </c>
      <c r="DX130" s="968">
        <f>IF(WWWW[[#This Row],['# Functional hand washing stations during reporting period]]*20&gt;WWWW[[#This Row],[Total HH]],WWWW[[#This Row],[Total HH]],WWWW[[#This Row],['# Functional hand washing stations during reporting period]]*20)</f>
        <v>6</v>
      </c>
      <c r="DY130" s="968">
        <f>IF(WWWW[[#This Row],[Is sufficient soap available for TLS? (Yes/No)]]="yes",WWWW[[#This Row],['#_Constructed/Existing hand washing stations at TLS/CFS/THF]],0)</f>
        <v>0</v>
      </c>
      <c r="DZ130" s="425">
        <f>IF(WWWW[[#This Row],['# Functional hand washing stations during reporting period]]*100&gt;WWWW[[#This Row],[Total PoP ]],WWWW[[#This Row],[Total PoP ]],WWWW[[#This Row],['# Functional hand washing stations during reporting period]]*100)</f>
        <v>31</v>
      </c>
      <c r="EA130" s="425" t="str">
        <f>IF(OR(WWWW[[#This Row],['#_students at TLS_CFS]]="",WWWW[[#This Row],['#_students at TLS_CFS]]=0),"No","Yes")</f>
        <v>No</v>
      </c>
      <c r="EB13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0" s="570">
        <f>WWWW[[#This Row],[%_of_affected_people_surveyed_who_report_feeling_satistfied_with_the_latrine_design_and_sanitation_service]]*WWWW[[#This Row],[Total PoP ]]</f>
        <v>0</v>
      </c>
      <c r="ED130" s="570">
        <f>WWWW[[#This Row],[%_of_affected_people_surveyed_who_report_feeling_satistfied_with_the_water_point_design_and_water_service]]*WWWW[[#This Row],[Total PoP ]]</f>
        <v>0</v>
      </c>
      <c r="EE130" s="570">
        <f>WWWW[[#This Row],[%_of_complaints_received_that_result_in_timely_corrective_action_and_feedback_to_the_community]]*WWWW[[#This Row],[Total PoP ]]</f>
        <v>0</v>
      </c>
      <c r="EF13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0" s="964" t="str">
        <f>VLOOKUP(WWWW[[#This Row],[Site Name]],SiteDB6[[Site Name]:[CCCM Management]],6,FALSE)</f>
        <v>Yes</v>
      </c>
      <c r="EJ130" s="964" t="str">
        <f>VLOOKUP(WWWW[[#This Row],[Site Name]],SiteDB6[[Site Name]:[CCCM Focal Agency]],7,FALSE)</f>
        <v>KBC-NSS</v>
      </c>
      <c r="EK130" s="964" t="str">
        <f>VLOOKUP(WWWW[[#This Row],[Site Name]],SiteDB6[[Site Name]:[Location Type 1]],9,FALSE)</f>
        <v>Camp</v>
      </c>
      <c r="EL130" s="964" t="str">
        <f>VLOOKUP(WWWW[[#This Row],[Site Name]],SiteDB6[[Site Name]:[Type of Accommodation]],10,FALSE)</f>
        <v>Closed Camp</v>
      </c>
      <c r="EM130" s="964" t="str">
        <f>VLOOKUP(WWWW[[#This Row],[Site Name]],SiteDB6[[Site Name]:[Ethnic or GCA/NGCA]],11,FALSE)</f>
        <v>GCA</v>
      </c>
      <c r="EN130" s="964">
        <f>VLOOKUP(WWWW[[#This Row],[Site Name]],SiteDB6[[Site Name]:[Lat]],12,FALSE)</f>
        <v>23.841646999999998</v>
      </c>
      <c r="EO130" s="964">
        <f>VLOOKUP(WWWW[[#This Row],[Site Name]],SiteDB6[[Site Name]:[Long]],13,FALSE)</f>
        <v>97.700940000000003</v>
      </c>
      <c r="EP130" s="964" t="str">
        <f>VLOOKUP(WWWW[[#This Row],[Site Name]],SiteDB6[[Site Name]:[Pcode]],3,FALSE)</f>
        <v>MMR015CMP214</v>
      </c>
      <c r="EQ130" s="969" t="str">
        <f t="shared" si="4"/>
        <v>Covered</v>
      </c>
      <c r="ER130" s="969" t="s">
        <v>3147</v>
      </c>
      <c r="ES130" s="964">
        <f>VLOOKUP(WWWW[[#This Row],[Site Name]],SiteDB6[[Site Name]:[Pop
(Kachin/Shan-CCCM as of March 2023)]],16,FALSE)</f>
        <v>0</v>
      </c>
      <c r="ET130" s="964">
        <f>VLOOKUP(WWWW[[#This Row],[Site Name]],SiteDB6[[Site Name]:[Pop
(Kachin/Shan-CCCM as of March 2023)]],17,FALSE)</f>
        <v>0</v>
      </c>
    </row>
    <row r="131" spans="1:150" hidden="1">
      <c r="A131" s="962" t="s">
        <v>2977</v>
      </c>
      <c r="B131" s="962" t="s">
        <v>2969</v>
      </c>
      <c r="C131" s="963" t="s">
        <v>2969</v>
      </c>
      <c r="D131" s="963" t="s">
        <v>2970</v>
      </c>
      <c r="E131" s="963" t="s">
        <v>515</v>
      </c>
      <c r="F131" s="963" t="s">
        <v>536</v>
      </c>
      <c r="G131" s="964" t="str">
        <f>VLOOKUP(WWWW[[#This Row],[Site Name]],SiteDB6[[Site Name]:[Location Type]],8,FALSE)</f>
        <v>Camp</v>
      </c>
      <c r="H131" s="963" t="s">
        <v>544</v>
      </c>
      <c r="I131" s="965">
        <v>30</v>
      </c>
      <c r="J131" s="965">
        <v>127</v>
      </c>
      <c r="K131" s="966">
        <v>44511</v>
      </c>
      <c r="L131" s="967">
        <v>44926</v>
      </c>
      <c r="M131" s="965"/>
      <c r="N131" s="965"/>
      <c r="O131" s="965">
        <v>1</v>
      </c>
      <c r="P131" s="965"/>
      <c r="Q131" s="968" t="s">
        <v>41</v>
      </c>
      <c r="R131" s="965">
        <v>3</v>
      </c>
      <c r="S131" s="965">
        <v>3</v>
      </c>
      <c r="T131" s="445"/>
      <c r="U131" s="965"/>
      <c r="V131" s="965"/>
      <c r="W131" s="965">
        <v>2</v>
      </c>
      <c r="X131" s="965">
        <v>1</v>
      </c>
      <c r="Y131" s="965"/>
      <c r="Z131" s="965"/>
      <c r="AA131" s="965"/>
      <c r="AB131" s="965"/>
      <c r="AC131" s="965"/>
      <c r="AD131" s="965"/>
      <c r="AE131" s="965"/>
      <c r="AF131" s="965"/>
      <c r="AG131" s="965"/>
      <c r="AH131" s="965"/>
      <c r="AI131" s="965"/>
      <c r="AJ131" s="965"/>
      <c r="AK131" s="965"/>
      <c r="AL131" s="965"/>
      <c r="AM131" s="965"/>
      <c r="AN131" s="965"/>
      <c r="AO131" s="445"/>
      <c r="AP131" s="969"/>
      <c r="AQ131" s="965">
        <v>10</v>
      </c>
      <c r="AR131" s="965">
        <v>2</v>
      </c>
      <c r="AS131" s="970"/>
      <c r="AT131" s="965"/>
      <c r="AU131" s="965"/>
      <c r="AV131" s="965"/>
      <c r="AW131" s="965"/>
      <c r="AX131" s="965">
        <v>2</v>
      </c>
      <c r="AY131" s="964" t="s">
        <v>41</v>
      </c>
      <c r="AZ131" s="969" t="s">
        <v>137</v>
      </c>
      <c r="BA131" s="965"/>
      <c r="BB131" s="965"/>
      <c r="BC131" s="965"/>
      <c r="BD131" s="445"/>
      <c r="BE131" s="445"/>
      <c r="BF131" s="964"/>
      <c r="BG131" s="965">
        <v>11</v>
      </c>
      <c r="BH131" s="965"/>
      <c r="BI131" s="965"/>
      <c r="BJ131" s="965">
        <v>3</v>
      </c>
      <c r="BK131" s="965"/>
      <c r="BL131" s="965"/>
      <c r="BM131" s="965">
        <v>1</v>
      </c>
      <c r="BN131" s="965"/>
      <c r="BO131" s="965"/>
      <c r="BP131" s="964" t="s">
        <v>41</v>
      </c>
      <c r="BQ131" s="971"/>
      <c r="BR131" s="970"/>
      <c r="BS131" s="964"/>
      <c r="BT131" s="420"/>
      <c r="BU131" s="420"/>
      <c r="BV131" s="422"/>
      <c r="BW131" s="420"/>
      <c r="BX131" s="445"/>
      <c r="BY131" s="445"/>
      <c r="BZ131" s="445"/>
      <c r="CA131" s="445"/>
      <c r="CB131" s="445"/>
      <c r="CC131" s="702"/>
      <c r="CD131" s="445"/>
      <c r="CE131" s="972" t="str">
        <f>IFERROR(WWWW[[#This Row],['#_Water sources passed]]/WWWW[[#This Row],['#_Water sources tested for fecal coliform ]],"no test")</f>
        <v>no test</v>
      </c>
      <c r="CF131" s="970" t="str">
        <f>IFERROR(WWWW[[#This Row],['#_Household passed]]/WWWW[[#This Row],['#_Household water samples tested for fecal coliform]],"no test")</f>
        <v>no test</v>
      </c>
      <c r="CG131" s="971" t="str">
        <f>IF(AND(WWWW[[#This Row],[% of water sources passed]]="no test",WWWW[[#This Row],[% Household passed]]="no test"),"No Test","Tested")</f>
        <v>No Test</v>
      </c>
      <c r="CH131" s="971">
        <f>WWWW[[#This Row],['#_Constructed/existing protected hand dug well]]-WWWW[[#This Row],['#_Non-functional protected hand dug well]]</f>
        <v>0</v>
      </c>
      <c r="CI131" s="971">
        <f>(WWWW[[#This Row],['#_Constructed/Existing tube wells/boreholes/handpumps_WASH_agency]]+WWWW[[#This Row],['#_Non-Cluster partner water tube-wells/boreholes/handpumps]])-WWWW[[#This Row],['#_Non-functional tube wells/boreholes/handpumps]]</f>
        <v>3</v>
      </c>
      <c r="CJ131" s="971">
        <f>WWWW[[#This Row],['#_Constructed/Existingwater storage tank with gravity fed reticulation system]]-WWWW[[#This Row],['#_Non-functional storage tank gravity fed reticulation system]]</f>
        <v>0</v>
      </c>
      <c r="CK131" s="971">
        <f>(WWWW[[#This Row],['#_Water_Liters_supplied_by_Water boating or water trucking]]/90)/15</f>
        <v>0</v>
      </c>
      <c r="CL131" s="971">
        <f>WWWW[[#This Row],['#_Water_Liters_from_Constructed/Existing water distribution system from river or natural spring]]/90/15</f>
        <v>0</v>
      </c>
      <c r="CM131" s="421">
        <f>IF(WWWW[[#This Row],['#_of water points in TLS/CFS]]*500&gt;WWWW[[#This Row],[Total PoP ]],WWWW[[#This Row],[Total PoP ]],WWWW[[#This Row],['#_of water points in TLS/CFS]]*500)</f>
        <v>0</v>
      </c>
      <c r="CN131" s="421">
        <f>IF(WWWW[[#This Row],['#_of water points in THF]]*500&gt;WWWW[[#This Row],[Total PoP ]],WWWW[[#This Row],[Total PoP ]],WWWW[[#This Row],['#_of water points in THF]]*500)</f>
        <v>0</v>
      </c>
      <c r="CO131" s="421"/>
      <c r="CP13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1" s="970">
        <f>IF(WWWW[[#This Row],[Location Type 1]]="Village",WWWW[[#This Row],[Access to safe drinking water for Village]],WWWW[[#This Row],[Access to safe drinking water for Camp]])</f>
        <v>1</v>
      </c>
      <c r="CS131" s="968">
        <f>WWWW[[#This Row],[%Equitable and continuous access to sufficient quantity of safe drinking water]]*WWWW[[#This Row],[Total PoP ]]</f>
        <v>127</v>
      </c>
      <c r="CT131" s="970">
        <f>IF((WWWW[[#This Row],['#_Constructed/Existing protected/fenced ponds]]*250)/WWWW[[#This Row],[Total PoP ]]&gt;1,1,(WWWW[[#This Row],['#_Constructed/Existing protected/fenced ponds]]*250)/WWWW[[#This Row],[Total PoP ]])</f>
        <v>0</v>
      </c>
      <c r="CU131" s="968">
        <f>WWWW[[#This Row],[% Access to unimproved water points]]*WWWW[[#This Row],[Total PoP ]]</f>
        <v>0</v>
      </c>
      <c r="CV13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131" s="968">
        <f>WWWW[[#This Row],[HRP1]]/500</f>
        <v>0.254</v>
      </c>
      <c r="CY131" s="973">
        <f>1-WWWW[[#This Row],[% Equitable and continuous access to sufficient quantity of domestic water]]</f>
        <v>0</v>
      </c>
      <c r="CZ131" s="968">
        <f>WWWW[[#This Row],[%equitable and continuous access to sufficient quantity of safe drinking and domestic water''s GAP]]*WWWW[[#This Row],[Total PoP ]]</f>
        <v>0</v>
      </c>
      <c r="DA131" s="971">
        <f>IF(WWWW[[#This Row],[Total required water points]]-WWWW[[#This Row],['#Water points coverage]]&lt;0,0,WWWW[[#This Row],[Total required water points]]-WWWW[[#This Row],['#Water points coverage]])</f>
        <v>0.746</v>
      </c>
      <c r="DB131" s="971">
        <f>ROUND(IF(WWWW[[#This Row],[Total PoP ]]&lt;500,1,WWWW[[#This Row],[Total PoP ]]/500),0)</f>
        <v>1</v>
      </c>
      <c r="DC131" s="971">
        <f>(WWWW[[#This Row],['#_Constructed latrines_by_WASHAgencies]]+WWWW[[#This Row],['#_Non Cluster partner latrines]])-WWWW[[#This Row],['#_Non-functional latrines]]</f>
        <v>12</v>
      </c>
      <c r="DD131" s="619">
        <f>WWWW[[#This Row],[HRP2]]/WWWW[[#This Row],[Total PoP ]]</f>
        <v>1</v>
      </c>
      <c r="DE13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127</v>
      </c>
      <c r="DF13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1" s="421">
        <f>IF(WWWW[[#This Row],['# of functional latrines in THF supported by WASH partners during the reporting period2]]="",0,WWWW[[#This Row],['# of functional latrines in THF supported by WASH partners during the reporting period2]]*50)</f>
        <v>0</v>
      </c>
      <c r="DI131" s="971">
        <f>ROUND(IF(WWWW[[#This Row],[Location Type 1]]="camp",WWWW[[#This Row],[Total PoP ]]/20,IF(WWWW[[#This Row],[Location Type 1]]="Temporary Location",WWWW[[#This Row],[Total PoP ]]/50,(WWWW[[#This Row],[Total PoP ]]/6))),0)</f>
        <v>6</v>
      </c>
      <c r="DJ131" s="971">
        <f>IF(WWWW[[#This Row],[Total required Latrines]]-(WWWW[[#This Row],['#_Constructed latrines_by_WASHAgencies]]+WWWW[[#This Row],['#_Non Cluster partner latrines]])&lt;0,0,WWWW[[#This Row],[Total required Latrines]]-(WWWW[[#This Row],['#_Constructed latrines_by_WASHAgencies]]+WWWW[[#This Row],['#_Non Cluster partner latrines]]))</f>
        <v>0</v>
      </c>
      <c r="DK131" s="973">
        <f>1-WWWW[[#This Row],[% people access to functioning Latrine]]</f>
        <v>0</v>
      </c>
      <c r="DL131" s="972">
        <f>IF(OR(WWWW[[#This Row],['#_Non-functional latrines]]="",WWWW[[#This Row],['#_Non-functional latrines]]=0),0,WWWW[[#This Row],['#_Non-functional latrines]]/(WWWW[[#This Row],['#_Constructed latrines_by_WASHAgencies]]+WWWW[[#This Row],['#_Non Cluster partner latrines]]))</f>
        <v>0</v>
      </c>
      <c r="DM131" s="968">
        <f>IF(500*(WWWW[[#This Row],['#_male hygiene promoters]]+WWWW[[#This Row],['#_female hygiene promoters]])&gt;WWWW[[#This Row],[Total PoP ]],WWWW[[#This Row],[Total PoP ]],500*(WWWW[[#This Row],['#_male hygiene promoters]]+WWWW[[#This Row],['#_female hygiene promoters]]))</f>
        <v>127</v>
      </c>
      <c r="DN13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1" s="971">
        <f>IF(WWWW[[#This Row],['# People with access to soap]]&gt;WWWW[[#This Row],['# People with access to Sanity Pads]],WWWW[[#This Row],['# People with access to soap]],WWWW[[#This Row],['# People with access to Sanity Pads]])</f>
        <v>0</v>
      </c>
      <c r="DQ131" s="971">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R131" s="973">
        <f>IF(WWWW[[#This Row],[HRP3]]/WWWW[[#This Row],[Total PoP ]]&gt;1,1,WWWW[[#This Row],[HRP3]]/WWWW[[#This Row],[Total PoP ]])</f>
        <v>1</v>
      </c>
      <c r="DS131" s="972">
        <f>1-WWWW[[#This Row],[Hygiene Coverage%]]</f>
        <v>0</v>
      </c>
      <c r="DT131" s="970">
        <f>WWWW[[#This Row],['# people reached by regular dedicated hygiene promotion_5]]/WWWW[[#This Row],[Total PoP ]]</f>
        <v>1</v>
      </c>
      <c r="DU13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1" s="971">
        <f>WWWW[[#This Row],['#_Constructed/Existing hand washing stations]]-WWWW[[#This Row],['#_Non-Functional_hand_washing_stations]]</f>
        <v>11</v>
      </c>
      <c r="DX131" s="968">
        <f>IF(WWWW[[#This Row],['# Functional hand washing stations during reporting period]]*20&gt;WWWW[[#This Row],[Total HH]],WWWW[[#This Row],[Total HH]],WWWW[[#This Row],['# Functional hand washing stations during reporting period]]*20)</f>
        <v>30</v>
      </c>
      <c r="DY131" s="968">
        <f>IF(WWWW[[#This Row],[Is sufficient soap available for TLS? (Yes/No)]]="yes",WWWW[[#This Row],['#_Constructed/Existing hand washing stations at TLS/CFS/THF]],0)</f>
        <v>0</v>
      </c>
      <c r="DZ131" s="425">
        <f>IF(WWWW[[#This Row],['# Functional hand washing stations during reporting period]]*100&gt;WWWW[[#This Row],[Total PoP ]],WWWW[[#This Row],[Total PoP ]],WWWW[[#This Row],['# Functional hand washing stations during reporting period]]*100)</f>
        <v>127</v>
      </c>
      <c r="EA131" s="425" t="str">
        <f>IF(OR(WWWW[[#This Row],['#_students at TLS_CFS]]="",WWWW[[#This Row],['#_students at TLS_CFS]]=0),"No","Yes")</f>
        <v>No</v>
      </c>
      <c r="EB13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1" s="570">
        <f>WWWW[[#This Row],[%_of_affected_people_surveyed_who_report_feeling_satistfied_with_the_latrine_design_and_sanitation_service]]*WWWW[[#This Row],[Total PoP ]]</f>
        <v>0</v>
      </c>
      <c r="ED131" s="570">
        <f>WWWW[[#This Row],[%_of_affected_people_surveyed_who_report_feeling_satistfied_with_the_water_point_design_and_water_service]]*WWWW[[#This Row],[Total PoP ]]</f>
        <v>0</v>
      </c>
      <c r="EE131" s="570">
        <f>WWWW[[#This Row],[%_of_complaints_received_that_result_in_timely_corrective_action_and_feedback_to_the_community]]*WWWW[[#This Row],[Total PoP ]]</f>
        <v>0</v>
      </c>
      <c r="EF13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1" s="964" t="str">
        <f>VLOOKUP(WWWW[[#This Row],[Site Name]],SiteDB6[[Site Name]:[CCCM Management]],6,FALSE)</f>
        <v>Yes</v>
      </c>
      <c r="EJ131" s="964" t="str">
        <f>VLOOKUP(WWWW[[#This Row],[Site Name]],SiteDB6[[Site Name]:[CCCM Focal Agency]],7,FALSE)</f>
        <v>KMSS-LSO</v>
      </c>
      <c r="EK131" s="964" t="str">
        <f>VLOOKUP(WWWW[[#This Row],[Site Name]],SiteDB6[[Site Name]:[Location Type 1]],9,FALSE)</f>
        <v>Camp</v>
      </c>
      <c r="EL131" s="964" t="str">
        <f>VLOOKUP(WWWW[[#This Row],[Site Name]],SiteDB6[[Site Name]:[Type of Accommodation]],10,FALSE)</f>
        <v>Camp</v>
      </c>
      <c r="EM131" s="964" t="str">
        <f>VLOOKUP(WWWW[[#This Row],[Site Name]],SiteDB6[[Site Name]:[Ethnic or GCA/NGCA]],11,FALSE)</f>
        <v>GCA</v>
      </c>
      <c r="EN131" s="964">
        <f>VLOOKUP(WWWW[[#This Row],[Site Name]],SiteDB6[[Site Name]:[Lat]],12,FALSE)</f>
        <v>23.088011000000002</v>
      </c>
      <c r="EO131" s="964">
        <f>VLOOKUP(WWWW[[#This Row],[Site Name]],SiteDB6[[Site Name]:[Long]],13,FALSE)</f>
        <v>97.398698999999993</v>
      </c>
      <c r="EP131" s="964" t="str">
        <f>VLOOKUP(WWWW[[#This Row],[Site Name]],SiteDB6[[Site Name]:[Pcode]],3,FALSE)</f>
        <v>MMR015CMP050</v>
      </c>
      <c r="EQ131" s="969" t="str">
        <f t="shared" si="4"/>
        <v>Covered</v>
      </c>
      <c r="ER131" s="969" t="s">
        <v>3147</v>
      </c>
      <c r="ES131" s="964">
        <f>VLOOKUP(WWWW[[#This Row],[Site Name]],SiteDB6[[Site Name]:[Pop
(Kachin/Shan-CCCM as of March 2023)]],16,FALSE)</f>
        <v>24</v>
      </c>
      <c r="ET131" s="964">
        <f>VLOOKUP(WWWW[[#This Row],[Site Name]],SiteDB6[[Site Name]:[Pop
(Kachin/Shan-CCCM as of March 2023)]],17,FALSE)</f>
        <v>96</v>
      </c>
    </row>
    <row r="132" spans="1:150" hidden="1">
      <c r="A132" s="962" t="s">
        <v>2977</v>
      </c>
      <c r="B132" s="962" t="s">
        <v>2969</v>
      </c>
      <c r="C132" s="963" t="s">
        <v>2969</v>
      </c>
      <c r="D132" s="963" t="s">
        <v>2970</v>
      </c>
      <c r="E132" s="963" t="s">
        <v>515</v>
      </c>
      <c r="F132" s="963" t="s">
        <v>536</v>
      </c>
      <c r="G132" s="964" t="str">
        <f>VLOOKUP(WWWW[[#This Row],[Site Name]],SiteDB6[[Site Name]:[Location Type]],8,FALSE)</f>
        <v>Camp</v>
      </c>
      <c r="H132" s="963" t="s">
        <v>547</v>
      </c>
      <c r="I132" s="965">
        <v>32</v>
      </c>
      <c r="J132" s="965">
        <v>141</v>
      </c>
      <c r="K132" s="966">
        <v>44511</v>
      </c>
      <c r="L132" s="967">
        <v>44926</v>
      </c>
      <c r="M132" s="965"/>
      <c r="N132" s="965"/>
      <c r="O132" s="965">
        <v>1</v>
      </c>
      <c r="P132" s="965"/>
      <c r="Q132" s="968" t="s">
        <v>41</v>
      </c>
      <c r="R132" s="965">
        <v>3</v>
      </c>
      <c r="S132" s="965">
        <v>3</v>
      </c>
      <c r="T132" s="445"/>
      <c r="U132" s="965"/>
      <c r="V132" s="965"/>
      <c r="W132" s="965">
        <v>1</v>
      </c>
      <c r="X132" s="965"/>
      <c r="Y132" s="965"/>
      <c r="Z132" s="965"/>
      <c r="AA132" s="965">
        <v>1</v>
      </c>
      <c r="AB132" s="965"/>
      <c r="AC132" s="965"/>
      <c r="AD132" s="965"/>
      <c r="AE132" s="965"/>
      <c r="AF132" s="965"/>
      <c r="AG132" s="965"/>
      <c r="AH132" s="965"/>
      <c r="AI132" s="965"/>
      <c r="AJ132" s="965"/>
      <c r="AK132" s="965"/>
      <c r="AL132" s="965"/>
      <c r="AM132" s="965"/>
      <c r="AN132" s="965"/>
      <c r="AO132" s="445"/>
      <c r="AP132" s="969"/>
      <c r="AQ132" s="965">
        <v>8</v>
      </c>
      <c r="AR132" s="965"/>
      <c r="AS132" s="970"/>
      <c r="AT132" s="965"/>
      <c r="AU132" s="965"/>
      <c r="AV132" s="965"/>
      <c r="AW132" s="965"/>
      <c r="AX132" s="965"/>
      <c r="AY132" s="964" t="s">
        <v>41</v>
      </c>
      <c r="AZ132" s="969" t="s">
        <v>137</v>
      </c>
      <c r="BA132" s="965"/>
      <c r="BB132" s="965"/>
      <c r="BC132" s="965"/>
      <c r="BD132" s="445"/>
      <c r="BE132" s="445"/>
      <c r="BF132" s="964"/>
      <c r="BG132" s="965">
        <v>5</v>
      </c>
      <c r="BH132" s="965"/>
      <c r="BI132" s="965"/>
      <c r="BJ132" s="965">
        <v>2</v>
      </c>
      <c r="BK132" s="965"/>
      <c r="BL132" s="965"/>
      <c r="BM132" s="965">
        <v>1</v>
      </c>
      <c r="BN132" s="965"/>
      <c r="BO132" s="965"/>
      <c r="BP132" s="964" t="s">
        <v>41</v>
      </c>
      <c r="BQ132" s="971"/>
      <c r="BR132" s="970"/>
      <c r="BS132" s="964"/>
      <c r="BT132" s="420"/>
      <c r="BU132" s="420"/>
      <c r="BV132" s="422"/>
      <c r="BW132" s="420"/>
      <c r="BX132" s="445"/>
      <c r="BY132" s="445"/>
      <c r="BZ132" s="445"/>
      <c r="CA132" s="445"/>
      <c r="CB132" s="445"/>
      <c r="CC132" s="702"/>
      <c r="CD132" s="445"/>
      <c r="CE132" s="972" t="str">
        <f>IFERROR(WWWW[[#This Row],['#_Water sources passed]]/WWWW[[#This Row],['#_Water sources tested for fecal coliform ]],"no test")</f>
        <v>no test</v>
      </c>
      <c r="CF132" s="970" t="str">
        <f>IFERROR(WWWW[[#This Row],['#_Household passed]]/WWWW[[#This Row],['#_Household water samples tested for fecal coliform]],"no test")</f>
        <v>no test</v>
      </c>
      <c r="CG132" s="971" t="str">
        <f>IF(AND(WWWW[[#This Row],[% of water sources passed]]="no test",WWWW[[#This Row],[% Household passed]]="no test"),"No Test","Tested")</f>
        <v>No Test</v>
      </c>
      <c r="CH132" s="971">
        <f>WWWW[[#This Row],['#_Constructed/existing protected hand dug well]]-WWWW[[#This Row],['#_Non-functional protected hand dug well]]</f>
        <v>0</v>
      </c>
      <c r="CI132" s="971">
        <f>(WWWW[[#This Row],['#_Constructed/Existing tube wells/boreholes/handpumps_WASH_agency]]+WWWW[[#This Row],['#_Non-Cluster partner water tube-wells/boreholes/handpumps]])-WWWW[[#This Row],['#_Non-functional tube wells/boreholes/handpumps]]</f>
        <v>1</v>
      </c>
      <c r="CJ132" s="971">
        <f>WWWW[[#This Row],['#_Constructed/Existingwater storage tank with gravity fed reticulation system]]-WWWW[[#This Row],['#_Non-functional storage tank gravity fed reticulation system]]</f>
        <v>1</v>
      </c>
      <c r="CK132" s="971">
        <f>(WWWW[[#This Row],['#_Water_Liters_supplied_by_Water boating or water trucking]]/90)/15</f>
        <v>0</v>
      </c>
      <c r="CL132" s="971">
        <f>WWWW[[#This Row],['#_Water_Liters_from_Constructed/Existing water distribution system from river or natural spring]]/90/15</f>
        <v>0</v>
      </c>
      <c r="CM132" s="421">
        <f>IF(WWWW[[#This Row],['#_of water points in TLS/CFS]]*500&gt;WWWW[[#This Row],[Total PoP ]],WWWW[[#This Row],[Total PoP ]],WWWW[[#This Row],['#_of water points in TLS/CFS]]*500)</f>
        <v>0</v>
      </c>
      <c r="CN132" s="421">
        <f>IF(WWWW[[#This Row],['#_of water points in THF]]*500&gt;WWWW[[#This Row],[Total PoP ]],WWWW[[#This Row],[Total PoP ]],WWWW[[#This Row],['#_of water points in THF]]*500)</f>
        <v>0</v>
      </c>
      <c r="CO132" s="421"/>
      <c r="CP13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2" s="970">
        <f>IF(WWWW[[#This Row],[Location Type 1]]="Village",WWWW[[#This Row],[Access to safe drinking water for Village]],WWWW[[#This Row],[Access to safe drinking water for Camp]])</f>
        <v>1</v>
      </c>
      <c r="CS132" s="968">
        <f>WWWW[[#This Row],[%Equitable and continuous access to sufficient quantity of safe drinking water]]*WWWW[[#This Row],[Total PoP ]]</f>
        <v>141</v>
      </c>
      <c r="CT132" s="970">
        <f>IF((WWWW[[#This Row],['#_Constructed/Existing protected/fenced ponds]]*250)/WWWW[[#This Row],[Total PoP ]]&gt;1,1,(WWWW[[#This Row],['#_Constructed/Existing protected/fenced ponds]]*250)/WWWW[[#This Row],[Total PoP ]])</f>
        <v>0</v>
      </c>
      <c r="CU132" s="968">
        <f>WWWW[[#This Row],[% Access to unimproved water points]]*WWWW[[#This Row],[Total PoP ]]</f>
        <v>0</v>
      </c>
      <c r="CV13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132" s="968">
        <f>WWWW[[#This Row],[HRP1]]/500</f>
        <v>0.28199999999999997</v>
      </c>
      <c r="CY132" s="973">
        <f>1-WWWW[[#This Row],[% Equitable and continuous access to sufficient quantity of domestic water]]</f>
        <v>0</v>
      </c>
      <c r="CZ132" s="968">
        <f>WWWW[[#This Row],[%equitable and continuous access to sufficient quantity of safe drinking and domestic water''s GAP]]*WWWW[[#This Row],[Total PoP ]]</f>
        <v>0</v>
      </c>
      <c r="DA132" s="971">
        <f>IF(WWWW[[#This Row],[Total required water points]]-WWWW[[#This Row],['#Water points coverage]]&lt;0,0,WWWW[[#This Row],[Total required water points]]-WWWW[[#This Row],['#Water points coverage]])</f>
        <v>0.71799999999999997</v>
      </c>
      <c r="DB132" s="971">
        <f>ROUND(IF(WWWW[[#This Row],[Total PoP ]]&lt;500,1,WWWW[[#This Row],[Total PoP ]]/500),0)</f>
        <v>1</v>
      </c>
      <c r="DC132" s="971">
        <f>(WWWW[[#This Row],['#_Constructed latrines_by_WASHAgencies]]+WWWW[[#This Row],['#_Non Cluster partner latrines]])-WWWW[[#This Row],['#_Non-functional latrines]]</f>
        <v>8</v>
      </c>
      <c r="DD132" s="619">
        <f>WWWW[[#This Row],[HRP2]]/WWWW[[#This Row],[Total PoP ]]</f>
        <v>1</v>
      </c>
      <c r="DE13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13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2" s="421">
        <f>IF(WWWW[[#This Row],['# of functional latrines in THF supported by WASH partners during the reporting period2]]="",0,WWWW[[#This Row],['# of functional latrines in THF supported by WASH partners during the reporting period2]]*50)</f>
        <v>0</v>
      </c>
      <c r="DI132" s="971">
        <f>ROUND(IF(WWWW[[#This Row],[Location Type 1]]="camp",WWWW[[#This Row],[Total PoP ]]/20,IF(WWWW[[#This Row],[Location Type 1]]="Temporary Location",WWWW[[#This Row],[Total PoP ]]/50,(WWWW[[#This Row],[Total PoP ]]/6))),0)</f>
        <v>7</v>
      </c>
      <c r="DJ132" s="971">
        <f>IF(WWWW[[#This Row],[Total required Latrines]]-(WWWW[[#This Row],['#_Constructed latrines_by_WASHAgencies]]+WWWW[[#This Row],['#_Non Cluster partner latrines]])&lt;0,0,WWWW[[#This Row],[Total required Latrines]]-(WWWW[[#This Row],['#_Constructed latrines_by_WASHAgencies]]+WWWW[[#This Row],['#_Non Cluster partner latrines]]))</f>
        <v>0</v>
      </c>
      <c r="DK132" s="973">
        <f>1-WWWW[[#This Row],[% people access to functioning Latrine]]</f>
        <v>0</v>
      </c>
      <c r="DL132" s="972">
        <f>IF(OR(WWWW[[#This Row],['#_Non-functional latrines]]="",WWWW[[#This Row],['#_Non-functional latrines]]=0),0,WWWW[[#This Row],['#_Non-functional latrines]]/(WWWW[[#This Row],['#_Constructed latrines_by_WASHAgencies]]+WWWW[[#This Row],['#_Non Cluster partner latrines]]))</f>
        <v>0</v>
      </c>
      <c r="DM132" s="968">
        <f>IF(500*(WWWW[[#This Row],['#_male hygiene promoters]]+WWWW[[#This Row],['#_female hygiene promoters]])&gt;WWWW[[#This Row],[Total PoP ]],WWWW[[#This Row],[Total PoP ]],500*(WWWW[[#This Row],['#_male hygiene promoters]]+WWWW[[#This Row],['#_female hygiene promoters]]))</f>
        <v>141</v>
      </c>
      <c r="DN13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2" s="971">
        <f>IF(WWWW[[#This Row],['# People with access to soap]]&gt;WWWW[[#This Row],['# People with access to Sanity Pads]],WWWW[[#This Row],['# People with access to soap]],WWWW[[#This Row],['# People with access to Sanity Pads]])</f>
        <v>0</v>
      </c>
      <c r="DQ132" s="971">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R132" s="973">
        <f>IF(WWWW[[#This Row],[HRP3]]/WWWW[[#This Row],[Total PoP ]]&gt;1,1,WWWW[[#This Row],[HRP3]]/WWWW[[#This Row],[Total PoP ]])</f>
        <v>1</v>
      </c>
      <c r="DS132" s="972">
        <f>1-WWWW[[#This Row],[Hygiene Coverage%]]</f>
        <v>0</v>
      </c>
      <c r="DT132" s="970">
        <f>WWWW[[#This Row],['# people reached by regular dedicated hygiene promotion_5]]/WWWW[[#This Row],[Total PoP ]]</f>
        <v>1</v>
      </c>
      <c r="DU13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2" s="971">
        <f>WWWW[[#This Row],['#_Constructed/Existing hand washing stations]]-WWWW[[#This Row],['#_Non-Functional_hand_washing_stations]]</f>
        <v>5</v>
      </c>
      <c r="DX132" s="968">
        <f>IF(WWWW[[#This Row],['# Functional hand washing stations during reporting period]]*20&gt;WWWW[[#This Row],[Total HH]],WWWW[[#This Row],[Total HH]],WWWW[[#This Row],['# Functional hand washing stations during reporting period]]*20)</f>
        <v>32</v>
      </c>
      <c r="DY132" s="968">
        <f>IF(WWWW[[#This Row],[Is sufficient soap available for TLS? (Yes/No)]]="yes",WWWW[[#This Row],['#_Constructed/Existing hand washing stations at TLS/CFS/THF]],0)</f>
        <v>0</v>
      </c>
      <c r="DZ132" s="425">
        <f>IF(WWWW[[#This Row],['# Functional hand washing stations during reporting period]]*100&gt;WWWW[[#This Row],[Total PoP ]],WWWW[[#This Row],[Total PoP ]],WWWW[[#This Row],['# Functional hand washing stations during reporting period]]*100)</f>
        <v>141</v>
      </c>
      <c r="EA132" s="425" t="str">
        <f>IF(OR(WWWW[[#This Row],['#_students at TLS_CFS]]="",WWWW[[#This Row],['#_students at TLS_CFS]]=0),"No","Yes")</f>
        <v>No</v>
      </c>
      <c r="EB13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2" s="570">
        <f>WWWW[[#This Row],[%_of_affected_people_surveyed_who_report_feeling_satistfied_with_the_latrine_design_and_sanitation_service]]*WWWW[[#This Row],[Total PoP ]]</f>
        <v>0</v>
      </c>
      <c r="ED132" s="570">
        <f>WWWW[[#This Row],[%_of_affected_people_surveyed_who_report_feeling_satistfied_with_the_water_point_design_and_water_service]]*WWWW[[#This Row],[Total PoP ]]</f>
        <v>0</v>
      </c>
      <c r="EE132" s="570">
        <f>WWWW[[#This Row],[%_of_complaints_received_that_result_in_timely_corrective_action_and_feedback_to_the_community]]*WWWW[[#This Row],[Total PoP ]]</f>
        <v>0</v>
      </c>
      <c r="EF13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2" s="964" t="str">
        <f>VLOOKUP(WWWW[[#This Row],[Site Name]],SiteDB6[[Site Name]:[CCCM Management]],6,FALSE)</f>
        <v>Yes</v>
      </c>
      <c r="EJ132" s="964" t="str">
        <f>VLOOKUP(WWWW[[#This Row],[Site Name]],SiteDB6[[Site Name]:[CCCM Focal Agency]],7,FALSE)</f>
        <v>KBC-NSS</v>
      </c>
      <c r="EK132" s="964" t="str">
        <f>VLOOKUP(WWWW[[#This Row],[Site Name]],SiteDB6[[Site Name]:[Location Type 1]],9,FALSE)</f>
        <v>Camp</v>
      </c>
      <c r="EL132" s="964" t="str">
        <f>VLOOKUP(WWWW[[#This Row],[Site Name]],SiteDB6[[Site Name]:[Type of Accommodation]],10,FALSE)</f>
        <v>Camp</v>
      </c>
      <c r="EM132" s="964" t="str">
        <f>VLOOKUP(WWWW[[#This Row],[Site Name]],SiteDB6[[Site Name]:[Ethnic or GCA/NGCA]],11,FALSE)</f>
        <v>GCA</v>
      </c>
      <c r="EN132" s="964">
        <f>VLOOKUP(WWWW[[#This Row],[Site Name]],SiteDB6[[Site Name]:[Lat]],12,FALSE)</f>
        <v>23.094290000000001</v>
      </c>
      <c r="EO132" s="964">
        <f>VLOOKUP(WWWW[[#This Row],[Site Name]],SiteDB6[[Site Name]:[Long]],13,FALSE)</f>
        <v>97.404089999999997</v>
      </c>
      <c r="EP132" s="964" t="str">
        <f>VLOOKUP(WWWW[[#This Row],[Site Name]],SiteDB6[[Site Name]:[Pcode]],3,FALSE)</f>
        <v>MMR015CMP014</v>
      </c>
      <c r="EQ132" s="969" t="str">
        <f t="shared" si="4"/>
        <v>Covered</v>
      </c>
      <c r="ER132" s="969" t="s">
        <v>3147</v>
      </c>
      <c r="ES132" s="964">
        <f>VLOOKUP(WWWW[[#This Row],[Site Name]],SiteDB6[[Site Name]:[Pop
(Kachin/Shan-CCCM as of March 2023)]],16,FALSE)</f>
        <v>21</v>
      </c>
      <c r="ET132" s="964">
        <f>VLOOKUP(WWWW[[#This Row],[Site Name]],SiteDB6[[Site Name]:[Pop
(Kachin/Shan-CCCM as of March 2023)]],17,FALSE)</f>
        <v>89</v>
      </c>
    </row>
    <row r="133" spans="1:150" hidden="1">
      <c r="A133" s="962" t="s">
        <v>2977</v>
      </c>
      <c r="B133" s="962" t="s">
        <v>2356</v>
      </c>
      <c r="C133" s="963" t="s">
        <v>2356</v>
      </c>
      <c r="D133" s="963" t="s">
        <v>2648</v>
      </c>
      <c r="E133" s="963" t="s">
        <v>515</v>
      </c>
      <c r="F133" s="963" t="s">
        <v>516</v>
      </c>
      <c r="G133" s="964" t="str">
        <f>VLOOKUP(WWWW[[#This Row],[Site Name]],SiteDB6[[Site Name]:[Location Type]],8,FALSE)</f>
        <v>Camp</v>
      </c>
      <c r="H133" s="963" t="s">
        <v>517</v>
      </c>
      <c r="I133" s="965">
        <v>44</v>
      </c>
      <c r="J133" s="965">
        <v>213</v>
      </c>
      <c r="K133" s="966" t="s">
        <v>2716</v>
      </c>
      <c r="L133" s="967" t="s">
        <v>2971</v>
      </c>
      <c r="M133" s="965"/>
      <c r="N133" s="965">
        <v>2</v>
      </c>
      <c r="O133" s="965"/>
      <c r="P133" s="965"/>
      <c r="Q133" s="968" t="s">
        <v>41</v>
      </c>
      <c r="R133" s="965">
        <v>3</v>
      </c>
      <c r="S133" s="965">
        <v>9</v>
      </c>
      <c r="T133" s="445">
        <v>1</v>
      </c>
      <c r="U133" s="965"/>
      <c r="V133" s="965"/>
      <c r="W133" s="965"/>
      <c r="X133" s="965">
        <v>2</v>
      </c>
      <c r="Y133" s="965"/>
      <c r="Z133" s="965"/>
      <c r="AA133" s="965"/>
      <c r="AB133" s="965"/>
      <c r="AC133" s="965"/>
      <c r="AD133" s="965"/>
      <c r="AE133" s="965">
        <v>1</v>
      </c>
      <c r="AF133" s="965"/>
      <c r="AG133" s="965"/>
      <c r="AH133" s="965">
        <v>2</v>
      </c>
      <c r="AI133" s="965"/>
      <c r="AJ133" s="965"/>
      <c r="AK133" s="965"/>
      <c r="AL133" s="965"/>
      <c r="AM133" s="965">
        <v>3</v>
      </c>
      <c r="AN133" s="965"/>
      <c r="AO133" s="445"/>
      <c r="AP133" s="969"/>
      <c r="AQ133" s="965">
        <v>14</v>
      </c>
      <c r="AR133" s="965"/>
      <c r="AS133" s="970"/>
      <c r="AT133" s="965"/>
      <c r="AU133" s="965"/>
      <c r="AV133" s="965"/>
      <c r="AW133" s="965"/>
      <c r="AX133" s="965">
        <v>14</v>
      </c>
      <c r="AY133" s="964" t="s">
        <v>41</v>
      </c>
      <c r="AZ133" s="969" t="s">
        <v>137</v>
      </c>
      <c r="BA133" s="965"/>
      <c r="BB133" s="965"/>
      <c r="BC133" s="965"/>
      <c r="BD133" s="445"/>
      <c r="BE133" s="445"/>
      <c r="BF133" s="964"/>
      <c r="BG133" s="965">
        <v>3</v>
      </c>
      <c r="BH133" s="965"/>
      <c r="BI133" s="965"/>
      <c r="BJ133" s="965">
        <v>2</v>
      </c>
      <c r="BK133" s="965"/>
      <c r="BL133" s="965">
        <v>1</v>
      </c>
      <c r="BM133" s="965">
        <v>1</v>
      </c>
      <c r="BN133" s="965"/>
      <c r="BO133" s="965"/>
      <c r="BP133" s="964" t="s">
        <v>41</v>
      </c>
      <c r="BQ133" s="971"/>
      <c r="BR133" s="970"/>
      <c r="BS133" s="964"/>
      <c r="BT133" s="420"/>
      <c r="BU133" s="420"/>
      <c r="BV133" s="422"/>
      <c r="BW133" s="420"/>
      <c r="BX133" s="445"/>
      <c r="BY133" s="445"/>
      <c r="BZ133" s="445"/>
      <c r="CA133" s="445"/>
      <c r="CB133" s="445"/>
      <c r="CC133" s="702"/>
      <c r="CD133" s="445"/>
      <c r="CE133" s="972" t="str">
        <f>IFERROR(WWWW[[#This Row],['#_Water sources passed]]/WWWW[[#This Row],['#_Water sources tested for fecal coliform ]],"no test")</f>
        <v>no test</v>
      </c>
      <c r="CF133" s="970" t="str">
        <f>IFERROR(WWWW[[#This Row],['#_Household passed]]/WWWW[[#This Row],['#_Household water samples tested for fecal coliform]],"no test")</f>
        <v>no test</v>
      </c>
      <c r="CG133" s="971" t="str">
        <f>IF(AND(WWWW[[#This Row],[% of water sources passed]]="no test",WWWW[[#This Row],[% Household passed]]="no test"),"No Test","Tested")</f>
        <v>No Test</v>
      </c>
      <c r="CH133" s="971">
        <f>WWWW[[#This Row],['#_Constructed/existing protected hand dug well]]-WWWW[[#This Row],['#_Non-functional protected hand dug well]]</f>
        <v>1</v>
      </c>
      <c r="CI133" s="971">
        <f>(WWWW[[#This Row],['#_Constructed/Existing tube wells/boreholes/handpumps_WASH_agency]]+WWWW[[#This Row],['#_Non-Cluster partner water tube-wells/boreholes/handpumps]])-WWWW[[#This Row],['#_Non-functional tube wells/boreholes/handpumps]]</f>
        <v>2</v>
      </c>
      <c r="CJ133" s="971">
        <f>WWWW[[#This Row],['#_Constructed/Existingwater storage tank with gravity fed reticulation system]]-WWWW[[#This Row],['#_Non-functional storage tank gravity fed reticulation system]]</f>
        <v>0</v>
      </c>
      <c r="CK133" s="971">
        <f>(WWWW[[#This Row],['#_Water_Liters_supplied_by_Water boating or water trucking]]/90)/15</f>
        <v>0</v>
      </c>
      <c r="CL133" s="971">
        <f>WWWW[[#This Row],['#_Water_Liters_from_Constructed/Existing water distribution system from river or natural spring]]/90/15</f>
        <v>0</v>
      </c>
      <c r="CM133" s="421">
        <f>IF(WWWW[[#This Row],['#_of water points in TLS/CFS]]*500&gt;WWWW[[#This Row],[Total PoP ]],WWWW[[#This Row],[Total PoP ]],WWWW[[#This Row],['#_of water points in TLS/CFS]]*500)</f>
        <v>0</v>
      </c>
      <c r="CN133" s="421">
        <f>IF(WWWW[[#This Row],['#_of water points in THF]]*500&gt;WWWW[[#This Row],[Total PoP ]],WWWW[[#This Row],[Total PoP ]],WWWW[[#This Row],['#_of water points in THF]]*500)</f>
        <v>0</v>
      </c>
      <c r="CO133" s="421"/>
      <c r="CP13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3" s="970">
        <f>IF(WWWW[[#This Row],[Location Type 1]]="Village",WWWW[[#This Row],[Access to safe drinking water for Village]],WWWW[[#This Row],[Access to safe drinking water for Camp]])</f>
        <v>1</v>
      </c>
      <c r="CS133" s="968">
        <f>WWWW[[#This Row],[%Equitable and continuous access to sufficient quantity of safe drinking water]]*WWWW[[#This Row],[Total PoP ]]</f>
        <v>213</v>
      </c>
      <c r="CT133" s="970">
        <f>IF((WWWW[[#This Row],['#_Constructed/Existing protected/fenced ponds]]*250)/WWWW[[#This Row],[Total PoP ]]&gt;1,1,(WWWW[[#This Row],['#_Constructed/Existing protected/fenced ponds]]*250)/WWWW[[#This Row],[Total PoP ]])</f>
        <v>1</v>
      </c>
      <c r="CU133" s="968">
        <f>WWWW[[#This Row],[% Access to unimproved water points]]*WWWW[[#This Row],[Total PoP ]]</f>
        <v>213</v>
      </c>
      <c r="CV13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133" s="968">
        <f>WWWW[[#This Row],[HRP1]]/500</f>
        <v>0.42599999999999999</v>
      </c>
      <c r="CY133" s="973">
        <f>1-WWWW[[#This Row],[% Equitable and continuous access to sufficient quantity of domestic water]]</f>
        <v>0</v>
      </c>
      <c r="CZ133" s="968">
        <f>WWWW[[#This Row],[%equitable and continuous access to sufficient quantity of safe drinking and domestic water''s GAP]]*WWWW[[#This Row],[Total PoP ]]</f>
        <v>0</v>
      </c>
      <c r="DA133" s="971">
        <f>IF(WWWW[[#This Row],[Total required water points]]-WWWW[[#This Row],['#Water points coverage]]&lt;0,0,WWWW[[#This Row],[Total required water points]]-WWWW[[#This Row],['#Water points coverage]])</f>
        <v>0.57400000000000007</v>
      </c>
      <c r="DB133" s="971">
        <f>ROUND(IF(WWWW[[#This Row],[Total PoP ]]&lt;500,1,WWWW[[#This Row],[Total PoP ]]/500),0)</f>
        <v>1</v>
      </c>
      <c r="DC133" s="971">
        <f>(WWWW[[#This Row],['#_Constructed latrines_by_WASHAgencies]]+WWWW[[#This Row],['#_Non Cluster partner latrines]])-WWWW[[#This Row],['#_Non-functional latrines]]</f>
        <v>14</v>
      </c>
      <c r="DD133" s="619">
        <f>WWWW[[#This Row],[HRP2]]/WWWW[[#This Row],[Total PoP ]]</f>
        <v>1</v>
      </c>
      <c r="DE13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213</v>
      </c>
      <c r="DF13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3" s="421">
        <f>IF(WWWW[[#This Row],['# of functional latrines in THF supported by WASH partners during the reporting period2]]="",0,WWWW[[#This Row],['# of functional latrines in THF supported by WASH partners during the reporting period2]]*50)</f>
        <v>0</v>
      </c>
      <c r="DI133" s="971">
        <f>ROUND(IF(WWWW[[#This Row],[Location Type 1]]="camp",WWWW[[#This Row],[Total PoP ]]/20,IF(WWWW[[#This Row],[Location Type 1]]="Temporary Location",WWWW[[#This Row],[Total PoP ]]/50,(WWWW[[#This Row],[Total PoP ]]/6))),0)</f>
        <v>11</v>
      </c>
      <c r="DJ133" s="971">
        <f>IF(WWWW[[#This Row],[Total required Latrines]]-(WWWW[[#This Row],['#_Constructed latrines_by_WASHAgencies]]+WWWW[[#This Row],['#_Non Cluster partner latrines]])&lt;0,0,WWWW[[#This Row],[Total required Latrines]]-(WWWW[[#This Row],['#_Constructed latrines_by_WASHAgencies]]+WWWW[[#This Row],['#_Non Cluster partner latrines]]))</f>
        <v>0</v>
      </c>
      <c r="DK133" s="973">
        <f>1-WWWW[[#This Row],[% people access to functioning Latrine]]</f>
        <v>0</v>
      </c>
      <c r="DL133" s="972">
        <f>IF(OR(WWWW[[#This Row],['#_Non-functional latrines]]="",WWWW[[#This Row],['#_Non-functional latrines]]=0),0,WWWW[[#This Row],['#_Non-functional latrines]]/(WWWW[[#This Row],['#_Constructed latrines_by_WASHAgencies]]+WWWW[[#This Row],['#_Non Cluster partner latrines]]))</f>
        <v>0</v>
      </c>
      <c r="DM133" s="968">
        <f>IF(500*(WWWW[[#This Row],['#_male hygiene promoters]]+WWWW[[#This Row],['#_female hygiene promoters]])&gt;WWWW[[#This Row],[Total PoP ]],WWWW[[#This Row],[Total PoP ]],500*(WWWW[[#This Row],['#_male hygiene promoters]]+WWWW[[#This Row],['#_female hygiene promoters]]))</f>
        <v>213</v>
      </c>
      <c r="DN13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3" s="971">
        <f>IF(WWWW[[#This Row],['# People with access to soap]]&gt;WWWW[[#This Row],['# People with access to Sanity Pads]],WWWW[[#This Row],['# People with access to soap]],WWWW[[#This Row],['# People with access to Sanity Pads]])</f>
        <v>0</v>
      </c>
      <c r="DQ133" s="971">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133" s="973">
        <f>IF(WWWW[[#This Row],[HRP3]]/WWWW[[#This Row],[Total PoP ]]&gt;1,1,WWWW[[#This Row],[HRP3]]/WWWW[[#This Row],[Total PoP ]])</f>
        <v>1</v>
      </c>
      <c r="DS133" s="972">
        <f>1-WWWW[[#This Row],[Hygiene Coverage%]]</f>
        <v>0</v>
      </c>
      <c r="DT133" s="970">
        <f>WWWW[[#This Row],['# people reached by regular dedicated hygiene promotion_5]]/WWWW[[#This Row],[Total PoP ]]</f>
        <v>1</v>
      </c>
      <c r="DU13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3" s="971">
        <f>WWWW[[#This Row],['#_Constructed/Existing hand washing stations]]-WWWW[[#This Row],['#_Non-Functional_hand_washing_stations]]</f>
        <v>3</v>
      </c>
      <c r="DX133" s="968">
        <f>IF(WWWW[[#This Row],['# Functional hand washing stations during reporting period]]*20&gt;WWWW[[#This Row],[Total HH]],WWWW[[#This Row],[Total HH]],WWWW[[#This Row],['# Functional hand washing stations during reporting period]]*20)</f>
        <v>44</v>
      </c>
      <c r="DY133" s="968">
        <f>IF(WWWW[[#This Row],[Is sufficient soap available for TLS? (Yes/No)]]="yes",WWWW[[#This Row],['#_Constructed/Existing hand washing stations at TLS/CFS/THF]],0)</f>
        <v>3</v>
      </c>
      <c r="DZ133" s="425">
        <f>IF(WWWW[[#This Row],['# Functional hand washing stations during reporting period]]*100&gt;WWWW[[#This Row],[Total PoP ]],WWWW[[#This Row],[Total PoP ]],WWWW[[#This Row],['# Functional hand washing stations during reporting period]]*100)</f>
        <v>213</v>
      </c>
      <c r="EA133" s="425" t="str">
        <f>IF(OR(WWWW[[#This Row],['#_students at TLS_CFS]]="",WWWW[[#This Row],['#_students at TLS_CFS]]=0),"No","Yes")</f>
        <v>No</v>
      </c>
      <c r="EB13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3" s="570">
        <f>WWWW[[#This Row],[%_of_affected_people_surveyed_who_report_feeling_satistfied_with_the_latrine_design_and_sanitation_service]]*WWWW[[#This Row],[Total PoP ]]</f>
        <v>0</v>
      </c>
      <c r="ED133" s="570">
        <f>WWWW[[#This Row],[%_of_affected_people_surveyed_who_report_feeling_satistfied_with_the_water_point_design_and_water_service]]*WWWW[[#This Row],[Total PoP ]]</f>
        <v>0</v>
      </c>
      <c r="EE133" s="570">
        <f>WWWW[[#This Row],[%_of_complaints_received_that_result_in_timely_corrective_action_and_feedback_to_the_community]]*WWWW[[#This Row],[Total PoP ]]</f>
        <v>0</v>
      </c>
      <c r="EF13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3" s="964" t="str">
        <f>VLOOKUP(WWWW[[#This Row],[Site Name]],SiteDB6[[Site Name]:[CCCM Management]],6,FALSE)</f>
        <v>Yes</v>
      </c>
      <c r="EJ133" s="964" t="str">
        <f>VLOOKUP(WWWW[[#This Row],[Site Name]],SiteDB6[[Site Name]:[CCCM Focal Agency]],7,FALSE)</f>
        <v>KMSS-LSO</v>
      </c>
      <c r="EK133" s="964" t="str">
        <f>VLOOKUP(WWWW[[#This Row],[Site Name]],SiteDB6[[Site Name]:[Location Type 1]],9,FALSE)</f>
        <v>Camp</v>
      </c>
      <c r="EL133" s="964" t="str">
        <f>VLOOKUP(WWWW[[#This Row],[Site Name]],SiteDB6[[Site Name]:[Type of Accommodation]],10,FALSE)</f>
        <v>Camp</v>
      </c>
      <c r="EM133" s="964" t="str">
        <f>VLOOKUP(WWWW[[#This Row],[Site Name]],SiteDB6[[Site Name]:[Ethnic or GCA/NGCA]],11,FALSE)</f>
        <v>GCA</v>
      </c>
      <c r="EN133" s="964">
        <f>VLOOKUP(WWWW[[#This Row],[Site Name]],SiteDB6[[Site Name]:[Lat]],12,FALSE)</f>
        <v>23.828150000000001</v>
      </c>
      <c r="EO133" s="964">
        <f>VLOOKUP(WWWW[[#This Row],[Site Name]],SiteDB6[[Site Name]:[Long]],13,FALSE)</f>
        <v>97.670360000000002</v>
      </c>
      <c r="EP133" s="964" t="str">
        <f>VLOOKUP(WWWW[[#This Row],[Site Name]],SiteDB6[[Site Name]:[Pcode]],3,FALSE)</f>
        <v>MMR015CMP003</v>
      </c>
      <c r="EQ133" s="969" t="str">
        <f t="shared" si="4"/>
        <v>Covered</v>
      </c>
      <c r="ER133" s="969" t="s">
        <v>3147</v>
      </c>
      <c r="ES133" s="964">
        <f>VLOOKUP(WWWW[[#This Row],[Site Name]],SiteDB6[[Site Name]:[Pop
(Kachin/Shan-CCCM as of March 2023)]],16,FALSE)</f>
        <v>44</v>
      </c>
      <c r="ET133" s="964">
        <f>VLOOKUP(WWWW[[#This Row],[Site Name]],SiteDB6[[Site Name]:[Pop
(Kachin/Shan-CCCM as of March 2023)]],17,FALSE)</f>
        <v>221</v>
      </c>
    </row>
    <row r="134" spans="1:150" hidden="1">
      <c r="A134" s="962" t="s">
        <v>2977</v>
      </c>
      <c r="B134" s="962" t="s">
        <v>192</v>
      </c>
      <c r="C134" s="963" t="s">
        <v>192</v>
      </c>
      <c r="D134" s="963" t="s">
        <v>2648</v>
      </c>
      <c r="E134" s="963" t="s">
        <v>515</v>
      </c>
      <c r="F134" s="963" t="s">
        <v>519</v>
      </c>
      <c r="G134" s="964" t="str">
        <f>VLOOKUP(WWWW[[#This Row],[Site Name]],SiteDB6[[Site Name]:[Location Type]],8,FALSE)</f>
        <v>Camp</v>
      </c>
      <c r="H134" s="963" t="s">
        <v>2897</v>
      </c>
      <c r="I134" s="965">
        <v>26</v>
      </c>
      <c r="J134" s="965">
        <v>132</v>
      </c>
      <c r="K134" s="966">
        <v>44511</v>
      </c>
      <c r="L134" s="967">
        <v>44875</v>
      </c>
      <c r="M134" s="965"/>
      <c r="N134" s="965"/>
      <c r="O134" s="965"/>
      <c r="P134" s="965"/>
      <c r="Q134" s="968"/>
      <c r="R134" s="965">
        <v>3</v>
      </c>
      <c r="S134" s="965">
        <v>2</v>
      </c>
      <c r="T134" s="445"/>
      <c r="U134" s="965"/>
      <c r="V134" s="965"/>
      <c r="W134" s="965"/>
      <c r="X134" s="965"/>
      <c r="Y134" s="965"/>
      <c r="Z134" s="965"/>
      <c r="AA134" s="965">
        <v>8</v>
      </c>
      <c r="AB134" s="965"/>
      <c r="AC134" s="965"/>
      <c r="AD134" s="965"/>
      <c r="AE134" s="965"/>
      <c r="AF134" s="965"/>
      <c r="AG134" s="965"/>
      <c r="AH134" s="965"/>
      <c r="AI134" s="965"/>
      <c r="AJ134" s="965"/>
      <c r="AK134" s="965"/>
      <c r="AL134" s="965"/>
      <c r="AM134" s="965"/>
      <c r="AN134" s="965"/>
      <c r="AO134" s="445"/>
      <c r="AP134" s="969"/>
      <c r="AQ134" s="965">
        <v>27</v>
      </c>
      <c r="AR134" s="965"/>
      <c r="AS134" s="970"/>
      <c r="AT134" s="965"/>
      <c r="AU134" s="965"/>
      <c r="AV134" s="965"/>
      <c r="AW134" s="965"/>
      <c r="AX134" s="965">
        <v>2</v>
      </c>
      <c r="AY134" s="964" t="s">
        <v>41</v>
      </c>
      <c r="AZ134" s="969" t="s">
        <v>136</v>
      </c>
      <c r="BA134" s="965"/>
      <c r="BB134" s="965"/>
      <c r="BC134" s="965"/>
      <c r="BD134" s="445"/>
      <c r="BE134" s="445"/>
      <c r="BF134" s="964"/>
      <c r="BG134" s="965">
        <v>7</v>
      </c>
      <c r="BH134" s="965"/>
      <c r="BI134" s="965"/>
      <c r="BJ134" s="965">
        <v>7</v>
      </c>
      <c r="BK134" s="965"/>
      <c r="BL134" s="965"/>
      <c r="BM134" s="965">
        <v>1</v>
      </c>
      <c r="BN134" s="965"/>
      <c r="BO134" s="965"/>
      <c r="BP134" s="964"/>
      <c r="BQ134" s="971"/>
      <c r="BR134" s="970"/>
      <c r="BS134" s="964"/>
      <c r="BT134" s="420"/>
      <c r="BU134" s="420"/>
      <c r="BV134" s="422"/>
      <c r="BW134" s="420"/>
      <c r="BX134" s="445"/>
      <c r="BY134" s="445"/>
      <c r="BZ134" s="445"/>
      <c r="CA134" s="445"/>
      <c r="CB134" s="445"/>
      <c r="CC134" s="702"/>
      <c r="CD134" s="445"/>
      <c r="CE134" s="972" t="str">
        <f>IFERROR(WWWW[[#This Row],['#_Water sources passed]]/WWWW[[#This Row],['#_Water sources tested for fecal coliform ]],"no test")</f>
        <v>no test</v>
      </c>
      <c r="CF134" s="970" t="str">
        <f>IFERROR(WWWW[[#This Row],['#_Household passed]]/WWWW[[#This Row],['#_Household water samples tested for fecal coliform]],"no test")</f>
        <v>no test</v>
      </c>
      <c r="CG134" s="971" t="str">
        <f>IF(AND(WWWW[[#This Row],[% of water sources passed]]="no test",WWWW[[#This Row],[% Household passed]]="no test"),"No Test","Tested")</f>
        <v>No Test</v>
      </c>
      <c r="CH134" s="971">
        <f>WWWW[[#This Row],['#_Constructed/existing protected hand dug well]]-WWWW[[#This Row],['#_Non-functional protected hand dug well]]</f>
        <v>0</v>
      </c>
      <c r="CI134" s="971">
        <f>(WWWW[[#This Row],['#_Constructed/Existing tube wells/boreholes/handpumps_WASH_agency]]+WWWW[[#This Row],['#_Non-Cluster partner water tube-wells/boreholes/handpumps]])-WWWW[[#This Row],['#_Non-functional tube wells/boreholes/handpumps]]</f>
        <v>0</v>
      </c>
      <c r="CJ134" s="971">
        <f>WWWW[[#This Row],['#_Constructed/Existingwater storage tank with gravity fed reticulation system]]-WWWW[[#This Row],['#_Non-functional storage tank gravity fed reticulation system]]</f>
        <v>8</v>
      </c>
      <c r="CK134" s="971">
        <f>(WWWW[[#This Row],['#_Water_Liters_supplied_by_Water boating or water trucking]]/90)/15</f>
        <v>0</v>
      </c>
      <c r="CL134" s="971">
        <f>WWWW[[#This Row],['#_Water_Liters_from_Constructed/Existing water distribution system from river or natural spring]]/90/15</f>
        <v>0</v>
      </c>
      <c r="CM134" s="421">
        <f>IF(WWWW[[#This Row],['#_of water points in TLS/CFS]]*500&gt;WWWW[[#This Row],[Total PoP ]],WWWW[[#This Row],[Total PoP ]],WWWW[[#This Row],['#_of water points in TLS/CFS]]*500)</f>
        <v>0</v>
      </c>
      <c r="CN134" s="421">
        <f>IF(WWWW[[#This Row],['#_of water points in THF]]*500&gt;WWWW[[#This Row],[Total PoP ]],WWWW[[#This Row],[Total PoP ]],WWWW[[#This Row],['#_of water points in THF]]*500)</f>
        <v>0</v>
      </c>
      <c r="CO134" s="421"/>
      <c r="CP13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4" s="970">
        <f>IF(WWWW[[#This Row],[Location Type 1]]="Village",WWWW[[#This Row],[Access to safe drinking water for Village]],WWWW[[#This Row],[Access to safe drinking water for Camp]])</f>
        <v>1</v>
      </c>
      <c r="CS134" s="968">
        <f>WWWW[[#This Row],[%Equitable and continuous access to sufficient quantity of safe drinking water]]*WWWW[[#This Row],[Total PoP ]]</f>
        <v>132</v>
      </c>
      <c r="CT134" s="970">
        <f>IF((WWWW[[#This Row],['#_Constructed/Existing protected/fenced ponds]]*250)/WWWW[[#This Row],[Total PoP ]]&gt;1,1,(WWWW[[#This Row],['#_Constructed/Existing protected/fenced ponds]]*250)/WWWW[[#This Row],[Total PoP ]])</f>
        <v>0</v>
      </c>
      <c r="CU134" s="968">
        <f>WWWW[[#This Row],[% Access to unimproved water points]]*WWWW[[#This Row],[Total PoP ]]</f>
        <v>0</v>
      </c>
      <c r="CV13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X134" s="968">
        <f>WWWW[[#This Row],[HRP1]]/500</f>
        <v>0.26400000000000001</v>
      </c>
      <c r="CY134" s="973">
        <f>1-WWWW[[#This Row],[% Equitable and continuous access to sufficient quantity of domestic water]]</f>
        <v>0</v>
      </c>
      <c r="CZ134" s="968">
        <f>WWWW[[#This Row],[%equitable and continuous access to sufficient quantity of safe drinking and domestic water''s GAP]]*WWWW[[#This Row],[Total PoP ]]</f>
        <v>0</v>
      </c>
      <c r="DA134" s="971">
        <f>IF(WWWW[[#This Row],[Total required water points]]-WWWW[[#This Row],['#Water points coverage]]&lt;0,0,WWWW[[#This Row],[Total required water points]]-WWWW[[#This Row],['#Water points coverage]])</f>
        <v>0.73599999999999999</v>
      </c>
      <c r="DB134" s="971">
        <f>ROUND(IF(WWWW[[#This Row],[Total PoP ]]&lt;500,1,WWWW[[#This Row],[Total PoP ]]/500),0)</f>
        <v>1</v>
      </c>
      <c r="DC134" s="971">
        <f>(WWWW[[#This Row],['#_Constructed latrines_by_WASHAgencies]]+WWWW[[#This Row],['#_Non Cluster partner latrines]])-WWWW[[#This Row],['#_Non-functional latrines]]</f>
        <v>27</v>
      </c>
      <c r="DD134" s="619">
        <f>WWWW[[#This Row],[HRP2]]/WWWW[[#This Row],[Total PoP ]]</f>
        <v>1</v>
      </c>
      <c r="DE13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132</v>
      </c>
      <c r="DF13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4" s="421">
        <f>IF(WWWW[[#This Row],['# of functional latrines in THF supported by WASH partners during the reporting period2]]="",0,WWWW[[#This Row],['# of functional latrines in THF supported by WASH partners during the reporting period2]]*50)</f>
        <v>0</v>
      </c>
      <c r="DI134" s="971">
        <f>ROUND(IF(WWWW[[#This Row],[Location Type 1]]="camp",WWWW[[#This Row],[Total PoP ]]/20,IF(WWWW[[#This Row],[Location Type 1]]="Temporary Location",WWWW[[#This Row],[Total PoP ]]/50,(WWWW[[#This Row],[Total PoP ]]/6))),0)</f>
        <v>7</v>
      </c>
      <c r="DJ134" s="971">
        <f>IF(WWWW[[#This Row],[Total required Latrines]]-(WWWW[[#This Row],['#_Constructed latrines_by_WASHAgencies]]+WWWW[[#This Row],['#_Non Cluster partner latrines]])&lt;0,0,WWWW[[#This Row],[Total required Latrines]]-(WWWW[[#This Row],['#_Constructed latrines_by_WASHAgencies]]+WWWW[[#This Row],['#_Non Cluster partner latrines]]))</f>
        <v>0</v>
      </c>
      <c r="DK134" s="973">
        <f>1-WWWW[[#This Row],[% people access to functioning Latrine]]</f>
        <v>0</v>
      </c>
      <c r="DL134" s="972">
        <f>IF(OR(WWWW[[#This Row],['#_Non-functional latrines]]="",WWWW[[#This Row],['#_Non-functional latrines]]=0),0,WWWW[[#This Row],['#_Non-functional latrines]]/(WWWW[[#This Row],['#_Constructed latrines_by_WASHAgencies]]+WWWW[[#This Row],['#_Non Cluster partner latrines]]))</f>
        <v>0</v>
      </c>
      <c r="DM134" s="968">
        <f>IF(500*(WWWW[[#This Row],['#_male hygiene promoters]]+WWWW[[#This Row],['#_female hygiene promoters]])&gt;WWWW[[#This Row],[Total PoP ]],WWWW[[#This Row],[Total PoP ]],500*(WWWW[[#This Row],['#_male hygiene promoters]]+WWWW[[#This Row],['#_female hygiene promoters]]))</f>
        <v>132</v>
      </c>
      <c r="DN13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4" s="971">
        <f>IF(WWWW[[#This Row],['# People with access to soap]]&gt;WWWW[[#This Row],['# People with access to Sanity Pads]],WWWW[[#This Row],['# People with access to soap]],WWWW[[#This Row],['# People with access to Sanity Pads]])</f>
        <v>0</v>
      </c>
      <c r="DQ134" s="971">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R134" s="973">
        <f>IF(WWWW[[#This Row],[HRP3]]/WWWW[[#This Row],[Total PoP ]]&gt;1,1,WWWW[[#This Row],[HRP3]]/WWWW[[#This Row],[Total PoP ]])</f>
        <v>1</v>
      </c>
      <c r="DS134" s="972">
        <f>1-WWWW[[#This Row],[Hygiene Coverage%]]</f>
        <v>0</v>
      </c>
      <c r="DT134" s="970">
        <f>WWWW[[#This Row],['# people reached by regular dedicated hygiene promotion_5]]/WWWW[[#This Row],[Total PoP ]]</f>
        <v>1</v>
      </c>
      <c r="DU13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4" s="971">
        <f>WWWW[[#This Row],['#_Constructed/Existing hand washing stations]]-WWWW[[#This Row],['#_Non-Functional_hand_washing_stations]]</f>
        <v>7</v>
      </c>
      <c r="DX134" s="968">
        <f>IF(WWWW[[#This Row],['# Functional hand washing stations during reporting period]]*20&gt;WWWW[[#This Row],[Total HH]],WWWW[[#This Row],[Total HH]],WWWW[[#This Row],['# Functional hand washing stations during reporting period]]*20)</f>
        <v>26</v>
      </c>
      <c r="DY134" s="968">
        <f>IF(WWWW[[#This Row],[Is sufficient soap available for TLS? (Yes/No)]]="yes",WWWW[[#This Row],['#_Constructed/Existing hand washing stations at TLS/CFS/THF]],0)</f>
        <v>0</v>
      </c>
      <c r="DZ134" s="425">
        <f>IF(WWWW[[#This Row],['# Functional hand washing stations during reporting period]]*100&gt;WWWW[[#This Row],[Total PoP ]],WWWW[[#This Row],[Total PoP ]],WWWW[[#This Row],['# Functional hand washing stations during reporting period]]*100)</f>
        <v>132</v>
      </c>
      <c r="EA134" s="425" t="str">
        <f>IF(OR(WWWW[[#This Row],['#_students at TLS_CFS]]="",WWWW[[#This Row],['#_students at TLS_CFS]]=0),"No","Yes")</f>
        <v>No</v>
      </c>
      <c r="EB13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4" s="570">
        <f>WWWW[[#This Row],[%_of_affected_people_surveyed_who_report_feeling_satistfied_with_the_latrine_design_and_sanitation_service]]*WWWW[[#This Row],[Total PoP ]]</f>
        <v>0</v>
      </c>
      <c r="ED134" s="570">
        <f>WWWW[[#This Row],[%_of_affected_people_surveyed_who_report_feeling_satistfied_with_the_water_point_design_and_water_service]]*WWWW[[#This Row],[Total PoP ]]</f>
        <v>0</v>
      </c>
      <c r="EE134" s="570">
        <f>WWWW[[#This Row],[%_of_complaints_received_that_result_in_timely_corrective_action_and_feedback_to_the_community]]*WWWW[[#This Row],[Total PoP ]]</f>
        <v>0</v>
      </c>
      <c r="EF13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4" s="964" t="str">
        <f>VLOOKUP(WWWW[[#This Row],[Site Name]],SiteDB6[[Site Name]:[CCCM Management]],6,FALSE)</f>
        <v>Yes</v>
      </c>
      <c r="EJ134" s="964" t="str">
        <f>VLOOKUP(WWWW[[#This Row],[Site Name]],SiteDB6[[Site Name]:[CCCM Focal Agency]],7,FALSE)</f>
        <v>KMSS-LSO</v>
      </c>
      <c r="EK134" s="964" t="str">
        <f>VLOOKUP(WWWW[[#This Row],[Site Name]],SiteDB6[[Site Name]:[Location Type 1]],9,FALSE)</f>
        <v>Camp</v>
      </c>
      <c r="EL134" s="964" t="str">
        <f>VLOOKUP(WWWW[[#This Row],[Site Name]],SiteDB6[[Site Name]:[Type of Accommodation]],10,FALSE)</f>
        <v>Camp</v>
      </c>
      <c r="EM134" s="964" t="str">
        <f>VLOOKUP(WWWW[[#This Row],[Site Name]],SiteDB6[[Site Name]:[Ethnic or GCA/NGCA]],11,FALSE)</f>
        <v>GCA</v>
      </c>
      <c r="EN134" s="964">
        <f>VLOOKUP(WWWW[[#This Row],[Site Name]],SiteDB6[[Site Name]:[Lat]],12,FALSE)</f>
        <v>23.38503</v>
      </c>
      <c r="EO134" s="964">
        <f>VLOOKUP(WWWW[[#This Row],[Site Name]],SiteDB6[[Site Name]:[Long]],13,FALSE)</f>
        <v>97.837040000000002</v>
      </c>
      <c r="EP134" s="964" t="str">
        <f>VLOOKUP(WWWW[[#This Row],[Site Name]],SiteDB6[[Site Name]:[Pcode]],3,FALSE)</f>
        <v>MMR015CMP017</v>
      </c>
      <c r="EQ134" s="969" t="str">
        <f t="shared" si="4"/>
        <v>Covered</v>
      </c>
      <c r="ER134" s="969" t="s">
        <v>3147</v>
      </c>
      <c r="ES134" s="964">
        <f>VLOOKUP(WWWW[[#This Row],[Site Name]],SiteDB6[[Site Name]:[Pop
(Kachin/Shan-CCCM as of March 2023)]],16,FALSE)</f>
        <v>26</v>
      </c>
      <c r="ET134" s="964">
        <f>VLOOKUP(WWWW[[#This Row],[Site Name]],SiteDB6[[Site Name]:[Pop
(Kachin/Shan-CCCM as of March 2023)]],17,FALSE)</f>
        <v>132</v>
      </c>
    </row>
    <row r="135" spans="1:150" hidden="1">
      <c r="A135" s="962" t="s">
        <v>2977</v>
      </c>
      <c r="B135" s="962" t="s">
        <v>192</v>
      </c>
      <c r="C135" s="962" t="s">
        <v>192</v>
      </c>
      <c r="D135" s="963" t="s">
        <v>2899</v>
      </c>
      <c r="E135" s="963" t="s">
        <v>37</v>
      </c>
      <c r="F135" s="963" t="s">
        <v>38</v>
      </c>
      <c r="G135" s="964" t="str">
        <f>VLOOKUP(WWWW[[#This Row],[Site Name]],SiteDB6[[Site Name]:[Location Type]],8,FALSE)</f>
        <v>Camp</v>
      </c>
      <c r="H135" s="963" t="s">
        <v>193</v>
      </c>
      <c r="I135" s="965">
        <v>172</v>
      </c>
      <c r="J135" s="965">
        <v>789</v>
      </c>
      <c r="K135" s="966" t="s">
        <v>3154</v>
      </c>
      <c r="L135" s="967" t="s">
        <v>3155</v>
      </c>
      <c r="M135" s="965"/>
      <c r="N135" s="965"/>
      <c r="O135" s="965"/>
      <c r="P135" s="965"/>
      <c r="Q135" s="968" t="s">
        <v>41</v>
      </c>
      <c r="R135" s="965"/>
      <c r="S135" s="965">
        <v>7</v>
      </c>
      <c r="T135" s="445">
        <v>4</v>
      </c>
      <c r="U135" s="965"/>
      <c r="V135" s="965"/>
      <c r="W135" s="965">
        <v>4</v>
      </c>
      <c r="X135" s="965"/>
      <c r="Y135" s="965"/>
      <c r="Z135" s="965"/>
      <c r="AA135" s="965"/>
      <c r="AB135" s="965"/>
      <c r="AC135" s="965"/>
      <c r="AD135" s="965"/>
      <c r="AE135" s="965"/>
      <c r="AF135" s="965"/>
      <c r="AG135" s="965">
        <v>1</v>
      </c>
      <c r="AH135" s="965"/>
      <c r="AI135" s="965"/>
      <c r="AJ135" s="965"/>
      <c r="AK135" s="965"/>
      <c r="AL135" s="965"/>
      <c r="AM135" s="965"/>
      <c r="AN135" s="965"/>
      <c r="AO135" s="445"/>
      <c r="AP135" s="969"/>
      <c r="AQ135" s="965">
        <v>44</v>
      </c>
      <c r="AR135" s="965"/>
      <c r="AS135" s="970"/>
      <c r="AT135" s="965"/>
      <c r="AU135" s="965"/>
      <c r="AV135" s="965"/>
      <c r="AW135" s="965"/>
      <c r="AX135" s="965"/>
      <c r="AY135" s="964" t="s">
        <v>41</v>
      </c>
      <c r="AZ135" s="969" t="s">
        <v>137</v>
      </c>
      <c r="BA135" s="965"/>
      <c r="BB135" s="965">
        <v>1</v>
      </c>
      <c r="BC135" s="965"/>
      <c r="BD135" s="445"/>
      <c r="BE135" s="445">
        <v>1</v>
      </c>
      <c r="BF135" s="964"/>
      <c r="BG135" s="965">
        <v>4</v>
      </c>
      <c r="BH135" s="965"/>
      <c r="BI135" s="965"/>
      <c r="BJ135" s="965">
        <v>5</v>
      </c>
      <c r="BK135" s="965"/>
      <c r="BL135" s="965"/>
      <c r="BM135" s="965"/>
      <c r="BN135" s="965"/>
      <c r="BO135" s="965"/>
      <c r="BP135" s="964"/>
      <c r="BQ135" s="971"/>
      <c r="BR135" s="970"/>
      <c r="BS135" s="964"/>
      <c r="BT135" s="420"/>
      <c r="BU135" s="420"/>
      <c r="BV135" s="422"/>
      <c r="BW135" s="420"/>
      <c r="BX135" s="445"/>
      <c r="BY135" s="445"/>
      <c r="BZ135" s="445"/>
      <c r="CA135" s="445"/>
      <c r="CB135" s="445"/>
      <c r="CC135" s="702"/>
      <c r="CD135" s="445"/>
      <c r="CE135" s="972" t="str">
        <f>IFERROR(WWWW[[#This Row],['#_Water sources passed]]/WWWW[[#This Row],['#_Water sources tested for fecal coliform ]],"no test")</f>
        <v>no test</v>
      </c>
      <c r="CF135" s="970" t="str">
        <f>IFERROR(WWWW[[#This Row],['#_Household passed]]/WWWW[[#This Row],['#_Household water samples tested for fecal coliform]],"no test")</f>
        <v>no test</v>
      </c>
      <c r="CG135" s="971" t="str">
        <f>IF(AND(WWWW[[#This Row],[% of water sources passed]]="no test",WWWW[[#This Row],[% Household passed]]="no test"),"No Test","Tested")</f>
        <v>No Test</v>
      </c>
      <c r="CH135" s="971">
        <f>WWWW[[#This Row],['#_Constructed/existing protected hand dug well]]-WWWW[[#This Row],['#_Non-functional protected hand dug well]]</f>
        <v>4</v>
      </c>
      <c r="CI135" s="971">
        <f>(WWWW[[#This Row],['#_Constructed/Existing tube wells/boreholes/handpumps_WASH_agency]]+WWWW[[#This Row],['#_Non-Cluster partner water tube-wells/boreholes/handpumps]])-WWWW[[#This Row],['#_Non-functional tube wells/boreholes/handpumps]]</f>
        <v>4</v>
      </c>
      <c r="CJ135" s="971">
        <f>WWWW[[#This Row],['#_Constructed/Existingwater storage tank with gravity fed reticulation system]]-WWWW[[#This Row],['#_Non-functional storage tank gravity fed reticulation system]]</f>
        <v>0</v>
      </c>
      <c r="CK135" s="971">
        <f>(WWWW[[#This Row],['#_Water_Liters_supplied_by_Water boating or water trucking]]/90)/15</f>
        <v>0</v>
      </c>
      <c r="CL135" s="971">
        <f>WWWW[[#This Row],['#_Water_Liters_from_Constructed/Existing water distribution system from river or natural spring]]/90/15</f>
        <v>0</v>
      </c>
      <c r="CM135" s="421">
        <f>IF(WWWW[[#This Row],['#_of water points in TLS/CFS]]*500&gt;WWWW[[#This Row],[Total PoP ]],WWWW[[#This Row],[Total PoP ]],WWWW[[#This Row],['#_of water points in TLS/CFS]]*500)</f>
        <v>0</v>
      </c>
      <c r="CN135" s="421">
        <f>IF(WWWW[[#This Row],['#_of water points in THF]]*500&gt;WWWW[[#This Row],[Total PoP ]],WWWW[[#This Row],[Total PoP ]],WWWW[[#This Row],['#_of water points in THF]]*500)</f>
        <v>0</v>
      </c>
      <c r="CO135" s="421"/>
      <c r="CP13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5" s="970">
        <f>IF(WWWW[[#This Row],[Location Type 1]]="Village",WWWW[[#This Row],[Access to safe drinking water for Village]],WWWW[[#This Row],[Access to safe drinking water for Camp]])</f>
        <v>1</v>
      </c>
      <c r="CS135" s="968">
        <f>WWWW[[#This Row],[%Equitable and continuous access to sufficient quantity of safe drinking water]]*WWWW[[#This Row],[Total PoP ]]</f>
        <v>789</v>
      </c>
      <c r="CT135" s="970">
        <f>IF((WWWW[[#This Row],['#_Constructed/Existing protected/fenced ponds]]*250)/WWWW[[#This Row],[Total PoP ]]&gt;1,1,(WWWW[[#This Row],['#_Constructed/Existing protected/fenced ponds]]*250)/WWWW[[#This Row],[Total PoP ]])</f>
        <v>0</v>
      </c>
      <c r="CU135" s="968">
        <f>WWWW[[#This Row],[% Access to unimproved water points]]*WWWW[[#This Row],[Total PoP ]]</f>
        <v>0</v>
      </c>
      <c r="CV13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X135" s="968">
        <f>WWWW[[#This Row],[HRP1]]/500</f>
        <v>1.5780000000000001</v>
      </c>
      <c r="CY135" s="973">
        <f>1-WWWW[[#This Row],[% Equitable and continuous access to sufficient quantity of domestic water]]</f>
        <v>0</v>
      </c>
      <c r="CZ135" s="968">
        <f>WWWW[[#This Row],[%equitable and continuous access to sufficient quantity of safe drinking and domestic water''s GAP]]*WWWW[[#This Row],[Total PoP ]]</f>
        <v>0</v>
      </c>
      <c r="DA135" s="971">
        <f>IF(WWWW[[#This Row],[Total required water points]]-WWWW[[#This Row],['#Water points coverage]]&lt;0,0,WWWW[[#This Row],[Total required water points]]-WWWW[[#This Row],['#Water points coverage]])</f>
        <v>0.42199999999999993</v>
      </c>
      <c r="DB135" s="971">
        <f>ROUND(IF(WWWW[[#This Row],[Total PoP ]]&lt;500,1,WWWW[[#This Row],[Total PoP ]]/500),0)</f>
        <v>2</v>
      </c>
      <c r="DC135" s="971">
        <f>(WWWW[[#This Row],['#_Constructed latrines_by_WASHAgencies]]+WWWW[[#This Row],['#_Non Cluster partner latrines]])-WWWW[[#This Row],['#_Non-functional latrines]]</f>
        <v>44</v>
      </c>
      <c r="DD135" s="619">
        <f>WWWW[[#This Row],[HRP2]]/WWWW[[#This Row],[Total PoP ]]</f>
        <v>1</v>
      </c>
      <c r="DE13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789</v>
      </c>
      <c r="DF13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5" s="421">
        <f>IF(WWWW[[#This Row],['# of functional latrines in THF supported by WASH partners during the reporting period2]]="",0,WWWW[[#This Row],['# of functional latrines in THF supported by WASH partners during the reporting period2]]*50)</f>
        <v>0</v>
      </c>
      <c r="DI135" s="971">
        <f>ROUND(IF(WWWW[[#This Row],[Location Type 1]]="camp",WWWW[[#This Row],[Total PoP ]]/20,IF(WWWW[[#This Row],[Location Type 1]]="Temporary Location",WWWW[[#This Row],[Total PoP ]]/50,(WWWW[[#This Row],[Total PoP ]]/6))),0)</f>
        <v>39</v>
      </c>
      <c r="DJ135" s="971">
        <f>IF(WWWW[[#This Row],[Total required Latrines]]-(WWWW[[#This Row],['#_Constructed latrines_by_WASHAgencies]]+WWWW[[#This Row],['#_Non Cluster partner latrines]])&lt;0,0,WWWW[[#This Row],[Total required Latrines]]-(WWWW[[#This Row],['#_Constructed latrines_by_WASHAgencies]]+WWWW[[#This Row],['#_Non Cluster partner latrines]]))</f>
        <v>0</v>
      </c>
      <c r="DK135" s="973">
        <f>1-WWWW[[#This Row],[% people access to functioning Latrine]]</f>
        <v>0</v>
      </c>
      <c r="DL135" s="972">
        <f>IF(OR(WWWW[[#This Row],['#_Non-functional latrines]]="",WWWW[[#This Row],['#_Non-functional latrines]]=0),0,WWWW[[#This Row],['#_Non-functional latrines]]/(WWWW[[#This Row],['#_Constructed latrines_by_WASHAgencies]]+WWWW[[#This Row],['#_Non Cluster partner latrines]]))</f>
        <v>0</v>
      </c>
      <c r="DM135" s="968">
        <f>IF(500*(WWWW[[#This Row],['#_male hygiene promoters]]+WWWW[[#This Row],['#_female hygiene promoters]])&gt;WWWW[[#This Row],[Total PoP ]],WWWW[[#This Row],[Total PoP ]],500*(WWWW[[#This Row],['#_male hygiene promoters]]+WWWW[[#This Row],['#_female hygiene promoters]]))</f>
        <v>0</v>
      </c>
      <c r="DN13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5" s="971">
        <f>IF(WWWW[[#This Row],['# People with access to soap]]&gt;WWWW[[#This Row],['# People with access to Sanity Pads]],WWWW[[#This Row],['# People with access to soap]],WWWW[[#This Row],['# People with access to Sanity Pads]])</f>
        <v>0</v>
      </c>
      <c r="DQ13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5" s="973">
        <f>IF(WWWW[[#This Row],[HRP3]]/WWWW[[#This Row],[Total PoP ]]&gt;1,1,WWWW[[#This Row],[HRP3]]/WWWW[[#This Row],[Total PoP ]])</f>
        <v>0</v>
      </c>
      <c r="DS135" s="972">
        <f>1-WWWW[[#This Row],[Hygiene Coverage%]]</f>
        <v>1</v>
      </c>
      <c r="DT135" s="970">
        <f>WWWW[[#This Row],['# people reached by regular dedicated hygiene promotion_5]]/WWWW[[#This Row],[Total PoP ]]</f>
        <v>0</v>
      </c>
      <c r="DU13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5" s="971">
        <f>WWWW[[#This Row],['#_Constructed/Existing hand washing stations]]-WWWW[[#This Row],['#_Non-Functional_hand_washing_stations]]</f>
        <v>4</v>
      </c>
      <c r="DX135" s="968">
        <f>IF(WWWW[[#This Row],['# Functional hand washing stations during reporting period]]*20&gt;WWWW[[#This Row],[Total HH]],WWWW[[#This Row],[Total HH]],WWWW[[#This Row],['# Functional hand washing stations during reporting period]]*20)</f>
        <v>80</v>
      </c>
      <c r="DY135" s="968">
        <f>IF(WWWW[[#This Row],[Is sufficient soap available for TLS? (Yes/No)]]="yes",WWWW[[#This Row],['#_Constructed/Existing hand washing stations at TLS/CFS/THF]],0)</f>
        <v>0</v>
      </c>
      <c r="DZ135" s="425">
        <f>IF(WWWW[[#This Row],['# Functional hand washing stations during reporting period]]*100&gt;WWWW[[#This Row],[Total PoP ]],WWWW[[#This Row],[Total PoP ]],WWWW[[#This Row],['# Functional hand washing stations during reporting period]]*100)</f>
        <v>400</v>
      </c>
      <c r="EA135" s="425" t="str">
        <f>IF(OR(WWWW[[#This Row],['#_students at TLS_CFS]]="",WWWW[[#This Row],['#_students at TLS_CFS]]=0),"No","Yes")</f>
        <v>No</v>
      </c>
      <c r="EB13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5" s="570">
        <f>WWWW[[#This Row],[%_of_affected_people_surveyed_who_report_feeling_satistfied_with_the_latrine_design_and_sanitation_service]]*WWWW[[#This Row],[Total PoP ]]</f>
        <v>0</v>
      </c>
      <c r="ED135" s="570">
        <f>WWWW[[#This Row],[%_of_affected_people_surveyed_who_report_feeling_satistfied_with_the_water_point_design_and_water_service]]*WWWW[[#This Row],[Total PoP ]]</f>
        <v>0</v>
      </c>
      <c r="EE135" s="570">
        <f>WWWW[[#This Row],[%_of_complaints_received_that_result_in_timely_corrective_action_and_feedback_to_the_community]]*WWWW[[#This Row],[Total PoP ]]</f>
        <v>0</v>
      </c>
      <c r="EF13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5" s="964" t="str">
        <f>VLOOKUP(WWWW[[#This Row],[Site Name]],SiteDB6[[Site Name]:[CCCM Management]],6,FALSE)</f>
        <v>Yes</v>
      </c>
      <c r="EJ135" s="964" t="str">
        <f>VLOOKUP(WWWW[[#This Row],[Site Name]],SiteDB6[[Site Name]:[CCCM Focal Agency]],7,FALSE)</f>
        <v>KBC-BMO</v>
      </c>
      <c r="EK135" s="964" t="str">
        <f>VLOOKUP(WWWW[[#This Row],[Site Name]],SiteDB6[[Site Name]:[Location Type 1]],9,FALSE)</f>
        <v>Camp</v>
      </c>
      <c r="EL135" s="964" t="str">
        <f>VLOOKUP(WWWW[[#This Row],[Site Name]],SiteDB6[[Site Name]:[Type of Accommodation]],10,FALSE)</f>
        <v>Camp</v>
      </c>
      <c r="EM135" s="964" t="str">
        <f>VLOOKUP(WWWW[[#This Row],[Site Name]],SiteDB6[[Site Name]:[Ethnic or GCA/NGCA]],11,FALSE)</f>
        <v>GCA</v>
      </c>
      <c r="EN135" s="964">
        <f>VLOOKUP(WWWW[[#This Row],[Site Name]],SiteDB6[[Site Name]:[Lat]],12,FALSE)</f>
        <v>24.129059999999999</v>
      </c>
      <c r="EO135" s="964">
        <f>VLOOKUP(WWWW[[#This Row],[Site Name]],SiteDB6[[Site Name]:[Long]],13,FALSE)</f>
        <v>97.291820000000001</v>
      </c>
      <c r="EP135" s="964" t="str">
        <f>VLOOKUP(WWWW[[#This Row],[Site Name]],SiteDB6[[Site Name]:[Pcode]],3,FALSE)</f>
        <v>MMR001CMP066</v>
      </c>
      <c r="EQ135" s="969" t="str">
        <f t="shared" si="4"/>
        <v>Covered</v>
      </c>
      <c r="ER135" s="969" t="s">
        <v>3147</v>
      </c>
      <c r="ES135" s="964">
        <f>VLOOKUP(WWWW[[#This Row],[Site Name]],SiteDB6[[Site Name]:[Pop
(Kachin/Shan-CCCM as of March 2023)]],16,FALSE)</f>
        <v>180</v>
      </c>
      <c r="ET135" s="964">
        <f>VLOOKUP(WWWW[[#This Row],[Site Name]],SiteDB6[[Site Name]:[Pop
(Kachin/Shan-CCCM as of March 2023)]],17,FALSE)</f>
        <v>826</v>
      </c>
    </row>
    <row r="136" spans="1:150">
      <c r="A136" s="962" t="s">
        <v>2977</v>
      </c>
      <c r="B136" s="962" t="s">
        <v>276</v>
      </c>
      <c r="C136" s="963" t="s">
        <v>276</v>
      </c>
      <c r="D136" s="963" t="s">
        <v>2898</v>
      </c>
      <c r="E136" s="963" t="s">
        <v>37</v>
      </c>
      <c r="F136" s="963" t="s">
        <v>195</v>
      </c>
      <c r="G136" s="964" t="str">
        <f>VLOOKUP(WWWW[[#This Row],[Site Name]],SiteDB6[[Site Name]:[Location Type]],8,FALSE)</f>
        <v>Camp</v>
      </c>
      <c r="H136" s="963" t="s">
        <v>280</v>
      </c>
      <c r="I136" s="965">
        <v>565</v>
      </c>
      <c r="J136" s="965">
        <v>3451</v>
      </c>
      <c r="K136" s="966">
        <v>44652</v>
      </c>
      <c r="L136" s="967">
        <v>45016</v>
      </c>
      <c r="M136" s="965"/>
      <c r="N136" s="965"/>
      <c r="O136" s="965">
        <v>6</v>
      </c>
      <c r="P136" s="965"/>
      <c r="Q136" s="968" t="s">
        <v>41</v>
      </c>
      <c r="R136" s="965">
        <v>16</v>
      </c>
      <c r="S136" s="965">
        <v>13</v>
      </c>
      <c r="T136" s="445">
        <v>1</v>
      </c>
      <c r="U136" s="965">
        <v>1</v>
      </c>
      <c r="V136" s="965"/>
      <c r="W136" s="965">
        <v>24</v>
      </c>
      <c r="X136" s="965"/>
      <c r="Y136" s="965"/>
      <c r="Z136" s="965"/>
      <c r="AA136" s="965"/>
      <c r="AB136" s="965"/>
      <c r="AC136" s="965"/>
      <c r="AD136" s="965"/>
      <c r="AE136" s="965"/>
      <c r="AF136" s="965"/>
      <c r="AG136" s="965">
        <v>6</v>
      </c>
      <c r="AH136" s="965"/>
      <c r="AI136" s="965">
        <v>15</v>
      </c>
      <c r="AJ136" s="965">
        <v>15</v>
      </c>
      <c r="AK136" s="965">
        <v>27</v>
      </c>
      <c r="AL136" s="965">
        <v>27</v>
      </c>
      <c r="AM136" s="965"/>
      <c r="AN136" s="965"/>
      <c r="AO136" s="445"/>
      <c r="AP136" s="969"/>
      <c r="AQ136" s="965">
        <v>148</v>
      </c>
      <c r="AR136" s="965"/>
      <c r="AS136" s="970"/>
      <c r="AT136" s="965"/>
      <c r="AU136" s="965">
        <v>11</v>
      </c>
      <c r="AV136" s="965">
        <v>129</v>
      </c>
      <c r="AW136" s="965">
        <v>144</v>
      </c>
      <c r="AX136" s="965"/>
      <c r="AY136" s="964" t="s">
        <v>41</v>
      </c>
      <c r="AZ136" s="969" t="s">
        <v>137</v>
      </c>
      <c r="BA136" s="965"/>
      <c r="BB136" s="965">
        <v>10</v>
      </c>
      <c r="BC136" s="965"/>
      <c r="BD136" s="445"/>
      <c r="BE136" s="445">
        <v>23</v>
      </c>
      <c r="BF136" s="964"/>
      <c r="BG136" s="965">
        <v>32</v>
      </c>
      <c r="BH136" s="965"/>
      <c r="BI136" s="965">
        <v>1</v>
      </c>
      <c r="BJ136" s="965">
        <v>16</v>
      </c>
      <c r="BK136" s="965"/>
      <c r="BL136" s="965"/>
      <c r="BM136" s="965">
        <v>6</v>
      </c>
      <c r="BN136" s="965">
        <v>435</v>
      </c>
      <c r="BO136" s="965">
        <v>210</v>
      </c>
      <c r="BP136" s="964" t="s">
        <v>136</v>
      </c>
      <c r="BQ136" s="971">
        <v>1</v>
      </c>
      <c r="BR136" s="970">
        <v>0.8</v>
      </c>
      <c r="BS136" s="964"/>
      <c r="BT136" s="420">
        <v>0.98</v>
      </c>
      <c r="BU136" s="420">
        <v>1</v>
      </c>
      <c r="BV136" s="422">
        <v>23</v>
      </c>
      <c r="BW136" s="420">
        <v>1</v>
      </c>
      <c r="BX136" s="445"/>
      <c r="BY136" s="445"/>
      <c r="BZ136" s="445"/>
      <c r="CA136" s="445"/>
      <c r="CB136" s="445"/>
      <c r="CC136" s="702"/>
      <c r="CD136" s="445"/>
      <c r="CE136" s="972">
        <f>IFERROR(WWWW[[#This Row],['#_Water sources passed]]/WWWW[[#This Row],['#_Water sources tested for fecal coliform ]],"no test")</f>
        <v>1</v>
      </c>
      <c r="CF136" s="970">
        <f>IFERROR(WWWW[[#This Row],['#_Household passed]]/WWWW[[#This Row],['#_Household water samples tested for fecal coliform]],"no test")</f>
        <v>1</v>
      </c>
      <c r="CG136" s="971" t="str">
        <f>IF(AND(WWWW[[#This Row],[% of water sources passed]]="no test",WWWW[[#This Row],[% Household passed]]="no test"),"No Test","Tested")</f>
        <v>Tested</v>
      </c>
      <c r="CH136" s="971">
        <f>WWWW[[#This Row],['#_Constructed/existing protected hand dug well]]-WWWW[[#This Row],['#_Non-functional protected hand dug well]]</f>
        <v>0</v>
      </c>
      <c r="CI136" s="971">
        <f>(WWWW[[#This Row],['#_Constructed/Existing tube wells/boreholes/handpumps_WASH_agency]]+WWWW[[#This Row],['#_Non-Cluster partner water tube-wells/boreholes/handpumps]])-WWWW[[#This Row],['#_Non-functional tube wells/boreholes/handpumps]]</f>
        <v>24</v>
      </c>
      <c r="CJ136" s="971">
        <f>WWWW[[#This Row],['#_Constructed/Existingwater storage tank with gravity fed reticulation system]]-WWWW[[#This Row],['#_Non-functional storage tank gravity fed reticulation system]]</f>
        <v>0</v>
      </c>
      <c r="CK136" s="971">
        <f>(WWWW[[#This Row],['#_Water_Liters_supplied_by_Water boating or water trucking]]/90)/15</f>
        <v>0</v>
      </c>
      <c r="CL136" s="971">
        <f>WWWW[[#This Row],['#_Water_Liters_from_Constructed/Existing water distribution system from river or natural spring]]/90/15</f>
        <v>0</v>
      </c>
      <c r="CM136" s="421">
        <f>IF(WWWW[[#This Row],['#_of water points in TLS/CFS]]*500&gt;WWWW[[#This Row],[Total PoP ]],WWWW[[#This Row],[Total PoP ]],WWWW[[#This Row],['#_of water points in TLS/CFS]]*500)</f>
        <v>0</v>
      </c>
      <c r="CN136" s="421">
        <f>IF(WWWW[[#This Row],['#_of water points in THF]]*500&gt;WWWW[[#This Row],[Total PoP ]],WWWW[[#This Row],[Total PoP ]],WWWW[[#This Row],['#_of water points in THF]]*500)</f>
        <v>0</v>
      </c>
      <c r="CO136" s="421"/>
      <c r="CP13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6" s="970">
        <f>IF(WWWW[[#This Row],[Location Type 1]]="Village",WWWW[[#This Row],[Access to safe drinking water for Village]],WWWW[[#This Row],[Access to safe drinking water for Camp]])</f>
        <v>1</v>
      </c>
      <c r="CS136" s="968">
        <f>WWWW[[#This Row],[%Equitable and continuous access to sufficient quantity of safe drinking water]]*WWWW[[#This Row],[Total PoP ]]</f>
        <v>3451</v>
      </c>
      <c r="CT136" s="970">
        <f>IF((WWWW[[#This Row],['#_Constructed/Existing protected/fenced ponds]]*250)/WWWW[[#This Row],[Total PoP ]]&gt;1,1,(WWWW[[#This Row],['#_Constructed/Existing protected/fenced ponds]]*250)/WWWW[[#This Row],[Total PoP ]])</f>
        <v>0</v>
      </c>
      <c r="CU136" s="968">
        <f>WWWW[[#This Row],[% Access to unimproved water points]]*WWWW[[#This Row],[Total PoP ]]</f>
        <v>0</v>
      </c>
      <c r="CV13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3451</v>
      </c>
      <c r="CX136" s="968">
        <f>WWWW[[#This Row],[HRP1]]/500</f>
        <v>6.9020000000000001</v>
      </c>
      <c r="CY136" s="973">
        <f>1-WWWW[[#This Row],[% Equitable and continuous access to sufficient quantity of domestic water]]</f>
        <v>0</v>
      </c>
      <c r="CZ136" s="968">
        <f>WWWW[[#This Row],[%equitable and continuous access to sufficient quantity of safe drinking and domestic water''s GAP]]*WWWW[[#This Row],[Total PoP ]]</f>
        <v>0</v>
      </c>
      <c r="DA136" s="971">
        <f>IF(WWWW[[#This Row],[Total required water points]]-WWWW[[#This Row],['#Water points coverage]]&lt;0,0,WWWW[[#This Row],[Total required water points]]-WWWW[[#This Row],['#Water points coverage]])</f>
        <v>9.7999999999999865E-2</v>
      </c>
      <c r="DB136" s="971">
        <f>ROUND(IF(WWWW[[#This Row],[Total PoP ]]&lt;500,1,WWWW[[#This Row],[Total PoP ]]/500),0)</f>
        <v>7</v>
      </c>
      <c r="DC136" s="971">
        <f>(WWWW[[#This Row],['#_Constructed latrines_by_WASHAgencies]]+WWWW[[#This Row],['#_Non Cluster partner latrines]])-WWWW[[#This Row],['#_Non-functional latrines]]</f>
        <v>148</v>
      </c>
      <c r="DD136" s="619">
        <f>WWWW[[#This Row],[HRP2]]/WWWW[[#This Row],[Total PoP ]]</f>
        <v>0.86438713416401047</v>
      </c>
      <c r="DE13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2983</v>
      </c>
      <c r="DF13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2580</v>
      </c>
      <c r="DG13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6" s="421">
        <f>IF(WWWW[[#This Row],['# of functional latrines in THF supported by WASH partners during the reporting period2]]="",0,WWWW[[#This Row],['# of functional latrines in THF supported by WASH partners during the reporting period2]]*50)</f>
        <v>0</v>
      </c>
      <c r="DI136" s="971">
        <f>ROUND(IF(WWWW[[#This Row],[Location Type 1]]="camp",WWWW[[#This Row],[Total PoP ]]/20,IF(WWWW[[#This Row],[Location Type 1]]="Temporary Location",WWWW[[#This Row],[Total PoP ]]/50,(WWWW[[#This Row],[Total PoP ]]/6))),0)</f>
        <v>173</v>
      </c>
      <c r="DJ136" s="971">
        <f>IF(WWWW[[#This Row],[Total required Latrines]]-(WWWW[[#This Row],['#_Constructed latrines_by_WASHAgencies]]+WWWW[[#This Row],['#_Non Cluster partner latrines]])&lt;0,0,WWWW[[#This Row],[Total required Latrines]]-(WWWW[[#This Row],['#_Constructed latrines_by_WASHAgencies]]+WWWW[[#This Row],['#_Non Cluster partner latrines]]))</f>
        <v>25</v>
      </c>
      <c r="DK136" s="973">
        <f>1-WWWW[[#This Row],[% people access to functioning Latrine]]</f>
        <v>0.13561286583598953</v>
      </c>
      <c r="DL136" s="972">
        <f>IF(OR(WWWW[[#This Row],['#_Non-functional latrines]]="",WWWW[[#This Row],['#_Non-functional latrines]]=0),0,WWWW[[#This Row],['#_Non-functional latrines]]/(WWWW[[#This Row],['#_Constructed latrines_by_WASHAgencies]]+WWWW[[#This Row],['#_Non Cluster partner latrines]]))</f>
        <v>0</v>
      </c>
      <c r="DM136" s="968">
        <f>IF(500*(WWWW[[#This Row],['#_male hygiene promoters]]+WWWW[[#This Row],['#_female hygiene promoters]])&gt;WWWW[[#This Row],[Total PoP ]],WWWW[[#This Row],[Total PoP ]],500*(WWWW[[#This Row],['#_male hygiene promoters]]+WWWW[[#This Row],['#_female hygiene promoters]]))</f>
        <v>3000</v>
      </c>
      <c r="DN13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2175</v>
      </c>
      <c r="DO13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210</v>
      </c>
      <c r="DP136" s="971">
        <f>IF(WWWW[[#This Row],['# People with access to soap]]&gt;WWWW[[#This Row],['# People with access to Sanity Pads]],WWWW[[#This Row],['# People with access to soap]],WWWW[[#This Row],['# People with access to Sanity Pads]])</f>
        <v>2175</v>
      </c>
      <c r="DQ136" s="971">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136" s="973">
        <f>IF(WWWW[[#This Row],[HRP3]]/WWWW[[#This Row],[Total PoP ]]&gt;1,1,WWWW[[#This Row],[HRP3]]/WWWW[[#This Row],[Total PoP ]])</f>
        <v>0.8693132425383947</v>
      </c>
      <c r="DS136" s="972">
        <f>1-WWWW[[#This Row],[Hygiene Coverage%]]</f>
        <v>0.1306867574616053</v>
      </c>
      <c r="DT136" s="970">
        <f>WWWW[[#This Row],['# people reached by regular dedicated hygiene promotion_5]]/WWWW[[#This Row],[Total PoP ]]</f>
        <v>0.8693132425383947</v>
      </c>
      <c r="DU13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3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0.37168141592920356</v>
      </c>
      <c r="DW136" s="971">
        <f>WWWW[[#This Row],['#_Constructed/Existing hand washing stations]]-WWWW[[#This Row],['#_Non-Functional_hand_washing_stations]]</f>
        <v>32</v>
      </c>
      <c r="DX136" s="968">
        <f>IF(WWWW[[#This Row],['# Functional hand washing stations during reporting period]]*20&gt;WWWW[[#This Row],[Total HH]],WWWW[[#This Row],[Total HH]],WWWW[[#This Row],['# Functional hand washing stations during reporting period]]*20)</f>
        <v>565</v>
      </c>
      <c r="DY136" s="968">
        <f>IF(WWWW[[#This Row],[Is sufficient soap available for TLS? (Yes/No)]]="yes",WWWW[[#This Row],['#_Constructed/Existing hand washing stations at TLS/CFS/THF]],0)</f>
        <v>0</v>
      </c>
      <c r="DZ136" s="425">
        <f>IF(WWWW[[#This Row],['# Functional hand washing stations during reporting period]]*100&gt;WWWW[[#This Row],[Total PoP ]],WWWW[[#This Row],[Total PoP ]],WWWW[[#This Row],['# Functional hand washing stations during reporting period]]*100)</f>
        <v>3200</v>
      </c>
      <c r="EA136" s="425" t="str">
        <f>IF(OR(WWWW[[#This Row],['#_students at TLS_CFS]]="",WWWW[[#This Row],['#_students at TLS_CFS]]=0),"No","Yes")</f>
        <v>No</v>
      </c>
      <c r="EB136" s="619">
        <f>IF(WWWW[[#This Row],['#_of_affected_people_surveyed_who_report_feeling_informed_about_the_different_WASH_services_available_to_them]]="","",WWWW[[#This Row],['#_of_affected_people_surveyed_who_report_feeling_informed_about_the_different_WASH_services_available_to_them]]/WWWW[[#This Row],[Total PoP ]])</f>
        <v>6.6647348594610261E-3</v>
      </c>
      <c r="EC136" s="570">
        <f>WWWW[[#This Row],[%_of_affected_people_surveyed_who_report_feeling_satistfied_with_the_latrine_design_and_sanitation_service]]*WWWW[[#This Row],[Total PoP ]]</f>
        <v>3381.98</v>
      </c>
      <c r="ED136" s="570">
        <f>WWWW[[#This Row],[%_of_affected_people_surveyed_who_report_feeling_satistfied_with_the_water_point_design_and_water_service]]*WWWW[[#This Row],[Total PoP ]]</f>
        <v>3451</v>
      </c>
      <c r="EE136" s="570">
        <f>WWWW[[#This Row],[%_of_complaints_received_that_result_in_timely_corrective_action_and_feedback_to_the_community]]*WWWW[[#This Row],[Total PoP ]]</f>
        <v>3451</v>
      </c>
      <c r="EF13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3451</v>
      </c>
      <c r="EG13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6" s="964" t="str">
        <f>VLOOKUP(WWWW[[#This Row],[Site Name]],SiteDB6[[Site Name]:[CCCM Management]],6,FALSE)</f>
        <v>Yes</v>
      </c>
      <c r="EJ136" s="964" t="str">
        <f>VLOOKUP(WWWW[[#This Row],[Site Name]],SiteDB6[[Site Name]:[CCCM Focal Agency]],7,FALSE)</f>
        <v>KBC-BMO</v>
      </c>
      <c r="EK136" s="964" t="str">
        <f>VLOOKUP(WWWW[[#This Row],[Site Name]],SiteDB6[[Site Name]:[Location Type 1]],9,FALSE)</f>
        <v>Camp</v>
      </c>
      <c r="EL136" s="964" t="str">
        <f>VLOOKUP(WWWW[[#This Row],[Site Name]],SiteDB6[[Site Name]:[Type of Accommodation]],10,FALSE)</f>
        <v>Camp</v>
      </c>
      <c r="EM136" s="964" t="str">
        <f>VLOOKUP(WWWW[[#This Row],[Site Name]],SiteDB6[[Site Name]:[Ethnic or GCA/NGCA]],11,FALSE)</f>
        <v>GCA</v>
      </c>
      <c r="EN136" s="964">
        <f>VLOOKUP(WWWW[[#This Row],[Site Name]],SiteDB6[[Site Name]:[Lat]],12,FALSE)</f>
        <v>24.268292826086999</v>
      </c>
      <c r="EO136" s="964">
        <f>VLOOKUP(WWWW[[#This Row],[Site Name]],SiteDB6[[Site Name]:[Long]],13,FALSE)</f>
        <v>97.229116811594196</v>
      </c>
      <c r="EP136" s="964" t="str">
        <f>VLOOKUP(WWWW[[#This Row],[Site Name]],SiteDB6[[Site Name]:[Pcode]],3,FALSE)</f>
        <v>MMR001CMP047</v>
      </c>
      <c r="EQ136" s="969" t="str">
        <f t="shared" si="4"/>
        <v>Covered</v>
      </c>
      <c r="ER136" s="969" t="s">
        <v>3147</v>
      </c>
      <c r="ES136" s="964">
        <f>VLOOKUP(WWWW[[#This Row],[Site Name]],SiteDB6[[Site Name]:[Pop
(Kachin/Shan-CCCM as of March 2023)]],16,FALSE)</f>
        <v>565</v>
      </c>
      <c r="ET136" s="964">
        <f>VLOOKUP(WWWW[[#This Row],[Site Name]],SiteDB6[[Site Name]:[Pop
(Kachin/Shan-CCCM as of March 2023)]],17,FALSE)</f>
        <v>3369</v>
      </c>
    </row>
    <row r="137" spans="1:150">
      <c r="A137" s="962" t="s">
        <v>2977</v>
      </c>
      <c r="B137" s="962" t="s">
        <v>192</v>
      </c>
      <c r="C137" s="962" t="s">
        <v>192</v>
      </c>
      <c r="D137" s="963" t="s">
        <v>2899</v>
      </c>
      <c r="E137" s="963" t="s">
        <v>37</v>
      </c>
      <c r="F137" s="963" t="s">
        <v>195</v>
      </c>
      <c r="G137" s="964" t="str">
        <f>VLOOKUP(WWWW[[#This Row],[Site Name]],SiteDB6[[Site Name]:[Location Type]],8,FALSE)</f>
        <v>Camp</v>
      </c>
      <c r="H137" s="963" t="s">
        <v>279</v>
      </c>
      <c r="I137" s="965">
        <v>65</v>
      </c>
      <c r="J137" s="965">
        <v>334</v>
      </c>
      <c r="K137" s="966" t="s">
        <v>3154</v>
      </c>
      <c r="L137" s="967" t="s">
        <v>3155</v>
      </c>
      <c r="M137" s="965"/>
      <c r="N137" s="965"/>
      <c r="O137" s="965"/>
      <c r="P137" s="965"/>
      <c r="Q137" s="968" t="s">
        <v>41</v>
      </c>
      <c r="R137" s="965">
        <v>2</v>
      </c>
      <c r="S137" s="965">
        <v>4</v>
      </c>
      <c r="T137" s="445">
        <v>1</v>
      </c>
      <c r="U137" s="965"/>
      <c r="V137" s="965"/>
      <c r="W137" s="965">
        <v>2</v>
      </c>
      <c r="X137" s="965"/>
      <c r="Y137" s="965"/>
      <c r="Z137" s="965"/>
      <c r="AA137" s="965"/>
      <c r="AB137" s="965"/>
      <c r="AC137" s="965"/>
      <c r="AD137" s="965"/>
      <c r="AE137" s="965"/>
      <c r="AF137" s="965"/>
      <c r="AG137" s="965">
        <v>1</v>
      </c>
      <c r="AH137" s="965"/>
      <c r="AI137" s="965"/>
      <c r="AJ137" s="965"/>
      <c r="AK137" s="965"/>
      <c r="AL137" s="965"/>
      <c r="AM137" s="965"/>
      <c r="AN137" s="965"/>
      <c r="AO137" s="445"/>
      <c r="AP137" s="969"/>
      <c r="AQ137" s="965">
        <v>33</v>
      </c>
      <c r="AR137" s="965"/>
      <c r="AS137" s="970"/>
      <c r="AT137" s="965"/>
      <c r="AU137" s="965"/>
      <c r="AV137" s="965"/>
      <c r="AW137" s="965"/>
      <c r="AX137" s="965"/>
      <c r="AY137" s="964" t="s">
        <v>41</v>
      </c>
      <c r="AZ137" s="969" t="s">
        <v>137</v>
      </c>
      <c r="BA137" s="965"/>
      <c r="BB137" s="965"/>
      <c r="BC137" s="965"/>
      <c r="BD137" s="445"/>
      <c r="BE137" s="445"/>
      <c r="BF137" s="964"/>
      <c r="BG137" s="965">
        <v>19</v>
      </c>
      <c r="BH137" s="965"/>
      <c r="BI137" s="965"/>
      <c r="BJ137" s="965">
        <v>7</v>
      </c>
      <c r="BK137" s="965"/>
      <c r="BL137" s="965"/>
      <c r="BM137" s="965"/>
      <c r="BN137" s="965"/>
      <c r="BO137" s="965"/>
      <c r="BP137" s="964"/>
      <c r="BQ137" s="971"/>
      <c r="BR137" s="970"/>
      <c r="BS137" s="964"/>
      <c r="BT137" s="420"/>
      <c r="BU137" s="420"/>
      <c r="BV137" s="422"/>
      <c r="BW137" s="420"/>
      <c r="BX137" s="445"/>
      <c r="BY137" s="445"/>
      <c r="BZ137" s="445"/>
      <c r="CA137" s="445"/>
      <c r="CB137" s="445"/>
      <c r="CC137" s="702"/>
      <c r="CD137" s="445"/>
      <c r="CE137" s="972" t="str">
        <f>IFERROR(WWWW[[#This Row],['#_Water sources passed]]/WWWW[[#This Row],['#_Water sources tested for fecal coliform ]],"no test")</f>
        <v>no test</v>
      </c>
      <c r="CF137" s="970" t="str">
        <f>IFERROR(WWWW[[#This Row],['#_Household passed]]/WWWW[[#This Row],['#_Household water samples tested for fecal coliform]],"no test")</f>
        <v>no test</v>
      </c>
      <c r="CG137" s="971" t="str">
        <f>IF(AND(WWWW[[#This Row],[% of water sources passed]]="no test",WWWW[[#This Row],[% Household passed]]="no test"),"No Test","Tested")</f>
        <v>No Test</v>
      </c>
      <c r="CH137" s="971">
        <f>WWWW[[#This Row],['#_Constructed/existing protected hand dug well]]-WWWW[[#This Row],['#_Non-functional protected hand dug well]]</f>
        <v>1</v>
      </c>
      <c r="CI137" s="971">
        <f>(WWWW[[#This Row],['#_Constructed/Existing tube wells/boreholes/handpumps_WASH_agency]]+WWWW[[#This Row],['#_Non-Cluster partner water tube-wells/boreholes/handpumps]])-WWWW[[#This Row],['#_Non-functional tube wells/boreholes/handpumps]]</f>
        <v>2</v>
      </c>
      <c r="CJ137" s="971">
        <f>WWWW[[#This Row],['#_Constructed/Existingwater storage tank with gravity fed reticulation system]]-WWWW[[#This Row],['#_Non-functional storage tank gravity fed reticulation system]]</f>
        <v>0</v>
      </c>
      <c r="CK137" s="971">
        <f>(WWWW[[#This Row],['#_Water_Liters_supplied_by_Water boating or water trucking]]/90)/15</f>
        <v>0</v>
      </c>
      <c r="CL137" s="971">
        <f>WWWW[[#This Row],['#_Water_Liters_from_Constructed/Existing water distribution system from river or natural spring]]/90/15</f>
        <v>0</v>
      </c>
      <c r="CM137" s="421">
        <f>IF(WWWW[[#This Row],['#_of water points in TLS/CFS]]*500&gt;WWWW[[#This Row],[Total PoP ]],WWWW[[#This Row],[Total PoP ]],WWWW[[#This Row],['#_of water points in TLS/CFS]]*500)</f>
        <v>0</v>
      </c>
      <c r="CN137" s="421">
        <f>IF(WWWW[[#This Row],['#_of water points in THF]]*500&gt;WWWW[[#This Row],[Total PoP ]],WWWW[[#This Row],[Total PoP ]],WWWW[[#This Row],['#_of water points in THF]]*500)</f>
        <v>0</v>
      </c>
      <c r="CO137" s="421"/>
      <c r="CP13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7" s="970">
        <f>IF(WWWW[[#This Row],[Location Type 1]]="Village",WWWW[[#This Row],[Access to safe drinking water for Village]],WWWW[[#This Row],[Access to safe drinking water for Camp]])</f>
        <v>1</v>
      </c>
      <c r="CS137" s="968">
        <f>WWWW[[#This Row],[%Equitable and continuous access to sufficient quantity of safe drinking water]]*WWWW[[#This Row],[Total PoP ]]</f>
        <v>334</v>
      </c>
      <c r="CT137" s="970">
        <f>IF((WWWW[[#This Row],['#_Constructed/Existing protected/fenced ponds]]*250)/WWWW[[#This Row],[Total PoP ]]&gt;1,1,(WWWW[[#This Row],['#_Constructed/Existing protected/fenced ponds]]*250)/WWWW[[#This Row],[Total PoP ]])</f>
        <v>0</v>
      </c>
      <c r="CU137" s="968">
        <f>WWWW[[#This Row],[% Access to unimproved water points]]*WWWW[[#This Row],[Total PoP ]]</f>
        <v>0</v>
      </c>
      <c r="CV13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X137" s="968">
        <f>WWWW[[#This Row],[HRP1]]/500</f>
        <v>0.66800000000000004</v>
      </c>
      <c r="CY137" s="973">
        <f>1-WWWW[[#This Row],[% Equitable and continuous access to sufficient quantity of domestic water]]</f>
        <v>0</v>
      </c>
      <c r="CZ137" s="968">
        <f>WWWW[[#This Row],[%equitable and continuous access to sufficient quantity of safe drinking and domestic water''s GAP]]*WWWW[[#This Row],[Total PoP ]]</f>
        <v>0</v>
      </c>
      <c r="DA137" s="971">
        <f>IF(WWWW[[#This Row],[Total required water points]]-WWWW[[#This Row],['#Water points coverage]]&lt;0,0,WWWW[[#This Row],[Total required water points]]-WWWW[[#This Row],['#Water points coverage]])</f>
        <v>0.33199999999999996</v>
      </c>
      <c r="DB137" s="971">
        <f>ROUND(IF(WWWW[[#This Row],[Total PoP ]]&lt;500,1,WWWW[[#This Row],[Total PoP ]]/500),0)</f>
        <v>1</v>
      </c>
      <c r="DC137" s="971">
        <f>(WWWW[[#This Row],['#_Constructed latrines_by_WASHAgencies]]+WWWW[[#This Row],['#_Non Cluster partner latrines]])-WWWW[[#This Row],['#_Non-functional latrines]]</f>
        <v>33</v>
      </c>
      <c r="DD137" s="619">
        <f>WWWW[[#This Row],[HRP2]]/WWWW[[#This Row],[Total PoP ]]</f>
        <v>1</v>
      </c>
      <c r="DE13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334</v>
      </c>
      <c r="DF13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7" s="421">
        <f>IF(WWWW[[#This Row],['# of functional latrines in THF supported by WASH partners during the reporting period2]]="",0,WWWW[[#This Row],['# of functional latrines in THF supported by WASH partners during the reporting period2]]*50)</f>
        <v>0</v>
      </c>
      <c r="DI137" s="971">
        <f>ROUND(IF(WWWW[[#This Row],[Location Type 1]]="camp",WWWW[[#This Row],[Total PoP ]]/20,IF(WWWW[[#This Row],[Location Type 1]]="Temporary Location",WWWW[[#This Row],[Total PoP ]]/50,(WWWW[[#This Row],[Total PoP ]]/6))),0)</f>
        <v>17</v>
      </c>
      <c r="DJ137" s="971">
        <f>IF(WWWW[[#This Row],[Total required Latrines]]-(WWWW[[#This Row],['#_Constructed latrines_by_WASHAgencies]]+WWWW[[#This Row],['#_Non Cluster partner latrines]])&lt;0,0,WWWW[[#This Row],[Total required Latrines]]-(WWWW[[#This Row],['#_Constructed latrines_by_WASHAgencies]]+WWWW[[#This Row],['#_Non Cluster partner latrines]]))</f>
        <v>0</v>
      </c>
      <c r="DK137" s="973">
        <f>1-WWWW[[#This Row],[% people access to functioning Latrine]]</f>
        <v>0</v>
      </c>
      <c r="DL137" s="972">
        <f>IF(OR(WWWW[[#This Row],['#_Non-functional latrines]]="",WWWW[[#This Row],['#_Non-functional latrines]]=0),0,WWWW[[#This Row],['#_Non-functional latrines]]/(WWWW[[#This Row],['#_Constructed latrines_by_WASHAgencies]]+WWWW[[#This Row],['#_Non Cluster partner latrines]]))</f>
        <v>0</v>
      </c>
      <c r="DM137" s="968">
        <f>IF(500*(WWWW[[#This Row],['#_male hygiene promoters]]+WWWW[[#This Row],['#_female hygiene promoters]])&gt;WWWW[[#This Row],[Total PoP ]],WWWW[[#This Row],[Total PoP ]],500*(WWWW[[#This Row],['#_male hygiene promoters]]+WWWW[[#This Row],['#_female hygiene promoters]]))</f>
        <v>0</v>
      </c>
      <c r="DN13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7" s="971">
        <f>IF(WWWW[[#This Row],['# People with access to soap]]&gt;WWWW[[#This Row],['# People with access to Sanity Pads]],WWWW[[#This Row],['# People with access to soap]],WWWW[[#This Row],['# People with access to Sanity Pads]])</f>
        <v>0</v>
      </c>
      <c r="DQ13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7" s="973">
        <f>IF(WWWW[[#This Row],[HRP3]]/WWWW[[#This Row],[Total PoP ]]&gt;1,1,WWWW[[#This Row],[HRP3]]/WWWW[[#This Row],[Total PoP ]])</f>
        <v>0</v>
      </c>
      <c r="DS137" s="972">
        <f>1-WWWW[[#This Row],[Hygiene Coverage%]]</f>
        <v>1</v>
      </c>
      <c r="DT137" s="970">
        <f>WWWW[[#This Row],['# people reached by regular dedicated hygiene promotion_5]]/WWWW[[#This Row],[Total PoP ]]</f>
        <v>0</v>
      </c>
      <c r="DU13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7" s="971">
        <f>WWWW[[#This Row],['#_Constructed/Existing hand washing stations]]-WWWW[[#This Row],['#_Non-Functional_hand_washing_stations]]</f>
        <v>19</v>
      </c>
      <c r="DX137" s="968">
        <f>IF(WWWW[[#This Row],['# Functional hand washing stations during reporting period]]*20&gt;WWWW[[#This Row],[Total HH]],WWWW[[#This Row],[Total HH]],WWWW[[#This Row],['# Functional hand washing stations during reporting period]]*20)</f>
        <v>65</v>
      </c>
      <c r="DY137" s="968">
        <f>IF(WWWW[[#This Row],[Is sufficient soap available for TLS? (Yes/No)]]="yes",WWWW[[#This Row],['#_Constructed/Existing hand washing stations at TLS/CFS/THF]],0)</f>
        <v>0</v>
      </c>
      <c r="DZ137" s="425">
        <f>IF(WWWW[[#This Row],['# Functional hand washing stations during reporting period]]*100&gt;WWWW[[#This Row],[Total PoP ]],WWWW[[#This Row],[Total PoP ]],WWWW[[#This Row],['# Functional hand washing stations during reporting period]]*100)</f>
        <v>334</v>
      </c>
      <c r="EA137" s="425" t="str">
        <f>IF(OR(WWWW[[#This Row],['#_students at TLS_CFS]]="",WWWW[[#This Row],['#_students at TLS_CFS]]=0),"No","Yes")</f>
        <v>No</v>
      </c>
      <c r="EB13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7" s="570">
        <f>WWWW[[#This Row],[%_of_affected_people_surveyed_who_report_feeling_satistfied_with_the_latrine_design_and_sanitation_service]]*WWWW[[#This Row],[Total PoP ]]</f>
        <v>0</v>
      </c>
      <c r="ED137" s="570">
        <f>WWWW[[#This Row],[%_of_affected_people_surveyed_who_report_feeling_satistfied_with_the_water_point_design_and_water_service]]*WWWW[[#This Row],[Total PoP ]]</f>
        <v>0</v>
      </c>
      <c r="EE137" s="570">
        <f>WWWW[[#This Row],[%_of_complaints_received_that_result_in_timely_corrective_action_and_feedback_to_the_community]]*WWWW[[#This Row],[Total PoP ]]</f>
        <v>0</v>
      </c>
      <c r="EF13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7" s="964" t="str">
        <f>VLOOKUP(WWWW[[#This Row],[Site Name]],SiteDB6[[Site Name]:[CCCM Management]],6,FALSE)</f>
        <v>Yes</v>
      </c>
      <c r="EJ137" s="964" t="str">
        <f>VLOOKUP(WWWW[[#This Row],[Site Name]],SiteDB6[[Site Name]:[CCCM Focal Agency]],7,FALSE)</f>
        <v>KBC-BMO</v>
      </c>
      <c r="EK137" s="964" t="str">
        <f>VLOOKUP(WWWW[[#This Row],[Site Name]],SiteDB6[[Site Name]:[Location Type 1]],9,FALSE)</f>
        <v>Camp</v>
      </c>
      <c r="EL137" s="964" t="str">
        <f>VLOOKUP(WWWW[[#This Row],[Site Name]],SiteDB6[[Site Name]:[Type of Accommodation]],10,FALSE)</f>
        <v>Camp</v>
      </c>
      <c r="EM137" s="964" t="str">
        <f>VLOOKUP(WWWW[[#This Row],[Site Name]],SiteDB6[[Site Name]:[Ethnic or GCA/NGCA]],11,FALSE)</f>
        <v>GCA</v>
      </c>
      <c r="EN137" s="964">
        <f>VLOOKUP(WWWW[[#This Row],[Site Name]],SiteDB6[[Site Name]:[Lat]],12,FALSE)</f>
        <v>24.222349999999999</v>
      </c>
      <c r="EO137" s="964">
        <f>VLOOKUP(WWWW[[#This Row],[Site Name]],SiteDB6[[Site Name]:[Long]],13,FALSE)</f>
        <v>97.252650000000003</v>
      </c>
      <c r="EP137" s="964" t="str">
        <f>VLOOKUP(WWWW[[#This Row],[Site Name]],SiteDB6[[Site Name]:[Pcode]],3,FALSE)</f>
        <v>MMR001CMP193</v>
      </c>
      <c r="EQ137" s="969" t="str">
        <f t="shared" si="4"/>
        <v>Covered</v>
      </c>
      <c r="ER137" s="969" t="s">
        <v>3147</v>
      </c>
      <c r="ES137" s="964">
        <f>VLOOKUP(WWWW[[#This Row],[Site Name]],SiteDB6[[Site Name]:[Pop
(Kachin/Shan-CCCM as of March 2023)]],16,FALSE)</f>
        <v>58</v>
      </c>
      <c r="ET137" s="964">
        <f>VLOOKUP(WWWW[[#This Row],[Site Name]],SiteDB6[[Site Name]:[Pop
(Kachin/Shan-CCCM as of March 2023)]],17,FALSE)</f>
        <v>314</v>
      </c>
    </row>
    <row r="138" spans="1:150" hidden="1">
      <c r="A138" s="962" t="s">
        <v>2977</v>
      </c>
      <c r="B138" s="962" t="s">
        <v>192</v>
      </c>
      <c r="C138" s="962" t="s">
        <v>192</v>
      </c>
      <c r="D138" s="963" t="s">
        <v>2898</v>
      </c>
      <c r="E138" s="963" t="s">
        <v>37</v>
      </c>
      <c r="F138" s="963" t="s">
        <v>205</v>
      </c>
      <c r="G138" s="964" t="s">
        <v>3081</v>
      </c>
      <c r="H138" s="963" t="s">
        <v>2158</v>
      </c>
      <c r="I138" s="965">
        <v>11</v>
      </c>
      <c r="J138" s="965">
        <v>32</v>
      </c>
      <c r="K138" s="966"/>
      <c r="L138" s="967"/>
      <c r="M138" s="965"/>
      <c r="N138" s="965"/>
      <c r="O138" s="965">
        <v>1</v>
      </c>
      <c r="P138" s="965"/>
      <c r="Q138" s="968" t="s">
        <v>41</v>
      </c>
      <c r="R138" s="965">
        <v>3</v>
      </c>
      <c r="S138" s="965">
        <v>8</v>
      </c>
      <c r="T138" s="445"/>
      <c r="U138" s="965"/>
      <c r="V138" s="965"/>
      <c r="W138" s="965">
        <v>1</v>
      </c>
      <c r="X138" s="965"/>
      <c r="Y138" s="965"/>
      <c r="Z138" s="965"/>
      <c r="AA138" s="965">
        <v>1</v>
      </c>
      <c r="AB138" s="965"/>
      <c r="AC138" s="965"/>
      <c r="AD138" s="965"/>
      <c r="AE138" s="965"/>
      <c r="AF138" s="965"/>
      <c r="AG138" s="965">
        <v>1</v>
      </c>
      <c r="AH138" s="965"/>
      <c r="AI138" s="965"/>
      <c r="AJ138" s="965"/>
      <c r="AK138" s="965"/>
      <c r="AL138" s="965"/>
      <c r="AM138" s="965"/>
      <c r="AN138" s="965"/>
      <c r="AO138" s="445"/>
      <c r="AP138" s="969"/>
      <c r="AQ138" s="965">
        <v>12</v>
      </c>
      <c r="AR138" s="965"/>
      <c r="AS138" s="970"/>
      <c r="AT138" s="965"/>
      <c r="AU138" s="965"/>
      <c r="AV138" s="965"/>
      <c r="AW138" s="965"/>
      <c r="AX138" s="965"/>
      <c r="AY138" s="964" t="s">
        <v>41</v>
      </c>
      <c r="AZ138" s="969" t="s">
        <v>137</v>
      </c>
      <c r="BA138" s="965"/>
      <c r="BB138" s="965"/>
      <c r="BC138" s="965"/>
      <c r="BD138" s="445"/>
      <c r="BE138" s="445"/>
      <c r="BF138" s="964"/>
      <c r="BG138" s="965">
        <v>7</v>
      </c>
      <c r="BH138" s="965"/>
      <c r="BI138" s="965"/>
      <c r="BJ138" s="965">
        <v>2</v>
      </c>
      <c r="BK138" s="965"/>
      <c r="BL138" s="965"/>
      <c r="BM138" s="965">
        <v>1</v>
      </c>
      <c r="BN138" s="965"/>
      <c r="BO138" s="965"/>
      <c r="BP138" s="964"/>
      <c r="BQ138" s="971"/>
      <c r="BR138" s="970"/>
      <c r="BS138" s="964"/>
      <c r="BT138" s="420"/>
      <c r="BU138" s="420"/>
      <c r="BV138" s="422"/>
      <c r="BW138" s="420"/>
      <c r="BX138" s="445"/>
      <c r="BY138" s="445"/>
      <c r="BZ138" s="445"/>
      <c r="CA138" s="445"/>
      <c r="CB138" s="445"/>
      <c r="CC138" s="702"/>
      <c r="CD138" s="445"/>
      <c r="CE138" s="972" t="str">
        <f>IFERROR(WWWW[[#This Row],['#_Water sources passed]]/WWWW[[#This Row],['#_Water sources tested for fecal coliform ]],"no test")</f>
        <v>no test</v>
      </c>
      <c r="CF138" s="970" t="str">
        <f>IFERROR(WWWW[[#This Row],['#_Household passed]]/WWWW[[#This Row],['#_Household water samples tested for fecal coliform]],"no test")</f>
        <v>no test</v>
      </c>
      <c r="CG138" s="971" t="str">
        <f>IF(AND(WWWW[[#This Row],[% of water sources passed]]="no test",WWWW[[#This Row],[% Household passed]]="no test"),"No Test","Tested")</f>
        <v>No Test</v>
      </c>
      <c r="CH138" s="971">
        <f>WWWW[[#This Row],['#_Constructed/existing protected hand dug well]]-WWWW[[#This Row],['#_Non-functional protected hand dug well]]</f>
        <v>0</v>
      </c>
      <c r="CI138" s="971">
        <f>(WWWW[[#This Row],['#_Constructed/Existing tube wells/boreholes/handpumps_WASH_agency]]+WWWW[[#This Row],['#_Non-Cluster partner water tube-wells/boreholes/handpumps]])-WWWW[[#This Row],['#_Non-functional tube wells/boreholes/handpumps]]</f>
        <v>1</v>
      </c>
      <c r="CJ138" s="971">
        <f>WWWW[[#This Row],['#_Constructed/Existingwater storage tank with gravity fed reticulation system]]-WWWW[[#This Row],['#_Non-functional storage tank gravity fed reticulation system]]</f>
        <v>1</v>
      </c>
      <c r="CK138" s="971">
        <f>(WWWW[[#This Row],['#_Water_Liters_supplied_by_Water boating or water trucking]]/90)/15</f>
        <v>0</v>
      </c>
      <c r="CL138" s="971">
        <f>WWWW[[#This Row],['#_Water_Liters_from_Constructed/Existing water distribution system from river or natural spring]]/90/15</f>
        <v>0</v>
      </c>
      <c r="CM138" s="421">
        <f>IF(WWWW[[#This Row],['#_of water points in TLS/CFS]]*500&gt;WWWW[[#This Row],[Total PoP ]],WWWW[[#This Row],[Total PoP ]],WWWW[[#This Row],['#_of water points in TLS/CFS]]*500)</f>
        <v>0</v>
      </c>
      <c r="CN138" s="421">
        <f>IF(WWWW[[#This Row],['#_of water points in THF]]*500&gt;WWWW[[#This Row],[Total PoP ]],WWWW[[#This Row],[Total PoP ]],WWWW[[#This Row],['#_of water points in THF]]*500)</f>
        <v>0</v>
      </c>
      <c r="CO138" s="421"/>
      <c r="CP13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8" s="970">
        <f>IF(WWWW[[#This Row],[Location Type 1]]="Village",WWWW[[#This Row],[Access to safe drinking water for Village]],WWWW[[#This Row],[Access to safe drinking water for Camp]])</f>
        <v>1</v>
      </c>
      <c r="CS138" s="968">
        <f>WWWW[[#This Row],[%Equitable and continuous access to sufficient quantity of safe drinking water]]*WWWW[[#This Row],[Total PoP ]]</f>
        <v>32</v>
      </c>
      <c r="CT138" s="970">
        <f>IF((WWWW[[#This Row],['#_Constructed/Existing protected/fenced ponds]]*250)/WWWW[[#This Row],[Total PoP ]]&gt;1,1,(WWWW[[#This Row],['#_Constructed/Existing protected/fenced ponds]]*250)/WWWW[[#This Row],[Total PoP ]])</f>
        <v>0</v>
      </c>
      <c r="CU138" s="968">
        <f>WWWW[[#This Row],[% Access to unimproved water points]]*WWWW[[#This Row],[Total PoP ]]</f>
        <v>0</v>
      </c>
      <c r="CV13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138" s="968">
        <f>WWWW[[#This Row],[HRP1]]/500</f>
        <v>6.4000000000000001E-2</v>
      </c>
      <c r="CY138" s="973">
        <f>1-WWWW[[#This Row],[% Equitable and continuous access to sufficient quantity of domestic water]]</f>
        <v>0</v>
      </c>
      <c r="CZ138" s="968">
        <f>WWWW[[#This Row],[%equitable and continuous access to sufficient quantity of safe drinking and domestic water''s GAP]]*WWWW[[#This Row],[Total PoP ]]</f>
        <v>0</v>
      </c>
      <c r="DA138" s="971">
        <f>IF(WWWW[[#This Row],[Total required water points]]-WWWW[[#This Row],['#Water points coverage]]&lt;0,0,WWWW[[#This Row],[Total required water points]]-WWWW[[#This Row],['#Water points coverage]])</f>
        <v>0.93599999999999994</v>
      </c>
      <c r="DB138" s="971">
        <f>ROUND(IF(WWWW[[#This Row],[Total PoP ]]&lt;500,1,WWWW[[#This Row],[Total PoP ]]/500),0)</f>
        <v>1</v>
      </c>
      <c r="DC138" s="971">
        <f>(WWWW[[#This Row],['#_Constructed latrines_by_WASHAgencies]]+WWWW[[#This Row],['#_Non Cluster partner latrines]])-WWWW[[#This Row],['#_Non-functional latrines]]</f>
        <v>12</v>
      </c>
      <c r="DD138" s="619">
        <f>WWWW[[#This Row],[HRP2]]/WWWW[[#This Row],[Total PoP ]]</f>
        <v>1</v>
      </c>
      <c r="DE13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13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8" s="421">
        <f>IF(WWWW[[#This Row],['# of functional latrines in THF supported by WASH partners during the reporting period2]]="",0,WWWW[[#This Row],['# of functional latrines in THF supported by WASH partners during the reporting period2]]*50)</f>
        <v>0</v>
      </c>
      <c r="DI138" s="971">
        <f>ROUND(IF(WWWW[[#This Row],[Location Type 1]]="camp",WWWW[[#This Row],[Total PoP ]]/20,IF(WWWW[[#This Row],[Location Type 1]]="Temporary Location",WWWW[[#This Row],[Total PoP ]]/50,(WWWW[[#This Row],[Total PoP ]]/6))),0)</f>
        <v>2</v>
      </c>
      <c r="DJ138" s="971">
        <f>IF(WWWW[[#This Row],[Total required Latrines]]-(WWWW[[#This Row],['#_Constructed latrines_by_WASHAgencies]]+WWWW[[#This Row],['#_Non Cluster partner latrines]])&lt;0,0,WWWW[[#This Row],[Total required Latrines]]-(WWWW[[#This Row],['#_Constructed latrines_by_WASHAgencies]]+WWWW[[#This Row],['#_Non Cluster partner latrines]]))</f>
        <v>0</v>
      </c>
      <c r="DK138" s="973">
        <f>1-WWWW[[#This Row],[% people access to functioning Latrine]]</f>
        <v>0</v>
      </c>
      <c r="DL138" s="972">
        <f>IF(OR(WWWW[[#This Row],['#_Non-functional latrines]]="",WWWW[[#This Row],['#_Non-functional latrines]]=0),0,WWWW[[#This Row],['#_Non-functional latrines]]/(WWWW[[#This Row],['#_Constructed latrines_by_WASHAgencies]]+WWWW[[#This Row],['#_Non Cluster partner latrines]]))</f>
        <v>0</v>
      </c>
      <c r="DM138" s="968">
        <f>IF(500*(WWWW[[#This Row],['#_male hygiene promoters]]+WWWW[[#This Row],['#_female hygiene promoters]])&gt;WWWW[[#This Row],[Total PoP ]],WWWW[[#This Row],[Total PoP ]],500*(WWWW[[#This Row],['#_male hygiene promoters]]+WWWW[[#This Row],['#_female hygiene promoters]]))</f>
        <v>32</v>
      </c>
      <c r="DN13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8" s="971">
        <f>IF(WWWW[[#This Row],['# People with access to soap]]&gt;WWWW[[#This Row],['# People with access to Sanity Pads]],WWWW[[#This Row],['# People with access to soap]],WWWW[[#This Row],['# People with access to Sanity Pads]])</f>
        <v>0</v>
      </c>
      <c r="DQ138" s="971">
        <f>IF(WWWW[[#This Row],['# people reached by regular dedicated hygiene promotion_5]]&gt;WWWW[[#This Row],['# People received regular supply of hygiene items_6]],WWWW[[#This Row],['# people reached by regular dedicated hygiene promotion_5]],WWWW[[#This Row],['# People received regular supply of hygiene items_6]])</f>
        <v>32</v>
      </c>
      <c r="DR138" s="973">
        <f>IF(WWWW[[#This Row],[HRP3]]/WWWW[[#This Row],[Total PoP ]]&gt;1,1,WWWW[[#This Row],[HRP3]]/WWWW[[#This Row],[Total PoP ]])</f>
        <v>1</v>
      </c>
      <c r="DS138" s="972">
        <f>1-WWWW[[#This Row],[Hygiene Coverage%]]</f>
        <v>0</v>
      </c>
      <c r="DT138" s="970">
        <f>WWWW[[#This Row],['# people reached by regular dedicated hygiene promotion_5]]/WWWW[[#This Row],[Total PoP ]]</f>
        <v>1</v>
      </c>
      <c r="DU13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8" s="971">
        <f>WWWW[[#This Row],['#_Constructed/Existing hand washing stations]]-WWWW[[#This Row],['#_Non-Functional_hand_washing_stations]]</f>
        <v>7</v>
      </c>
      <c r="DX138" s="968">
        <f>IF(WWWW[[#This Row],['# Functional hand washing stations during reporting period]]*20&gt;WWWW[[#This Row],[Total HH]],WWWW[[#This Row],[Total HH]],WWWW[[#This Row],['# Functional hand washing stations during reporting period]]*20)</f>
        <v>11</v>
      </c>
      <c r="DY138" s="968">
        <f>IF(WWWW[[#This Row],[Is sufficient soap available for TLS? (Yes/No)]]="yes",WWWW[[#This Row],['#_Constructed/Existing hand washing stations at TLS/CFS/THF]],0)</f>
        <v>0</v>
      </c>
      <c r="DZ138" s="425">
        <f>IF(WWWW[[#This Row],['# Functional hand washing stations during reporting period]]*100&gt;WWWW[[#This Row],[Total PoP ]],WWWW[[#This Row],[Total PoP ]],WWWW[[#This Row],['# Functional hand washing stations during reporting period]]*100)</f>
        <v>32</v>
      </c>
      <c r="EA138" s="425" t="str">
        <f>IF(OR(WWWW[[#This Row],['#_students at TLS_CFS]]="",WWWW[[#This Row],['#_students at TLS_CFS]]=0),"No","Yes")</f>
        <v>No</v>
      </c>
      <c r="EB13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8" s="570">
        <f>WWWW[[#This Row],[%_of_affected_people_surveyed_who_report_feeling_satistfied_with_the_latrine_design_and_sanitation_service]]*WWWW[[#This Row],[Total PoP ]]</f>
        <v>0</v>
      </c>
      <c r="ED138" s="570">
        <f>WWWW[[#This Row],[%_of_affected_people_surveyed_who_report_feeling_satistfied_with_the_water_point_design_and_water_service]]*WWWW[[#This Row],[Total PoP ]]</f>
        <v>0</v>
      </c>
      <c r="EE138" s="570">
        <f>WWWW[[#This Row],[%_of_complaints_received_that_result_in_timely_corrective_action_and_feedback_to_the_community]]*WWWW[[#This Row],[Total PoP ]]</f>
        <v>0</v>
      </c>
      <c r="EF13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8" s="964">
        <f>VLOOKUP(WWWW[[#This Row],[Site Name]],SiteDB6[[Site Name]:[CCCM Management]],6,FALSE)</f>
        <v>0</v>
      </c>
      <c r="EJ138" s="964">
        <f>VLOOKUP(WWWW[[#This Row],[Site Name]],SiteDB6[[Site Name]:[CCCM Focal Agency]],7,FALSE)</f>
        <v>0</v>
      </c>
      <c r="EK138" s="964" t="str">
        <f>VLOOKUP(WWWW[[#This Row],[Site Name]],SiteDB6[[Site Name]:[Location Type 1]],9,FALSE)</f>
        <v>Camp</v>
      </c>
      <c r="EL138" s="964" t="str">
        <f>VLOOKUP(WWWW[[#This Row],[Site Name]],SiteDB6[[Site Name]:[Type of Accommodation]],10,FALSE)</f>
        <v>Camp</v>
      </c>
      <c r="EM138" s="964" t="str">
        <f>VLOOKUP(WWWW[[#This Row],[Site Name]],SiteDB6[[Site Name]:[Ethnic or GCA/NGCA]],11,FALSE)</f>
        <v>GCA</v>
      </c>
      <c r="EN138" s="964">
        <f>VLOOKUP(WWWW[[#This Row],[Site Name]],SiteDB6[[Site Name]:[Lat]],12,FALSE)</f>
        <v>0</v>
      </c>
      <c r="EO138" s="964">
        <f>VLOOKUP(WWWW[[#This Row],[Site Name]],SiteDB6[[Site Name]:[Long]],13,FALSE)</f>
        <v>0</v>
      </c>
      <c r="EP138" s="964">
        <f>VLOOKUP(WWWW[[#This Row],[Site Name]],SiteDB6[[Site Name]:[Pcode]],3,FALSE)</f>
        <v>0</v>
      </c>
      <c r="EQ138" s="969" t="str">
        <f t="shared" si="4"/>
        <v>Covered</v>
      </c>
      <c r="ER138" s="969" t="s">
        <v>3147</v>
      </c>
      <c r="ES138" s="964">
        <f>VLOOKUP(WWWW[[#This Row],[Site Name]],SiteDB6[[Site Name]:[Pop
(Kachin/Shan-CCCM as of March 2023)]],16,FALSE)</f>
        <v>0</v>
      </c>
      <c r="ET138" s="964">
        <f>VLOOKUP(WWWW[[#This Row],[Site Name]],SiteDB6[[Site Name]:[Pop
(Kachin/Shan-CCCM as of March 2023)]],17,FALSE)</f>
        <v>0</v>
      </c>
    </row>
    <row r="139" spans="1:150" hidden="1">
      <c r="A139" s="962" t="s">
        <v>2977</v>
      </c>
      <c r="B139" s="1068" t="s">
        <v>3203</v>
      </c>
      <c r="C139" s="963" t="s">
        <v>141</v>
      </c>
      <c r="D139" s="963" t="s">
        <v>3114</v>
      </c>
      <c r="E139" s="963" t="s">
        <v>37</v>
      </c>
      <c r="F139" s="963" t="s">
        <v>159</v>
      </c>
      <c r="G139" s="964" t="str">
        <f>VLOOKUP(WWWW[[#This Row],[Site Name]],SiteDB6[[Site Name]:[Location Type]],8,FALSE)</f>
        <v>Camp</v>
      </c>
      <c r="H139" s="963" t="s">
        <v>164</v>
      </c>
      <c r="I139" s="965">
        <v>130</v>
      </c>
      <c r="J139" s="965">
        <v>640</v>
      </c>
      <c r="K139" s="966">
        <v>44811</v>
      </c>
      <c r="L139" s="967">
        <v>45175</v>
      </c>
      <c r="M139" s="965"/>
      <c r="N139" s="965">
        <v>3</v>
      </c>
      <c r="O139" s="965"/>
      <c r="P139" s="965"/>
      <c r="Q139" s="968" t="s">
        <v>41</v>
      </c>
      <c r="R139" s="965">
        <v>2</v>
      </c>
      <c r="S139" s="965">
        <v>3</v>
      </c>
      <c r="T139" s="445">
        <v>3</v>
      </c>
      <c r="U139" s="965"/>
      <c r="V139" s="965"/>
      <c r="W139" s="965">
        <v>3</v>
      </c>
      <c r="X139" s="965"/>
      <c r="Y139" s="965"/>
      <c r="Z139" s="965"/>
      <c r="AA139" s="965"/>
      <c r="AB139" s="965"/>
      <c r="AC139" s="965"/>
      <c r="AD139" s="965"/>
      <c r="AE139" s="965"/>
      <c r="AF139" s="965"/>
      <c r="AG139" s="965"/>
      <c r="AH139" s="965">
        <v>2</v>
      </c>
      <c r="AI139" s="965"/>
      <c r="AJ139" s="965"/>
      <c r="AK139" s="965"/>
      <c r="AL139" s="965"/>
      <c r="AM139" s="965"/>
      <c r="AN139" s="965"/>
      <c r="AO139" s="445"/>
      <c r="AP139" s="969"/>
      <c r="AQ139" s="965">
        <v>32</v>
      </c>
      <c r="AR139" s="965"/>
      <c r="AS139" s="970"/>
      <c r="AT139" s="965"/>
      <c r="AU139" s="965"/>
      <c r="AV139" s="965"/>
      <c r="AW139" s="965"/>
      <c r="AX139" s="965">
        <v>32</v>
      </c>
      <c r="AY139" s="964" t="s">
        <v>41</v>
      </c>
      <c r="AZ139" s="969" t="s">
        <v>137</v>
      </c>
      <c r="BA139" s="965"/>
      <c r="BB139" s="965"/>
      <c r="BC139" s="965"/>
      <c r="BD139" s="445"/>
      <c r="BE139" s="445"/>
      <c r="BF139" s="964"/>
      <c r="BG139" s="965">
        <v>3</v>
      </c>
      <c r="BH139" s="965"/>
      <c r="BI139" s="965"/>
      <c r="BJ139" s="965">
        <v>2</v>
      </c>
      <c r="BK139" s="965"/>
      <c r="BL139" s="965"/>
      <c r="BM139" s="965"/>
      <c r="BN139" s="965"/>
      <c r="BO139" s="965"/>
      <c r="BP139" s="964"/>
      <c r="BQ139" s="971"/>
      <c r="BR139" s="970"/>
      <c r="BS139" s="964"/>
      <c r="BT139" s="420"/>
      <c r="BU139" s="420"/>
      <c r="BV139" s="422"/>
      <c r="BW139" s="420"/>
      <c r="BX139" s="445"/>
      <c r="BY139" s="445"/>
      <c r="BZ139" s="445"/>
      <c r="CA139" s="445"/>
      <c r="CB139" s="445"/>
      <c r="CC139" s="702"/>
      <c r="CD139" s="445"/>
      <c r="CE139" s="972" t="str">
        <f>IFERROR(WWWW[[#This Row],['#_Water sources passed]]/WWWW[[#This Row],['#_Water sources tested for fecal coliform ]],"no test")</f>
        <v>no test</v>
      </c>
      <c r="CF139" s="970" t="str">
        <f>IFERROR(WWWW[[#This Row],['#_Household passed]]/WWWW[[#This Row],['#_Household water samples tested for fecal coliform]],"no test")</f>
        <v>no test</v>
      </c>
      <c r="CG139" s="971" t="str">
        <f>IF(AND(WWWW[[#This Row],[% of water sources passed]]="no test",WWWW[[#This Row],[% Household passed]]="no test"),"No Test","Tested")</f>
        <v>No Test</v>
      </c>
      <c r="CH139" s="971">
        <f>WWWW[[#This Row],['#_Constructed/existing protected hand dug well]]-WWWW[[#This Row],['#_Non-functional protected hand dug well]]</f>
        <v>3</v>
      </c>
      <c r="CI139" s="971">
        <f>(WWWW[[#This Row],['#_Constructed/Existing tube wells/boreholes/handpumps_WASH_agency]]+WWWW[[#This Row],['#_Non-Cluster partner water tube-wells/boreholes/handpumps]])-WWWW[[#This Row],['#_Non-functional tube wells/boreholes/handpumps]]</f>
        <v>3</v>
      </c>
      <c r="CJ139" s="971">
        <f>WWWW[[#This Row],['#_Constructed/Existingwater storage tank with gravity fed reticulation system]]-WWWW[[#This Row],['#_Non-functional storage tank gravity fed reticulation system]]</f>
        <v>0</v>
      </c>
      <c r="CK139" s="971">
        <f>(WWWW[[#This Row],['#_Water_Liters_supplied_by_Water boating or water trucking]]/90)/15</f>
        <v>0</v>
      </c>
      <c r="CL139" s="971">
        <f>WWWW[[#This Row],['#_Water_Liters_from_Constructed/Existing water distribution system from river or natural spring]]/90/15</f>
        <v>0</v>
      </c>
      <c r="CM139" s="421">
        <f>IF(WWWW[[#This Row],['#_of water points in TLS/CFS]]*500&gt;WWWW[[#This Row],[Total PoP ]],WWWW[[#This Row],[Total PoP ]],WWWW[[#This Row],['#_of water points in TLS/CFS]]*500)</f>
        <v>0</v>
      </c>
      <c r="CN139" s="421">
        <f>IF(WWWW[[#This Row],['#_of water points in THF]]*500&gt;WWWW[[#This Row],[Total PoP ]],WWWW[[#This Row],[Total PoP ]],WWWW[[#This Row],['#_of water points in THF]]*500)</f>
        <v>0</v>
      </c>
      <c r="CO139" s="421"/>
      <c r="CP13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9" s="970">
        <f>IF(WWWW[[#This Row],[Location Type 1]]="Village",WWWW[[#This Row],[Access to safe drinking water for Village]],WWWW[[#This Row],[Access to safe drinking water for Camp]])</f>
        <v>1</v>
      </c>
      <c r="CS139" s="968">
        <f>WWWW[[#This Row],[%Equitable and continuous access to sufficient quantity of safe drinking water]]*WWWW[[#This Row],[Total PoP ]]</f>
        <v>640</v>
      </c>
      <c r="CT139" s="970">
        <f>IF((WWWW[[#This Row],['#_Constructed/Existing protected/fenced ponds]]*250)/WWWW[[#This Row],[Total PoP ]]&gt;1,1,(WWWW[[#This Row],['#_Constructed/Existing protected/fenced ponds]]*250)/WWWW[[#This Row],[Total PoP ]])</f>
        <v>0</v>
      </c>
      <c r="CU139" s="968">
        <f>WWWW[[#This Row],[% Access to unimproved water points]]*WWWW[[#This Row],[Total PoP ]]</f>
        <v>0</v>
      </c>
      <c r="CV13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640</v>
      </c>
      <c r="CX139" s="968">
        <f>WWWW[[#This Row],[HRP1]]/500</f>
        <v>1.28</v>
      </c>
      <c r="CY139" s="973">
        <f>1-WWWW[[#This Row],[% Equitable and continuous access to sufficient quantity of domestic water]]</f>
        <v>0</v>
      </c>
      <c r="CZ139" s="968">
        <f>WWWW[[#This Row],[%equitable and continuous access to sufficient quantity of safe drinking and domestic water''s GAP]]*WWWW[[#This Row],[Total PoP ]]</f>
        <v>0</v>
      </c>
      <c r="DA139" s="971">
        <f>IF(WWWW[[#This Row],[Total required water points]]-WWWW[[#This Row],['#Water points coverage]]&lt;0,0,WWWW[[#This Row],[Total required water points]]-WWWW[[#This Row],['#Water points coverage]])</f>
        <v>0</v>
      </c>
      <c r="DB139" s="971">
        <f>ROUND(IF(WWWW[[#This Row],[Total PoP ]]&lt;500,1,WWWW[[#This Row],[Total PoP ]]/500),0)</f>
        <v>1</v>
      </c>
      <c r="DC139" s="971">
        <f>(WWWW[[#This Row],['#_Constructed latrines_by_WASHAgencies]]+WWWW[[#This Row],['#_Non Cluster partner latrines]])-WWWW[[#This Row],['#_Non-functional latrines]]</f>
        <v>32</v>
      </c>
      <c r="DD139" s="619">
        <f>WWWW[[#This Row],[HRP2]]/WWWW[[#This Row],[Total PoP ]]</f>
        <v>1</v>
      </c>
      <c r="DE13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640</v>
      </c>
      <c r="DF13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9" s="421">
        <f>IF(WWWW[[#This Row],['# of functional latrines in THF supported by WASH partners during the reporting period2]]="",0,WWWW[[#This Row],['# of functional latrines in THF supported by WASH partners during the reporting period2]]*50)</f>
        <v>0</v>
      </c>
      <c r="DI139" s="971">
        <f>ROUND(IF(WWWW[[#This Row],[Location Type 1]]="camp",WWWW[[#This Row],[Total PoP ]]/20,IF(WWWW[[#This Row],[Location Type 1]]="Temporary Location",WWWW[[#This Row],[Total PoP ]]/50,(WWWW[[#This Row],[Total PoP ]]/6))),0)</f>
        <v>32</v>
      </c>
      <c r="DJ139" s="971">
        <f>IF(WWWW[[#This Row],[Total required Latrines]]-(WWWW[[#This Row],['#_Constructed latrines_by_WASHAgencies]]+WWWW[[#This Row],['#_Non Cluster partner latrines]])&lt;0,0,WWWW[[#This Row],[Total required Latrines]]-(WWWW[[#This Row],['#_Constructed latrines_by_WASHAgencies]]+WWWW[[#This Row],['#_Non Cluster partner latrines]]))</f>
        <v>0</v>
      </c>
      <c r="DK139" s="973">
        <f>1-WWWW[[#This Row],[% people access to functioning Latrine]]</f>
        <v>0</v>
      </c>
      <c r="DL139" s="972">
        <f>IF(OR(WWWW[[#This Row],['#_Non-functional latrines]]="",WWWW[[#This Row],['#_Non-functional latrines]]=0),0,WWWW[[#This Row],['#_Non-functional latrines]]/(WWWW[[#This Row],['#_Constructed latrines_by_WASHAgencies]]+WWWW[[#This Row],['#_Non Cluster partner latrines]]))</f>
        <v>0</v>
      </c>
      <c r="DM139" s="968">
        <f>IF(500*(WWWW[[#This Row],['#_male hygiene promoters]]+WWWW[[#This Row],['#_female hygiene promoters]])&gt;WWWW[[#This Row],[Total PoP ]],WWWW[[#This Row],[Total PoP ]],500*(WWWW[[#This Row],['#_male hygiene promoters]]+WWWW[[#This Row],['#_female hygiene promoters]]))</f>
        <v>0</v>
      </c>
      <c r="DN13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9" s="971">
        <f>IF(WWWW[[#This Row],['# People with access to soap]]&gt;WWWW[[#This Row],['# People with access to Sanity Pads]],WWWW[[#This Row],['# People with access to soap]],WWWW[[#This Row],['# People with access to Sanity Pads]])</f>
        <v>0</v>
      </c>
      <c r="DQ13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9" s="973">
        <f>IF(WWWW[[#This Row],[HRP3]]/WWWW[[#This Row],[Total PoP ]]&gt;1,1,WWWW[[#This Row],[HRP3]]/WWWW[[#This Row],[Total PoP ]])</f>
        <v>0</v>
      </c>
      <c r="DS139" s="972">
        <f>1-WWWW[[#This Row],[Hygiene Coverage%]]</f>
        <v>1</v>
      </c>
      <c r="DT139" s="970">
        <f>WWWW[[#This Row],['# people reached by regular dedicated hygiene promotion_5]]/WWWW[[#This Row],[Total PoP ]]</f>
        <v>0</v>
      </c>
      <c r="DU13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9" s="971">
        <f>WWWW[[#This Row],['#_Constructed/Existing hand washing stations]]-WWWW[[#This Row],['#_Non-Functional_hand_washing_stations]]</f>
        <v>3</v>
      </c>
      <c r="DX139" s="968">
        <f>IF(WWWW[[#This Row],['# Functional hand washing stations during reporting period]]*20&gt;WWWW[[#This Row],[Total HH]],WWWW[[#This Row],[Total HH]],WWWW[[#This Row],['# Functional hand washing stations during reporting period]]*20)</f>
        <v>60</v>
      </c>
      <c r="DY139" s="968">
        <f>IF(WWWW[[#This Row],[Is sufficient soap available for TLS? (Yes/No)]]="yes",WWWW[[#This Row],['#_Constructed/Existing hand washing stations at TLS/CFS/THF]],0)</f>
        <v>0</v>
      </c>
      <c r="DZ139" s="425">
        <f>IF(WWWW[[#This Row],['# Functional hand washing stations during reporting period]]*100&gt;WWWW[[#This Row],[Total PoP ]],WWWW[[#This Row],[Total PoP ]],WWWW[[#This Row],['# Functional hand washing stations during reporting period]]*100)</f>
        <v>300</v>
      </c>
      <c r="EA139" s="425" t="str">
        <f>IF(OR(WWWW[[#This Row],['#_students at TLS_CFS]]="",WWWW[[#This Row],['#_students at TLS_CFS]]=0),"No","Yes")</f>
        <v>No</v>
      </c>
      <c r="EB13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9" s="570">
        <f>WWWW[[#This Row],[%_of_affected_people_surveyed_who_report_feeling_satistfied_with_the_latrine_design_and_sanitation_service]]*WWWW[[#This Row],[Total PoP ]]</f>
        <v>0</v>
      </c>
      <c r="ED139" s="570">
        <f>WWWW[[#This Row],[%_of_affected_people_surveyed_who_report_feeling_satistfied_with_the_water_point_design_and_water_service]]*WWWW[[#This Row],[Total PoP ]]</f>
        <v>0</v>
      </c>
      <c r="EE139" s="570">
        <f>WWWW[[#This Row],[%_of_complaints_received_that_result_in_timely_corrective_action_and_feedback_to_the_community]]*WWWW[[#This Row],[Total PoP ]]</f>
        <v>0</v>
      </c>
      <c r="EF13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9" s="964" t="str">
        <f>VLOOKUP(WWWW[[#This Row],[Site Name]],SiteDB6[[Site Name]:[CCCM Management]],6,FALSE)</f>
        <v>Yes</v>
      </c>
      <c r="EJ139" s="964" t="str">
        <f>VLOOKUP(WWWW[[#This Row],[Site Name]],SiteDB6[[Site Name]:[CCCM Focal Agency]],7,FALSE)</f>
        <v>KBC-MYT</v>
      </c>
      <c r="EK139" s="964" t="str">
        <f>VLOOKUP(WWWW[[#This Row],[Site Name]],SiteDB6[[Site Name]:[Location Type 1]],9,FALSE)</f>
        <v>Camp</v>
      </c>
      <c r="EL139" s="964" t="str">
        <f>VLOOKUP(WWWW[[#This Row],[Site Name]],SiteDB6[[Site Name]:[Type of Accommodation]],10,FALSE)</f>
        <v>Camp</v>
      </c>
      <c r="EM139" s="964" t="str">
        <f>VLOOKUP(WWWW[[#This Row],[Site Name]],SiteDB6[[Site Name]:[Ethnic or GCA/NGCA]],11,FALSE)</f>
        <v>GCA</v>
      </c>
      <c r="EN139" s="964">
        <f>VLOOKUP(WWWW[[#This Row],[Site Name]],SiteDB6[[Site Name]:[Lat]],12,FALSE)</f>
        <v>25.3510167948718</v>
      </c>
      <c r="EO139" s="964">
        <f>VLOOKUP(WWWW[[#This Row],[Site Name]],SiteDB6[[Site Name]:[Long]],13,FALSE)</f>
        <v>97.403402307692303</v>
      </c>
      <c r="EP139" s="964" t="str">
        <f>VLOOKUP(WWWW[[#This Row],[Site Name]],SiteDB6[[Site Name]:[Pcode]],3,FALSE)</f>
        <v>MMR001CMP014</v>
      </c>
      <c r="EQ139" s="969" t="str">
        <f t="shared" si="4"/>
        <v>Covered</v>
      </c>
      <c r="ER139" s="969" t="s">
        <v>3147</v>
      </c>
      <c r="ES139" s="964">
        <f>VLOOKUP(WWWW[[#This Row],[Site Name]],SiteDB6[[Site Name]:[Pop
(Kachin/Shan-CCCM as of March 2023)]],16,FALSE)</f>
        <v>131</v>
      </c>
      <c r="ET139" s="964">
        <f>VLOOKUP(WWWW[[#This Row],[Site Name]],SiteDB6[[Site Name]:[Pop
(Kachin/Shan-CCCM as of March 2023)]],17,FALSE)</f>
        <v>647</v>
      </c>
    </row>
    <row r="140" spans="1:150" hidden="1">
      <c r="A140" s="962" t="s">
        <v>2977</v>
      </c>
      <c r="B140" s="962" t="s">
        <v>309</v>
      </c>
      <c r="C140" s="963" t="s">
        <v>309</v>
      </c>
      <c r="D140" s="963"/>
      <c r="E140" s="963" t="s">
        <v>37</v>
      </c>
      <c r="F140" s="963" t="s">
        <v>142</v>
      </c>
      <c r="G140" s="964" t="str">
        <f>VLOOKUP(WWWW[[#This Row],[Site Name]],SiteDB6[[Site Name]:[Location Type]],8,FALSE)</f>
        <v>Relocated</v>
      </c>
      <c r="H140" s="963" t="s">
        <v>2583</v>
      </c>
      <c r="I140" s="965">
        <v>95</v>
      </c>
      <c r="J140" s="965">
        <v>499</v>
      </c>
      <c r="K140" s="966"/>
      <c r="L140" s="967"/>
      <c r="M140" s="965"/>
      <c r="N140" s="965"/>
      <c r="O140" s="965"/>
      <c r="P140" s="965"/>
      <c r="Q140" s="968"/>
      <c r="R140" s="965"/>
      <c r="S140" s="965"/>
      <c r="T140" s="445"/>
      <c r="U140" s="965"/>
      <c r="V140" s="965"/>
      <c r="W140" s="965"/>
      <c r="X140" s="965"/>
      <c r="Y140" s="965"/>
      <c r="Z140" s="965"/>
      <c r="AA140" s="965"/>
      <c r="AB140" s="965"/>
      <c r="AC140" s="965"/>
      <c r="AD140" s="965"/>
      <c r="AE140" s="965"/>
      <c r="AF140" s="965"/>
      <c r="AG140" s="965"/>
      <c r="AH140" s="965"/>
      <c r="AI140" s="965"/>
      <c r="AJ140" s="965"/>
      <c r="AK140" s="965"/>
      <c r="AL140" s="965"/>
      <c r="AM140" s="965"/>
      <c r="AN140" s="965"/>
      <c r="AO140" s="445"/>
      <c r="AP140" s="969"/>
      <c r="AQ140" s="965"/>
      <c r="AR140" s="965"/>
      <c r="AS140" s="970"/>
      <c r="AT140" s="965"/>
      <c r="AU140" s="965"/>
      <c r="AV140" s="965"/>
      <c r="AW140" s="965"/>
      <c r="AX140" s="965"/>
      <c r="AY140" s="964"/>
      <c r="AZ140" s="969"/>
      <c r="BA140" s="965"/>
      <c r="BB140" s="965"/>
      <c r="BC140" s="965"/>
      <c r="BD140" s="445"/>
      <c r="BE140" s="445"/>
      <c r="BF140" s="964"/>
      <c r="BG140" s="965"/>
      <c r="BH140" s="965"/>
      <c r="BI140" s="965"/>
      <c r="BJ140" s="965"/>
      <c r="BK140" s="965"/>
      <c r="BL140" s="965"/>
      <c r="BM140" s="965"/>
      <c r="BN140" s="965"/>
      <c r="BO140" s="965"/>
      <c r="BP140" s="964"/>
      <c r="BQ140" s="971"/>
      <c r="BR140" s="970"/>
      <c r="BS140" s="964"/>
      <c r="BT140" s="420"/>
      <c r="BU140" s="420"/>
      <c r="BV140" s="422"/>
      <c r="BW140" s="420"/>
      <c r="BX140" s="445"/>
      <c r="BY140" s="445"/>
      <c r="BZ140" s="445"/>
      <c r="CA140" s="445"/>
      <c r="CB140" s="445"/>
      <c r="CC140" s="702"/>
      <c r="CD140" s="445"/>
      <c r="CE140" s="972" t="str">
        <f>IFERROR(WWWW[[#This Row],['#_Water sources passed]]/WWWW[[#This Row],['#_Water sources tested for fecal coliform ]],"no test")</f>
        <v>no test</v>
      </c>
      <c r="CF140" s="970" t="str">
        <f>IFERROR(WWWW[[#This Row],['#_Household passed]]/WWWW[[#This Row],['#_Household water samples tested for fecal coliform]],"no test")</f>
        <v>no test</v>
      </c>
      <c r="CG140" s="971" t="str">
        <f>IF(AND(WWWW[[#This Row],[% of water sources passed]]="no test",WWWW[[#This Row],[% Household passed]]="no test"),"No Test","Tested")</f>
        <v>No Test</v>
      </c>
      <c r="CH140" s="971">
        <f>WWWW[[#This Row],['#_Constructed/existing protected hand dug well]]-WWWW[[#This Row],['#_Non-functional protected hand dug well]]</f>
        <v>0</v>
      </c>
      <c r="CI140" s="971">
        <f>(WWWW[[#This Row],['#_Constructed/Existing tube wells/boreholes/handpumps_WASH_agency]]+WWWW[[#This Row],['#_Non-Cluster partner water tube-wells/boreholes/handpumps]])-WWWW[[#This Row],['#_Non-functional tube wells/boreholes/handpumps]]</f>
        <v>0</v>
      </c>
      <c r="CJ140" s="971">
        <f>WWWW[[#This Row],['#_Constructed/Existingwater storage tank with gravity fed reticulation system]]-WWWW[[#This Row],['#_Non-functional storage tank gravity fed reticulation system]]</f>
        <v>0</v>
      </c>
      <c r="CK140" s="971">
        <f>(WWWW[[#This Row],['#_Water_Liters_supplied_by_Water boating or water trucking]]/90)/15</f>
        <v>0</v>
      </c>
      <c r="CL140" s="971">
        <f>WWWW[[#This Row],['#_Water_Liters_from_Constructed/Existing water distribution system from river or natural spring]]/90/15</f>
        <v>0</v>
      </c>
      <c r="CM140" s="421">
        <f>IF(WWWW[[#This Row],['#_of water points in TLS/CFS]]*500&gt;WWWW[[#This Row],[Total PoP ]],WWWW[[#This Row],[Total PoP ]],WWWW[[#This Row],['#_of water points in TLS/CFS]]*500)</f>
        <v>0</v>
      </c>
      <c r="CN140" s="421">
        <f>IF(WWWW[[#This Row],['#_of water points in THF]]*500&gt;WWWW[[#This Row],[Total PoP ]],WWWW[[#This Row],[Total PoP ]],WWWW[[#This Row],['#_of water points in THF]]*500)</f>
        <v>0</v>
      </c>
      <c r="CO140" s="421"/>
      <c r="CP14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0" s="970">
        <f>IF(WWWW[[#This Row],[Location Type 1]]="Village",WWWW[[#This Row],[Access to safe drinking water for Village]],WWWW[[#This Row],[Access to safe drinking water for Camp]])</f>
        <v>0</v>
      </c>
      <c r="CS140" s="968">
        <f>WWWW[[#This Row],[%Equitable and continuous access to sufficient quantity of safe drinking water]]*WWWW[[#This Row],[Total PoP ]]</f>
        <v>0</v>
      </c>
      <c r="CT140" s="970">
        <f>IF((WWWW[[#This Row],['#_Constructed/Existing protected/fenced ponds]]*250)/WWWW[[#This Row],[Total PoP ]]&gt;1,1,(WWWW[[#This Row],['#_Constructed/Existing protected/fenced ponds]]*250)/WWWW[[#This Row],[Total PoP ]])</f>
        <v>0</v>
      </c>
      <c r="CU140" s="968">
        <f>WWWW[[#This Row],[% Access to unimproved water points]]*WWWW[[#This Row],[Total PoP ]]</f>
        <v>0</v>
      </c>
      <c r="CV14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0" s="968">
        <f>WWWW[[#This Row],[HRP1]]/500</f>
        <v>0</v>
      </c>
      <c r="CY140" s="973">
        <f>1-WWWW[[#This Row],[% Equitable and continuous access to sufficient quantity of domestic water]]</f>
        <v>1</v>
      </c>
      <c r="CZ140" s="968">
        <f>WWWW[[#This Row],[%equitable and continuous access to sufficient quantity of safe drinking and domestic water''s GAP]]*WWWW[[#This Row],[Total PoP ]]</f>
        <v>499</v>
      </c>
      <c r="DA140" s="971">
        <f>IF(WWWW[[#This Row],[Total required water points]]-WWWW[[#This Row],['#Water points coverage]]&lt;0,0,WWWW[[#This Row],[Total required water points]]-WWWW[[#This Row],['#Water points coverage]])</f>
        <v>1</v>
      </c>
      <c r="DB140" s="971">
        <f>ROUND(IF(WWWW[[#This Row],[Total PoP ]]&lt;500,1,WWWW[[#This Row],[Total PoP ]]/500),0)</f>
        <v>1</v>
      </c>
      <c r="DC140" s="971">
        <f>(WWWW[[#This Row],['#_Constructed latrines_by_WASHAgencies]]+WWWW[[#This Row],['#_Non Cluster partner latrines]])-WWWW[[#This Row],['#_Non-functional latrines]]</f>
        <v>0</v>
      </c>
      <c r="DD140" s="619">
        <f>WWWW[[#This Row],[HRP2]]/WWWW[[#This Row],[Total PoP ]]</f>
        <v>0</v>
      </c>
      <c r="DE14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0" s="421">
        <f>IF(WWWW[[#This Row],['# of functional latrines in THF supported by WASH partners during the reporting period2]]="",0,WWWW[[#This Row],['# of functional latrines in THF supported by WASH partners during the reporting period2]]*50)</f>
        <v>0</v>
      </c>
      <c r="DI140" s="971">
        <f>ROUND(IF(WWWW[[#This Row],[Location Type 1]]="camp",WWWW[[#This Row],[Total PoP ]]/20,IF(WWWW[[#This Row],[Location Type 1]]="Temporary Location",WWWW[[#This Row],[Total PoP ]]/50,(WWWW[[#This Row],[Total PoP ]]/6))),0)</f>
        <v>83</v>
      </c>
      <c r="DJ140" s="971">
        <f>IF(WWWW[[#This Row],[Total required Latrines]]-(WWWW[[#This Row],['#_Constructed latrines_by_WASHAgencies]]+WWWW[[#This Row],['#_Non Cluster partner latrines]])&lt;0,0,WWWW[[#This Row],[Total required Latrines]]-(WWWW[[#This Row],['#_Constructed latrines_by_WASHAgencies]]+WWWW[[#This Row],['#_Non Cluster partner latrines]]))</f>
        <v>83</v>
      </c>
      <c r="DK140" s="973">
        <f>1-WWWW[[#This Row],[% people access to functioning Latrine]]</f>
        <v>1</v>
      </c>
      <c r="DL140" s="972">
        <f>IF(OR(WWWW[[#This Row],['#_Non-functional latrines]]="",WWWW[[#This Row],['#_Non-functional latrines]]=0),0,WWWW[[#This Row],['#_Non-functional latrines]]/(WWWW[[#This Row],['#_Constructed latrines_by_WASHAgencies]]+WWWW[[#This Row],['#_Non Cluster partner latrines]]))</f>
        <v>0</v>
      </c>
      <c r="DM140" s="968">
        <f>IF(500*(WWWW[[#This Row],['#_male hygiene promoters]]+WWWW[[#This Row],['#_female hygiene promoters]])&gt;WWWW[[#This Row],[Total PoP ]],WWWW[[#This Row],[Total PoP ]],500*(WWWW[[#This Row],['#_male hygiene promoters]]+WWWW[[#This Row],['#_female hygiene promoters]]))</f>
        <v>0</v>
      </c>
      <c r="DN14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0" s="971">
        <f>IF(WWWW[[#This Row],['# People with access to soap]]&gt;WWWW[[#This Row],['# People with access to Sanity Pads]],WWWW[[#This Row],['# People with access to soap]],WWWW[[#This Row],['# People with access to Sanity Pads]])</f>
        <v>0</v>
      </c>
      <c r="DQ140"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0" s="973">
        <f>IF(WWWW[[#This Row],[HRP3]]/WWWW[[#This Row],[Total PoP ]]&gt;1,1,WWWW[[#This Row],[HRP3]]/WWWW[[#This Row],[Total PoP ]])</f>
        <v>0</v>
      </c>
      <c r="DS140" s="972">
        <f>1-WWWW[[#This Row],[Hygiene Coverage%]]</f>
        <v>1</v>
      </c>
      <c r="DT140" s="970">
        <f>WWWW[[#This Row],['# people reached by regular dedicated hygiene promotion_5]]/WWWW[[#This Row],[Total PoP ]]</f>
        <v>0</v>
      </c>
      <c r="DU14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0" s="971">
        <f>WWWW[[#This Row],['#_Constructed/Existing hand washing stations]]-WWWW[[#This Row],['#_Non-Functional_hand_washing_stations]]</f>
        <v>0</v>
      </c>
      <c r="DX140" s="968">
        <f>IF(WWWW[[#This Row],['# Functional hand washing stations during reporting period]]*20&gt;WWWW[[#This Row],[Total HH]],WWWW[[#This Row],[Total HH]],WWWW[[#This Row],['# Functional hand washing stations during reporting period]]*20)</f>
        <v>0</v>
      </c>
      <c r="DY140" s="968">
        <f>IF(WWWW[[#This Row],[Is sufficient soap available for TLS? (Yes/No)]]="yes",WWWW[[#This Row],['#_Constructed/Existing hand washing stations at TLS/CFS/THF]],0)</f>
        <v>0</v>
      </c>
      <c r="DZ140" s="425">
        <f>IF(WWWW[[#This Row],['# Functional hand washing stations during reporting period]]*100&gt;WWWW[[#This Row],[Total PoP ]],WWWW[[#This Row],[Total PoP ]],WWWW[[#This Row],['# Functional hand washing stations during reporting period]]*100)</f>
        <v>0</v>
      </c>
      <c r="EA140" s="425" t="str">
        <f>IF(OR(WWWW[[#This Row],['#_students at TLS_CFS]]="",WWWW[[#This Row],['#_students at TLS_CFS]]=0),"No","Yes")</f>
        <v>No</v>
      </c>
      <c r="EB14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0" s="570">
        <f>WWWW[[#This Row],[%_of_affected_people_surveyed_who_report_feeling_satistfied_with_the_latrine_design_and_sanitation_service]]*WWWW[[#This Row],[Total PoP ]]</f>
        <v>0</v>
      </c>
      <c r="ED140" s="570">
        <f>WWWW[[#This Row],[%_of_affected_people_surveyed_who_report_feeling_satistfied_with_the_water_point_design_and_water_service]]*WWWW[[#This Row],[Total PoP ]]</f>
        <v>0</v>
      </c>
      <c r="EE140" s="570">
        <f>WWWW[[#This Row],[%_of_complaints_received_that_result_in_timely_corrective_action_and_feedback_to_the_community]]*WWWW[[#This Row],[Total PoP ]]</f>
        <v>0</v>
      </c>
      <c r="EF14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0" s="964">
        <f>VLOOKUP(WWWW[[#This Row],[Site Name]],SiteDB6[[Site Name]:[CCCM Management]],6,FALSE)</f>
        <v>0</v>
      </c>
      <c r="EJ140" s="964">
        <f>VLOOKUP(WWWW[[#This Row],[Site Name]],SiteDB6[[Site Name]:[CCCM Focal Agency]],7,FALSE)</f>
        <v>0</v>
      </c>
      <c r="EK140" s="964" t="str">
        <f>VLOOKUP(WWWW[[#This Row],[Site Name]],SiteDB6[[Site Name]:[Location Type 1]],9,FALSE)</f>
        <v>Relocated</v>
      </c>
      <c r="EL140" s="964" t="str">
        <f>VLOOKUP(WWWW[[#This Row],[Site Name]],SiteDB6[[Site Name]:[Type of Accommodation]],10,FALSE)</f>
        <v>Relocated-Individual House</v>
      </c>
      <c r="EM140" s="964" t="str">
        <f>VLOOKUP(WWWW[[#This Row],[Site Name]],SiteDB6[[Site Name]:[Ethnic or GCA/NGCA]],11,FALSE)</f>
        <v>GCA</v>
      </c>
      <c r="EN140" s="964">
        <f>VLOOKUP(WWWW[[#This Row],[Site Name]],SiteDB6[[Site Name]:[Lat]],12,FALSE)</f>
        <v>25.415667500000001</v>
      </c>
      <c r="EO140" s="964">
        <f>VLOOKUP(WWWW[[#This Row],[Site Name]],SiteDB6[[Site Name]:[Long]],13,FALSE)</f>
        <v>97.437782499999997</v>
      </c>
      <c r="EP140" s="964" t="str">
        <f>VLOOKUP(WWWW[[#This Row],[Site Name]],SiteDB6[[Site Name]:[Pcode]],3,FALSE)</f>
        <v>MMR001CMP277</v>
      </c>
      <c r="EQ140" s="969" t="str">
        <f t="shared" si="4"/>
        <v>Notcovered</v>
      </c>
      <c r="ER140" s="969"/>
      <c r="ES140" s="964">
        <f>VLOOKUP(WWWW[[#This Row],[Site Name]],SiteDB6[[Site Name]:[Pop
(Kachin/Shan-CCCM as of March 2023)]],16,FALSE)</f>
        <v>95</v>
      </c>
      <c r="ET140" s="964">
        <f>VLOOKUP(WWWW[[#This Row],[Site Name]],SiteDB6[[Site Name]:[Pop
(Kachin/Shan-CCCM as of March 2023)]],17,FALSE)</f>
        <v>499</v>
      </c>
    </row>
    <row r="141" spans="1:150" hidden="1">
      <c r="A141" s="962" t="s">
        <v>2977</v>
      </c>
      <c r="B141" s="962" t="s">
        <v>309</v>
      </c>
      <c r="C141" s="963" t="s">
        <v>309</v>
      </c>
      <c r="D141" s="963"/>
      <c r="E141" s="963" t="s">
        <v>37</v>
      </c>
      <c r="F141" s="963" t="s">
        <v>38</v>
      </c>
      <c r="G141" s="964" t="str">
        <f>VLOOKUP(WWWW[[#This Row],[Site Name]],SiteDB6[[Site Name]:[Location Type]],8,FALSE)</f>
        <v>Relocated</v>
      </c>
      <c r="H141" s="963" t="s">
        <v>2584</v>
      </c>
      <c r="I141" s="965">
        <v>86</v>
      </c>
      <c r="J141" s="965">
        <v>450</v>
      </c>
      <c r="K141" s="966"/>
      <c r="L141" s="967"/>
      <c r="M141" s="965"/>
      <c r="N141" s="965"/>
      <c r="O141" s="965"/>
      <c r="P141" s="965"/>
      <c r="Q141" s="968"/>
      <c r="R141" s="965"/>
      <c r="S141" s="965"/>
      <c r="T141" s="445"/>
      <c r="U141" s="965"/>
      <c r="V141" s="965"/>
      <c r="W141" s="965"/>
      <c r="X141" s="965"/>
      <c r="Y141" s="965"/>
      <c r="Z141" s="965"/>
      <c r="AA141" s="965"/>
      <c r="AB141" s="965"/>
      <c r="AC141" s="965"/>
      <c r="AD141" s="965"/>
      <c r="AE141" s="965"/>
      <c r="AF141" s="965"/>
      <c r="AG141" s="965"/>
      <c r="AH141" s="965"/>
      <c r="AI141" s="965"/>
      <c r="AJ141" s="965"/>
      <c r="AK141" s="965"/>
      <c r="AL141" s="965"/>
      <c r="AM141" s="965"/>
      <c r="AN141" s="965"/>
      <c r="AO141" s="445"/>
      <c r="AP141" s="969"/>
      <c r="AQ141" s="965"/>
      <c r="AR141" s="965"/>
      <c r="AS141" s="970"/>
      <c r="AT141" s="965"/>
      <c r="AU141" s="965"/>
      <c r="AV141" s="965"/>
      <c r="AW141" s="965"/>
      <c r="AX141" s="965"/>
      <c r="AY141" s="964"/>
      <c r="AZ141" s="969"/>
      <c r="BA141" s="965"/>
      <c r="BB141" s="965"/>
      <c r="BC141" s="965"/>
      <c r="BD141" s="445"/>
      <c r="BE141" s="445"/>
      <c r="BF141" s="964"/>
      <c r="BG141" s="965"/>
      <c r="BH141" s="965"/>
      <c r="BI141" s="965"/>
      <c r="BJ141" s="965"/>
      <c r="BK141" s="965"/>
      <c r="BL141" s="965"/>
      <c r="BM141" s="965"/>
      <c r="BN141" s="965"/>
      <c r="BO141" s="965"/>
      <c r="BP141" s="964"/>
      <c r="BQ141" s="971"/>
      <c r="BR141" s="970"/>
      <c r="BS141" s="964"/>
      <c r="BT141" s="420"/>
      <c r="BU141" s="420"/>
      <c r="BV141" s="422"/>
      <c r="BW141" s="420"/>
      <c r="BX141" s="445"/>
      <c r="BY141" s="445"/>
      <c r="BZ141" s="445"/>
      <c r="CA141" s="445"/>
      <c r="CB141" s="445"/>
      <c r="CC141" s="702"/>
      <c r="CD141" s="445"/>
      <c r="CE141" s="972" t="str">
        <f>IFERROR(WWWW[[#This Row],['#_Water sources passed]]/WWWW[[#This Row],['#_Water sources tested for fecal coliform ]],"no test")</f>
        <v>no test</v>
      </c>
      <c r="CF141" s="970" t="str">
        <f>IFERROR(WWWW[[#This Row],['#_Household passed]]/WWWW[[#This Row],['#_Household water samples tested for fecal coliform]],"no test")</f>
        <v>no test</v>
      </c>
      <c r="CG141" s="971" t="str">
        <f>IF(AND(WWWW[[#This Row],[% of water sources passed]]="no test",WWWW[[#This Row],[% Household passed]]="no test"),"No Test","Tested")</f>
        <v>No Test</v>
      </c>
      <c r="CH141" s="971">
        <f>WWWW[[#This Row],['#_Constructed/existing protected hand dug well]]-WWWW[[#This Row],['#_Non-functional protected hand dug well]]</f>
        <v>0</v>
      </c>
      <c r="CI141" s="971">
        <f>(WWWW[[#This Row],['#_Constructed/Existing tube wells/boreholes/handpumps_WASH_agency]]+WWWW[[#This Row],['#_Non-Cluster partner water tube-wells/boreholes/handpumps]])-WWWW[[#This Row],['#_Non-functional tube wells/boreholes/handpumps]]</f>
        <v>0</v>
      </c>
      <c r="CJ141" s="971">
        <f>WWWW[[#This Row],['#_Constructed/Existingwater storage tank with gravity fed reticulation system]]-WWWW[[#This Row],['#_Non-functional storage tank gravity fed reticulation system]]</f>
        <v>0</v>
      </c>
      <c r="CK141" s="971">
        <f>(WWWW[[#This Row],['#_Water_Liters_supplied_by_Water boating or water trucking]]/90)/15</f>
        <v>0</v>
      </c>
      <c r="CL141" s="971">
        <f>WWWW[[#This Row],['#_Water_Liters_from_Constructed/Existing water distribution system from river or natural spring]]/90/15</f>
        <v>0</v>
      </c>
      <c r="CM141" s="421">
        <f>IF(WWWW[[#This Row],['#_of water points in TLS/CFS]]*500&gt;WWWW[[#This Row],[Total PoP ]],WWWW[[#This Row],[Total PoP ]],WWWW[[#This Row],['#_of water points in TLS/CFS]]*500)</f>
        <v>0</v>
      </c>
      <c r="CN141" s="421">
        <f>IF(WWWW[[#This Row],['#_of water points in THF]]*500&gt;WWWW[[#This Row],[Total PoP ]],WWWW[[#This Row],[Total PoP ]],WWWW[[#This Row],['#_of water points in THF]]*500)</f>
        <v>0</v>
      </c>
      <c r="CO141" s="421"/>
      <c r="CP14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1" s="970">
        <f>IF(WWWW[[#This Row],[Location Type 1]]="Village",WWWW[[#This Row],[Access to safe drinking water for Village]],WWWW[[#This Row],[Access to safe drinking water for Camp]])</f>
        <v>0</v>
      </c>
      <c r="CS141" s="968">
        <f>WWWW[[#This Row],[%Equitable and continuous access to sufficient quantity of safe drinking water]]*WWWW[[#This Row],[Total PoP ]]</f>
        <v>0</v>
      </c>
      <c r="CT141" s="970">
        <f>IF((WWWW[[#This Row],['#_Constructed/Existing protected/fenced ponds]]*250)/WWWW[[#This Row],[Total PoP ]]&gt;1,1,(WWWW[[#This Row],['#_Constructed/Existing protected/fenced ponds]]*250)/WWWW[[#This Row],[Total PoP ]])</f>
        <v>0</v>
      </c>
      <c r="CU141" s="968">
        <f>WWWW[[#This Row],[% Access to unimproved water points]]*WWWW[[#This Row],[Total PoP ]]</f>
        <v>0</v>
      </c>
      <c r="CV14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1" s="968">
        <f>WWWW[[#This Row],[HRP1]]/500</f>
        <v>0</v>
      </c>
      <c r="CY141" s="973">
        <f>1-WWWW[[#This Row],[% Equitable and continuous access to sufficient quantity of domestic water]]</f>
        <v>1</v>
      </c>
      <c r="CZ141" s="968">
        <f>WWWW[[#This Row],[%equitable and continuous access to sufficient quantity of safe drinking and domestic water''s GAP]]*WWWW[[#This Row],[Total PoP ]]</f>
        <v>450</v>
      </c>
      <c r="DA141" s="971">
        <f>IF(WWWW[[#This Row],[Total required water points]]-WWWW[[#This Row],['#Water points coverage]]&lt;0,0,WWWW[[#This Row],[Total required water points]]-WWWW[[#This Row],['#Water points coverage]])</f>
        <v>1</v>
      </c>
      <c r="DB141" s="971">
        <f>ROUND(IF(WWWW[[#This Row],[Total PoP ]]&lt;500,1,WWWW[[#This Row],[Total PoP ]]/500),0)</f>
        <v>1</v>
      </c>
      <c r="DC141" s="971">
        <f>(WWWW[[#This Row],['#_Constructed latrines_by_WASHAgencies]]+WWWW[[#This Row],['#_Non Cluster partner latrines]])-WWWW[[#This Row],['#_Non-functional latrines]]</f>
        <v>0</v>
      </c>
      <c r="DD141" s="619">
        <f>WWWW[[#This Row],[HRP2]]/WWWW[[#This Row],[Total PoP ]]</f>
        <v>0</v>
      </c>
      <c r="DE14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1" s="421">
        <f>IF(WWWW[[#This Row],['# of functional latrines in THF supported by WASH partners during the reporting period2]]="",0,WWWW[[#This Row],['# of functional latrines in THF supported by WASH partners during the reporting period2]]*50)</f>
        <v>0</v>
      </c>
      <c r="DI141" s="971">
        <f>ROUND(IF(WWWW[[#This Row],[Location Type 1]]="camp",WWWW[[#This Row],[Total PoP ]]/20,IF(WWWW[[#This Row],[Location Type 1]]="Temporary Location",WWWW[[#This Row],[Total PoP ]]/50,(WWWW[[#This Row],[Total PoP ]]/6))),0)</f>
        <v>75</v>
      </c>
      <c r="DJ141" s="971">
        <f>IF(WWWW[[#This Row],[Total required Latrines]]-(WWWW[[#This Row],['#_Constructed latrines_by_WASHAgencies]]+WWWW[[#This Row],['#_Non Cluster partner latrines]])&lt;0,0,WWWW[[#This Row],[Total required Latrines]]-(WWWW[[#This Row],['#_Constructed latrines_by_WASHAgencies]]+WWWW[[#This Row],['#_Non Cluster partner latrines]]))</f>
        <v>75</v>
      </c>
      <c r="DK141" s="973">
        <f>1-WWWW[[#This Row],[% people access to functioning Latrine]]</f>
        <v>1</v>
      </c>
      <c r="DL141" s="972">
        <f>IF(OR(WWWW[[#This Row],['#_Non-functional latrines]]="",WWWW[[#This Row],['#_Non-functional latrines]]=0),0,WWWW[[#This Row],['#_Non-functional latrines]]/(WWWW[[#This Row],['#_Constructed latrines_by_WASHAgencies]]+WWWW[[#This Row],['#_Non Cluster partner latrines]]))</f>
        <v>0</v>
      </c>
      <c r="DM141" s="968">
        <f>IF(500*(WWWW[[#This Row],['#_male hygiene promoters]]+WWWW[[#This Row],['#_female hygiene promoters]])&gt;WWWW[[#This Row],[Total PoP ]],WWWW[[#This Row],[Total PoP ]],500*(WWWW[[#This Row],['#_male hygiene promoters]]+WWWW[[#This Row],['#_female hygiene promoters]]))</f>
        <v>0</v>
      </c>
      <c r="DN14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1" s="971">
        <f>IF(WWWW[[#This Row],['# People with access to soap]]&gt;WWWW[[#This Row],['# People with access to Sanity Pads]],WWWW[[#This Row],['# People with access to soap]],WWWW[[#This Row],['# People with access to Sanity Pads]])</f>
        <v>0</v>
      </c>
      <c r="DQ14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1" s="973">
        <f>IF(WWWW[[#This Row],[HRP3]]/WWWW[[#This Row],[Total PoP ]]&gt;1,1,WWWW[[#This Row],[HRP3]]/WWWW[[#This Row],[Total PoP ]])</f>
        <v>0</v>
      </c>
      <c r="DS141" s="972">
        <f>1-WWWW[[#This Row],[Hygiene Coverage%]]</f>
        <v>1</v>
      </c>
      <c r="DT141" s="970">
        <f>WWWW[[#This Row],['# people reached by regular dedicated hygiene promotion_5]]/WWWW[[#This Row],[Total PoP ]]</f>
        <v>0</v>
      </c>
      <c r="DU14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1" s="971">
        <f>WWWW[[#This Row],['#_Constructed/Existing hand washing stations]]-WWWW[[#This Row],['#_Non-Functional_hand_washing_stations]]</f>
        <v>0</v>
      </c>
      <c r="DX141" s="968">
        <f>IF(WWWW[[#This Row],['# Functional hand washing stations during reporting period]]*20&gt;WWWW[[#This Row],[Total HH]],WWWW[[#This Row],[Total HH]],WWWW[[#This Row],['# Functional hand washing stations during reporting period]]*20)</f>
        <v>0</v>
      </c>
      <c r="DY141" s="968">
        <f>IF(WWWW[[#This Row],[Is sufficient soap available for TLS? (Yes/No)]]="yes",WWWW[[#This Row],['#_Constructed/Existing hand washing stations at TLS/CFS/THF]],0)</f>
        <v>0</v>
      </c>
      <c r="DZ141" s="425">
        <f>IF(WWWW[[#This Row],['# Functional hand washing stations during reporting period]]*100&gt;WWWW[[#This Row],[Total PoP ]],WWWW[[#This Row],[Total PoP ]],WWWW[[#This Row],['# Functional hand washing stations during reporting period]]*100)</f>
        <v>0</v>
      </c>
      <c r="EA141" s="425" t="str">
        <f>IF(OR(WWWW[[#This Row],['#_students at TLS_CFS]]="",WWWW[[#This Row],['#_students at TLS_CFS]]=0),"No","Yes")</f>
        <v>No</v>
      </c>
      <c r="EB14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1" s="570">
        <f>WWWW[[#This Row],[%_of_affected_people_surveyed_who_report_feeling_satistfied_with_the_latrine_design_and_sanitation_service]]*WWWW[[#This Row],[Total PoP ]]</f>
        <v>0</v>
      </c>
      <c r="ED141" s="570">
        <f>WWWW[[#This Row],[%_of_affected_people_surveyed_who_report_feeling_satistfied_with_the_water_point_design_and_water_service]]*WWWW[[#This Row],[Total PoP ]]</f>
        <v>0</v>
      </c>
      <c r="EE141" s="570">
        <f>WWWW[[#This Row],[%_of_complaints_received_that_result_in_timely_corrective_action_and_feedback_to_the_community]]*WWWW[[#This Row],[Total PoP ]]</f>
        <v>0</v>
      </c>
      <c r="EF14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1" s="964">
        <f>VLOOKUP(WWWW[[#This Row],[Site Name]],SiteDB6[[Site Name]:[CCCM Management]],6,FALSE)</f>
        <v>0</v>
      </c>
      <c r="EJ141" s="964">
        <f>VLOOKUP(WWWW[[#This Row],[Site Name]],SiteDB6[[Site Name]:[CCCM Focal Agency]],7,FALSE)</f>
        <v>0</v>
      </c>
      <c r="EK141" s="964" t="str">
        <f>VLOOKUP(WWWW[[#This Row],[Site Name]],SiteDB6[[Site Name]:[Location Type 1]],9,FALSE)</f>
        <v>Relocated</v>
      </c>
      <c r="EL141" s="964" t="str">
        <f>VLOOKUP(WWWW[[#This Row],[Site Name]],SiteDB6[[Site Name]:[Type of Accommodation]],10,FALSE)</f>
        <v>Relocated-Individual House</v>
      </c>
      <c r="EM141" s="964" t="str">
        <f>VLOOKUP(WWWW[[#This Row],[Site Name]],SiteDB6[[Site Name]:[Ethnic or GCA/NGCA]],11,FALSE)</f>
        <v>GCA</v>
      </c>
      <c r="EN141" s="964">
        <f>VLOOKUP(WWWW[[#This Row],[Site Name]],SiteDB6[[Site Name]:[Lat]],12,FALSE)</f>
        <v>24.109690000000001</v>
      </c>
      <c r="EO141" s="964">
        <f>VLOOKUP(WWWW[[#This Row],[Site Name]],SiteDB6[[Site Name]:[Long]],13,FALSE)</f>
        <v>97.241101</v>
      </c>
      <c r="EP141" s="964" t="str">
        <f>VLOOKUP(WWWW[[#This Row],[Site Name]],SiteDB6[[Site Name]:[Pcode]],3,FALSE)</f>
        <v>MMR001CMP278</v>
      </c>
      <c r="EQ141" s="969" t="str">
        <f t="shared" si="4"/>
        <v>Notcovered</v>
      </c>
      <c r="ER141" s="969"/>
      <c r="ES141" s="964">
        <f>VLOOKUP(WWWW[[#This Row],[Site Name]],SiteDB6[[Site Name]:[Pop
(Kachin/Shan-CCCM as of March 2023)]],16,FALSE)</f>
        <v>86</v>
      </c>
      <c r="ET141" s="964">
        <f>VLOOKUP(WWWW[[#This Row],[Site Name]],SiteDB6[[Site Name]:[Pop
(Kachin/Shan-CCCM as of March 2023)]],17,FALSE)</f>
        <v>450</v>
      </c>
    </row>
    <row r="142" spans="1:150" hidden="1">
      <c r="A142" s="962" t="s">
        <v>2977</v>
      </c>
      <c r="B142" s="962" t="s">
        <v>309</v>
      </c>
      <c r="C142" s="963" t="s">
        <v>309</v>
      </c>
      <c r="D142" s="963"/>
      <c r="E142" s="963" t="s">
        <v>37</v>
      </c>
      <c r="F142" s="963" t="s">
        <v>142</v>
      </c>
      <c r="G142" s="964" t="str">
        <f>VLOOKUP(WWWW[[#This Row],[Site Name]],SiteDB6[[Site Name]:[Location Type]],8,FALSE)</f>
        <v>Camp</v>
      </c>
      <c r="H142" s="963" t="s">
        <v>778</v>
      </c>
      <c r="I142" s="965">
        <v>45</v>
      </c>
      <c r="J142" s="965">
        <v>247</v>
      </c>
      <c r="K142" s="966"/>
      <c r="L142" s="967"/>
      <c r="M142" s="965"/>
      <c r="N142" s="965"/>
      <c r="O142" s="965"/>
      <c r="P142" s="965"/>
      <c r="Q142" s="968"/>
      <c r="R142" s="965"/>
      <c r="S142" s="965">
        <v>2</v>
      </c>
      <c r="T142" s="445"/>
      <c r="U142" s="965"/>
      <c r="V142" s="965"/>
      <c r="W142" s="965"/>
      <c r="X142" s="965"/>
      <c r="Y142" s="965"/>
      <c r="Z142" s="965"/>
      <c r="AA142" s="965"/>
      <c r="AB142" s="965"/>
      <c r="AC142" s="965"/>
      <c r="AD142" s="965"/>
      <c r="AE142" s="965"/>
      <c r="AF142" s="965"/>
      <c r="AG142" s="965"/>
      <c r="AH142" s="965"/>
      <c r="AI142" s="965"/>
      <c r="AJ142" s="965"/>
      <c r="AK142" s="965"/>
      <c r="AL142" s="965"/>
      <c r="AM142" s="965"/>
      <c r="AN142" s="965"/>
      <c r="AO142" s="445"/>
      <c r="AP142" s="969"/>
      <c r="AQ142" s="965"/>
      <c r="AR142" s="965"/>
      <c r="AS142" s="970"/>
      <c r="AT142" s="965"/>
      <c r="AU142" s="965"/>
      <c r="AV142" s="965"/>
      <c r="AW142" s="965"/>
      <c r="AX142" s="965"/>
      <c r="AY142" s="964" t="s">
        <v>140</v>
      </c>
      <c r="AZ142" s="969" t="s">
        <v>140</v>
      </c>
      <c r="BA142" s="965"/>
      <c r="BB142" s="965"/>
      <c r="BC142" s="965"/>
      <c r="BD142" s="445"/>
      <c r="BE142" s="445"/>
      <c r="BF142" s="964"/>
      <c r="BG142" s="965">
        <v>1</v>
      </c>
      <c r="BH142" s="965"/>
      <c r="BI142" s="965"/>
      <c r="BJ142" s="965">
        <v>3</v>
      </c>
      <c r="BK142" s="965"/>
      <c r="BL142" s="965"/>
      <c r="BM142" s="965"/>
      <c r="BN142" s="965"/>
      <c r="BO142" s="965"/>
      <c r="BP142" s="964"/>
      <c r="BQ142" s="971"/>
      <c r="BR142" s="970"/>
      <c r="BS142" s="964"/>
      <c r="BT142" s="420"/>
      <c r="BU142" s="420"/>
      <c r="BV142" s="422"/>
      <c r="BW142" s="420"/>
      <c r="BX142" s="445"/>
      <c r="BY142" s="445"/>
      <c r="BZ142" s="445"/>
      <c r="CA142" s="445"/>
      <c r="CB142" s="445"/>
      <c r="CC142" s="702"/>
      <c r="CD142" s="445"/>
      <c r="CE142" s="972" t="str">
        <f>IFERROR(WWWW[[#This Row],['#_Water sources passed]]/WWWW[[#This Row],['#_Water sources tested for fecal coliform ]],"no test")</f>
        <v>no test</v>
      </c>
      <c r="CF142" s="970" t="str">
        <f>IFERROR(WWWW[[#This Row],['#_Household passed]]/WWWW[[#This Row],['#_Household water samples tested for fecal coliform]],"no test")</f>
        <v>no test</v>
      </c>
      <c r="CG142" s="971" t="str">
        <f>IF(AND(WWWW[[#This Row],[% of water sources passed]]="no test",WWWW[[#This Row],[% Household passed]]="no test"),"No Test","Tested")</f>
        <v>No Test</v>
      </c>
      <c r="CH142" s="971">
        <f>WWWW[[#This Row],['#_Constructed/existing protected hand dug well]]-WWWW[[#This Row],['#_Non-functional protected hand dug well]]</f>
        <v>0</v>
      </c>
      <c r="CI142" s="971">
        <f>(WWWW[[#This Row],['#_Constructed/Existing tube wells/boreholes/handpumps_WASH_agency]]+WWWW[[#This Row],['#_Non-Cluster partner water tube-wells/boreholes/handpumps]])-WWWW[[#This Row],['#_Non-functional tube wells/boreholes/handpumps]]</f>
        <v>0</v>
      </c>
      <c r="CJ142" s="971">
        <f>WWWW[[#This Row],['#_Constructed/Existingwater storage tank with gravity fed reticulation system]]-WWWW[[#This Row],['#_Non-functional storage tank gravity fed reticulation system]]</f>
        <v>0</v>
      </c>
      <c r="CK142" s="971">
        <f>(WWWW[[#This Row],['#_Water_Liters_supplied_by_Water boating or water trucking]]/90)/15</f>
        <v>0</v>
      </c>
      <c r="CL142" s="971">
        <f>WWWW[[#This Row],['#_Water_Liters_from_Constructed/Existing water distribution system from river or natural spring]]/90/15</f>
        <v>0</v>
      </c>
      <c r="CM142" s="421">
        <f>IF(WWWW[[#This Row],['#_of water points in TLS/CFS]]*500&gt;WWWW[[#This Row],[Total PoP ]],WWWW[[#This Row],[Total PoP ]],WWWW[[#This Row],['#_of water points in TLS/CFS]]*500)</f>
        <v>0</v>
      </c>
      <c r="CN142" s="421">
        <f>IF(WWWW[[#This Row],['#_of water points in THF]]*500&gt;WWWW[[#This Row],[Total PoP ]],WWWW[[#This Row],[Total PoP ]],WWWW[[#This Row],['#_of water points in THF]]*500)</f>
        <v>0</v>
      </c>
      <c r="CO142" s="421"/>
      <c r="CP14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2" s="970">
        <f>IF(WWWW[[#This Row],[Location Type 1]]="Village",WWWW[[#This Row],[Access to safe drinking water for Village]],WWWW[[#This Row],[Access to safe drinking water for Camp]])</f>
        <v>0</v>
      </c>
      <c r="CS142" s="968">
        <f>WWWW[[#This Row],[%Equitable and continuous access to sufficient quantity of safe drinking water]]*WWWW[[#This Row],[Total PoP ]]</f>
        <v>0</v>
      </c>
      <c r="CT142" s="970">
        <f>IF((WWWW[[#This Row],['#_Constructed/Existing protected/fenced ponds]]*250)/WWWW[[#This Row],[Total PoP ]]&gt;1,1,(WWWW[[#This Row],['#_Constructed/Existing protected/fenced ponds]]*250)/WWWW[[#This Row],[Total PoP ]])</f>
        <v>0</v>
      </c>
      <c r="CU142" s="968">
        <f>WWWW[[#This Row],[% Access to unimproved water points]]*WWWW[[#This Row],[Total PoP ]]</f>
        <v>0</v>
      </c>
      <c r="CV14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2" s="968">
        <f>WWWW[[#This Row],[HRP1]]/500</f>
        <v>0</v>
      </c>
      <c r="CY142" s="973">
        <f>1-WWWW[[#This Row],[% Equitable and continuous access to sufficient quantity of domestic water]]</f>
        <v>1</v>
      </c>
      <c r="CZ142" s="968">
        <f>WWWW[[#This Row],[%equitable and continuous access to sufficient quantity of safe drinking and domestic water''s GAP]]*WWWW[[#This Row],[Total PoP ]]</f>
        <v>247</v>
      </c>
      <c r="DA142" s="971">
        <f>IF(WWWW[[#This Row],[Total required water points]]-WWWW[[#This Row],['#Water points coverage]]&lt;0,0,WWWW[[#This Row],[Total required water points]]-WWWW[[#This Row],['#Water points coverage]])</f>
        <v>1</v>
      </c>
      <c r="DB142" s="971">
        <f>ROUND(IF(WWWW[[#This Row],[Total PoP ]]&lt;500,1,WWWW[[#This Row],[Total PoP ]]/500),0)</f>
        <v>1</v>
      </c>
      <c r="DC142" s="971">
        <f>(WWWW[[#This Row],['#_Constructed latrines_by_WASHAgencies]]+WWWW[[#This Row],['#_Non Cluster partner latrines]])-WWWW[[#This Row],['#_Non-functional latrines]]</f>
        <v>0</v>
      </c>
      <c r="DD142" s="619">
        <f>WWWW[[#This Row],[HRP2]]/WWWW[[#This Row],[Total PoP ]]</f>
        <v>0</v>
      </c>
      <c r="DE14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2" s="421">
        <f>IF(WWWW[[#This Row],['# of functional latrines in THF supported by WASH partners during the reporting period2]]="",0,WWWW[[#This Row],['# of functional latrines in THF supported by WASH partners during the reporting period2]]*50)</f>
        <v>0</v>
      </c>
      <c r="DI142" s="971">
        <f>ROUND(IF(WWWW[[#This Row],[Location Type 1]]="camp",WWWW[[#This Row],[Total PoP ]]/20,IF(WWWW[[#This Row],[Location Type 1]]="Temporary Location",WWWW[[#This Row],[Total PoP ]]/50,(WWWW[[#This Row],[Total PoP ]]/6))),0)</f>
        <v>12</v>
      </c>
      <c r="DJ142" s="971">
        <f>IF(WWWW[[#This Row],[Total required Latrines]]-(WWWW[[#This Row],['#_Constructed latrines_by_WASHAgencies]]+WWWW[[#This Row],['#_Non Cluster partner latrines]])&lt;0,0,WWWW[[#This Row],[Total required Latrines]]-(WWWW[[#This Row],['#_Constructed latrines_by_WASHAgencies]]+WWWW[[#This Row],['#_Non Cluster partner latrines]]))</f>
        <v>12</v>
      </c>
      <c r="DK142" s="973">
        <f>1-WWWW[[#This Row],[% people access to functioning Latrine]]</f>
        <v>1</v>
      </c>
      <c r="DL142" s="972">
        <f>IF(OR(WWWW[[#This Row],['#_Non-functional latrines]]="",WWWW[[#This Row],['#_Non-functional latrines]]=0),0,WWWW[[#This Row],['#_Non-functional latrines]]/(WWWW[[#This Row],['#_Constructed latrines_by_WASHAgencies]]+WWWW[[#This Row],['#_Non Cluster partner latrines]]))</f>
        <v>0</v>
      </c>
      <c r="DM142" s="968">
        <f>IF(500*(WWWW[[#This Row],['#_male hygiene promoters]]+WWWW[[#This Row],['#_female hygiene promoters]])&gt;WWWW[[#This Row],[Total PoP ]],WWWW[[#This Row],[Total PoP ]],500*(WWWW[[#This Row],['#_male hygiene promoters]]+WWWW[[#This Row],['#_female hygiene promoters]]))</f>
        <v>0</v>
      </c>
      <c r="DN14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2" s="971">
        <f>IF(WWWW[[#This Row],['# People with access to soap]]&gt;WWWW[[#This Row],['# People with access to Sanity Pads]],WWWW[[#This Row],['# People with access to soap]],WWWW[[#This Row],['# People with access to Sanity Pads]])</f>
        <v>0</v>
      </c>
      <c r="DQ14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2" s="973">
        <f>IF(WWWW[[#This Row],[HRP3]]/WWWW[[#This Row],[Total PoP ]]&gt;1,1,WWWW[[#This Row],[HRP3]]/WWWW[[#This Row],[Total PoP ]])</f>
        <v>0</v>
      </c>
      <c r="DS142" s="972">
        <f>1-WWWW[[#This Row],[Hygiene Coverage%]]</f>
        <v>1</v>
      </c>
      <c r="DT142" s="970">
        <f>WWWW[[#This Row],['# people reached by regular dedicated hygiene promotion_5]]/WWWW[[#This Row],[Total PoP ]]</f>
        <v>0</v>
      </c>
      <c r="DU14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2" s="971">
        <f>WWWW[[#This Row],['#_Constructed/Existing hand washing stations]]-WWWW[[#This Row],['#_Non-Functional_hand_washing_stations]]</f>
        <v>1</v>
      </c>
      <c r="DX142" s="968">
        <f>IF(WWWW[[#This Row],['# Functional hand washing stations during reporting period]]*20&gt;WWWW[[#This Row],[Total HH]],WWWW[[#This Row],[Total HH]],WWWW[[#This Row],['# Functional hand washing stations during reporting period]]*20)</f>
        <v>20</v>
      </c>
      <c r="DY142" s="968">
        <f>IF(WWWW[[#This Row],[Is sufficient soap available for TLS? (Yes/No)]]="yes",WWWW[[#This Row],['#_Constructed/Existing hand washing stations at TLS/CFS/THF]],0)</f>
        <v>0</v>
      </c>
      <c r="DZ142" s="425">
        <f>IF(WWWW[[#This Row],['# Functional hand washing stations during reporting period]]*100&gt;WWWW[[#This Row],[Total PoP ]],WWWW[[#This Row],[Total PoP ]],WWWW[[#This Row],['# Functional hand washing stations during reporting period]]*100)</f>
        <v>100</v>
      </c>
      <c r="EA142" s="425" t="str">
        <f>IF(OR(WWWW[[#This Row],['#_students at TLS_CFS]]="",WWWW[[#This Row],['#_students at TLS_CFS]]=0),"No","Yes")</f>
        <v>No</v>
      </c>
      <c r="EB14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2" s="570">
        <f>WWWW[[#This Row],[%_of_affected_people_surveyed_who_report_feeling_satistfied_with_the_latrine_design_and_sanitation_service]]*WWWW[[#This Row],[Total PoP ]]</f>
        <v>0</v>
      </c>
      <c r="ED142" s="570">
        <f>WWWW[[#This Row],[%_of_affected_people_surveyed_who_report_feeling_satistfied_with_the_water_point_design_and_water_service]]*WWWW[[#This Row],[Total PoP ]]</f>
        <v>0</v>
      </c>
      <c r="EE142" s="570">
        <f>WWWW[[#This Row],[%_of_complaints_received_that_result_in_timely_corrective_action_and_feedback_to_the_community]]*WWWW[[#This Row],[Total PoP ]]</f>
        <v>0</v>
      </c>
      <c r="EF14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2" s="964">
        <f>VLOOKUP(WWWW[[#This Row],[Site Name]],SiteDB6[[Site Name]:[CCCM Management]],6,FALSE)</f>
        <v>0</v>
      </c>
      <c r="EJ142" s="964" t="str">
        <f>VLOOKUP(WWWW[[#This Row],[Site Name]],SiteDB6[[Site Name]:[CCCM Focal Agency]],7,FALSE)</f>
        <v>uncovered</v>
      </c>
      <c r="EK142" s="964" t="str">
        <f>VLOOKUP(WWWW[[#This Row],[Site Name]],SiteDB6[[Site Name]:[Location Type 1]],9,FALSE)</f>
        <v>Camp</v>
      </c>
      <c r="EL142" s="964" t="str">
        <f>VLOOKUP(WWWW[[#This Row],[Site Name]],SiteDB6[[Site Name]:[Type of Accommodation]],10,FALSE)</f>
        <v>Camp like setting</v>
      </c>
      <c r="EM142" s="964" t="str">
        <f>VLOOKUP(WWWW[[#This Row],[Site Name]],SiteDB6[[Site Name]:[Ethnic or GCA/NGCA]],11,FALSE)</f>
        <v>GCA</v>
      </c>
      <c r="EN142" s="964">
        <f>VLOOKUP(WWWW[[#This Row],[Site Name]],SiteDB6[[Site Name]:[Lat]],12,FALSE)</f>
        <v>25.391428000000001</v>
      </c>
      <c r="EO142" s="964">
        <f>VLOOKUP(WWWW[[#This Row],[Site Name]],SiteDB6[[Site Name]:[Long]],13,FALSE)</f>
        <v>97.898184999999998</v>
      </c>
      <c r="EP142" s="964" t="str">
        <f>VLOOKUP(WWWW[[#This Row],[Site Name]],SiteDB6[[Site Name]:[Pcode]],3,FALSE)</f>
        <v>MMR001CMP258</v>
      </c>
      <c r="EQ142" s="969" t="str">
        <f t="shared" si="4"/>
        <v>Notcovered</v>
      </c>
      <c r="ER142" s="969"/>
      <c r="ES142" s="964">
        <f>VLOOKUP(WWWW[[#This Row],[Site Name]],SiteDB6[[Site Name]:[Pop
(Kachin/Shan-CCCM as of March 2023)]],16,FALSE)</f>
        <v>17</v>
      </c>
      <c r="ET142" s="964">
        <f>VLOOKUP(WWWW[[#This Row],[Site Name]],SiteDB6[[Site Name]:[Pop
(Kachin/Shan-CCCM as of March 2023)]],17,FALSE)</f>
        <v>107</v>
      </c>
    </row>
    <row r="143" spans="1:150" hidden="1">
      <c r="A143" s="962" t="s">
        <v>2977</v>
      </c>
      <c r="B143" s="962" t="s">
        <v>309</v>
      </c>
      <c r="C143" s="963" t="s">
        <v>309</v>
      </c>
      <c r="D143" s="963"/>
      <c r="E143" s="963" t="s">
        <v>37</v>
      </c>
      <c r="F143" s="963" t="s">
        <v>587</v>
      </c>
      <c r="G143" s="964" t="str">
        <f>VLOOKUP(WWWW[[#This Row],[Site Name]],SiteDB6[[Site Name]:[Location Type]],8,FALSE)</f>
        <v>Camp</v>
      </c>
      <c r="H143" s="963" t="s">
        <v>2996</v>
      </c>
      <c r="I143" s="965">
        <v>42</v>
      </c>
      <c r="J143" s="965">
        <v>112</v>
      </c>
      <c r="K143" s="966"/>
      <c r="L143" s="967"/>
      <c r="M143" s="965"/>
      <c r="N143" s="965"/>
      <c r="O143" s="965"/>
      <c r="P143" s="965"/>
      <c r="Q143" s="968"/>
      <c r="R143" s="965"/>
      <c r="S143" s="965"/>
      <c r="T143" s="445"/>
      <c r="U143" s="965"/>
      <c r="V143" s="965"/>
      <c r="W143" s="965"/>
      <c r="X143" s="965"/>
      <c r="Y143" s="965"/>
      <c r="Z143" s="965"/>
      <c r="AA143" s="965"/>
      <c r="AB143" s="965"/>
      <c r="AC143" s="965"/>
      <c r="AD143" s="965"/>
      <c r="AE143" s="965"/>
      <c r="AF143" s="965"/>
      <c r="AG143" s="965"/>
      <c r="AH143" s="965"/>
      <c r="AI143" s="965"/>
      <c r="AJ143" s="965"/>
      <c r="AK143" s="965"/>
      <c r="AL143" s="965"/>
      <c r="AM143" s="965"/>
      <c r="AN143" s="965"/>
      <c r="AO143" s="445"/>
      <c r="AP143" s="969"/>
      <c r="AQ143" s="965"/>
      <c r="AR143" s="965"/>
      <c r="AS143" s="970"/>
      <c r="AT143" s="965"/>
      <c r="AU143" s="965"/>
      <c r="AV143" s="965"/>
      <c r="AW143" s="965"/>
      <c r="AX143" s="965"/>
      <c r="AY143" s="964"/>
      <c r="AZ143" s="969"/>
      <c r="BA143" s="965"/>
      <c r="BB143" s="965"/>
      <c r="BC143" s="965"/>
      <c r="BD143" s="445"/>
      <c r="BE143" s="445"/>
      <c r="BF143" s="964"/>
      <c r="BG143" s="965"/>
      <c r="BH143" s="965"/>
      <c r="BI143" s="965"/>
      <c r="BJ143" s="965"/>
      <c r="BK143" s="965"/>
      <c r="BL143" s="965"/>
      <c r="BM143" s="965"/>
      <c r="BN143" s="965"/>
      <c r="BO143" s="965"/>
      <c r="BP143" s="964"/>
      <c r="BQ143" s="971"/>
      <c r="BR143" s="970"/>
      <c r="BS143" s="964"/>
      <c r="BT143" s="420"/>
      <c r="BU143" s="420"/>
      <c r="BV143" s="422"/>
      <c r="BW143" s="420"/>
      <c r="BX143" s="445"/>
      <c r="BY143" s="445"/>
      <c r="BZ143" s="445"/>
      <c r="CA143" s="445"/>
      <c r="CB143" s="445"/>
      <c r="CC143" s="702"/>
      <c r="CD143" s="445"/>
      <c r="CE143" s="972" t="str">
        <f>IFERROR(WWWW[[#This Row],['#_Water sources passed]]/WWWW[[#This Row],['#_Water sources tested for fecal coliform ]],"no test")</f>
        <v>no test</v>
      </c>
      <c r="CF143" s="970" t="str">
        <f>IFERROR(WWWW[[#This Row],['#_Household passed]]/WWWW[[#This Row],['#_Household water samples tested for fecal coliform]],"no test")</f>
        <v>no test</v>
      </c>
      <c r="CG143" s="971" t="str">
        <f>IF(AND(WWWW[[#This Row],[% of water sources passed]]="no test",WWWW[[#This Row],[% Household passed]]="no test"),"No Test","Tested")</f>
        <v>No Test</v>
      </c>
      <c r="CH143" s="971">
        <f>WWWW[[#This Row],['#_Constructed/existing protected hand dug well]]-WWWW[[#This Row],['#_Non-functional protected hand dug well]]</f>
        <v>0</v>
      </c>
      <c r="CI143" s="971">
        <f>(WWWW[[#This Row],['#_Constructed/Existing tube wells/boreholes/handpumps_WASH_agency]]+WWWW[[#This Row],['#_Non-Cluster partner water tube-wells/boreholes/handpumps]])-WWWW[[#This Row],['#_Non-functional tube wells/boreholes/handpumps]]</f>
        <v>0</v>
      </c>
      <c r="CJ143" s="971">
        <f>WWWW[[#This Row],['#_Constructed/Existingwater storage tank with gravity fed reticulation system]]-WWWW[[#This Row],['#_Non-functional storage tank gravity fed reticulation system]]</f>
        <v>0</v>
      </c>
      <c r="CK143" s="971">
        <f>(WWWW[[#This Row],['#_Water_Liters_supplied_by_Water boating or water trucking]]/90)/15</f>
        <v>0</v>
      </c>
      <c r="CL143" s="971">
        <f>WWWW[[#This Row],['#_Water_Liters_from_Constructed/Existing water distribution system from river or natural spring]]/90/15</f>
        <v>0</v>
      </c>
      <c r="CM143" s="421">
        <f>IF(WWWW[[#This Row],['#_of water points in TLS/CFS]]*500&gt;WWWW[[#This Row],[Total PoP ]],WWWW[[#This Row],[Total PoP ]],WWWW[[#This Row],['#_of water points in TLS/CFS]]*500)</f>
        <v>0</v>
      </c>
      <c r="CN143" s="421">
        <f>IF(WWWW[[#This Row],['#_of water points in THF]]*500&gt;WWWW[[#This Row],[Total PoP ]],WWWW[[#This Row],[Total PoP ]],WWWW[[#This Row],['#_of water points in THF]]*500)</f>
        <v>0</v>
      </c>
      <c r="CO143" s="421"/>
      <c r="CP14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3" s="970">
        <f>IF(WWWW[[#This Row],[Location Type 1]]="Village",WWWW[[#This Row],[Access to safe drinking water for Village]],WWWW[[#This Row],[Access to safe drinking water for Camp]])</f>
        <v>0</v>
      </c>
      <c r="CS143" s="968">
        <f>WWWW[[#This Row],[%Equitable and continuous access to sufficient quantity of safe drinking water]]*WWWW[[#This Row],[Total PoP ]]</f>
        <v>0</v>
      </c>
      <c r="CT143" s="970">
        <f>IF((WWWW[[#This Row],['#_Constructed/Existing protected/fenced ponds]]*250)/WWWW[[#This Row],[Total PoP ]]&gt;1,1,(WWWW[[#This Row],['#_Constructed/Existing protected/fenced ponds]]*250)/WWWW[[#This Row],[Total PoP ]])</f>
        <v>0</v>
      </c>
      <c r="CU143" s="968">
        <f>WWWW[[#This Row],[% Access to unimproved water points]]*WWWW[[#This Row],[Total PoP ]]</f>
        <v>0</v>
      </c>
      <c r="CV14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3" s="968">
        <f>WWWW[[#This Row],[HRP1]]/500</f>
        <v>0</v>
      </c>
      <c r="CY143" s="973">
        <f>1-WWWW[[#This Row],[% Equitable and continuous access to sufficient quantity of domestic water]]</f>
        <v>1</v>
      </c>
      <c r="CZ143" s="968">
        <f>WWWW[[#This Row],[%equitable and continuous access to sufficient quantity of safe drinking and domestic water''s GAP]]*WWWW[[#This Row],[Total PoP ]]</f>
        <v>112</v>
      </c>
      <c r="DA143" s="971">
        <f>IF(WWWW[[#This Row],[Total required water points]]-WWWW[[#This Row],['#Water points coverage]]&lt;0,0,WWWW[[#This Row],[Total required water points]]-WWWW[[#This Row],['#Water points coverage]])</f>
        <v>1</v>
      </c>
      <c r="DB143" s="971">
        <f>ROUND(IF(WWWW[[#This Row],[Total PoP ]]&lt;500,1,WWWW[[#This Row],[Total PoP ]]/500),0)</f>
        <v>1</v>
      </c>
      <c r="DC143" s="971">
        <f>(WWWW[[#This Row],['#_Constructed latrines_by_WASHAgencies]]+WWWW[[#This Row],['#_Non Cluster partner latrines]])-WWWW[[#This Row],['#_Non-functional latrines]]</f>
        <v>0</v>
      </c>
      <c r="DD143" s="619">
        <f>WWWW[[#This Row],[HRP2]]/WWWW[[#This Row],[Total PoP ]]</f>
        <v>0</v>
      </c>
      <c r="DE14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3" s="421">
        <f>IF(WWWW[[#This Row],['# of functional latrines in THF supported by WASH partners during the reporting period2]]="",0,WWWW[[#This Row],['# of functional latrines in THF supported by WASH partners during the reporting period2]]*50)</f>
        <v>0</v>
      </c>
      <c r="DI143" s="971">
        <f>ROUND(IF(WWWW[[#This Row],[Location Type 1]]="camp",WWWW[[#This Row],[Total PoP ]]/20,IF(WWWW[[#This Row],[Location Type 1]]="Temporary Location",WWWW[[#This Row],[Total PoP ]]/50,(WWWW[[#This Row],[Total PoP ]]/6))),0)</f>
        <v>6</v>
      </c>
      <c r="DJ143" s="971">
        <f>IF(WWWW[[#This Row],[Total required Latrines]]-(WWWW[[#This Row],['#_Constructed latrines_by_WASHAgencies]]+WWWW[[#This Row],['#_Non Cluster partner latrines]])&lt;0,0,WWWW[[#This Row],[Total required Latrines]]-(WWWW[[#This Row],['#_Constructed latrines_by_WASHAgencies]]+WWWW[[#This Row],['#_Non Cluster partner latrines]]))</f>
        <v>6</v>
      </c>
      <c r="DK143" s="973">
        <f>1-WWWW[[#This Row],[% people access to functioning Latrine]]</f>
        <v>1</v>
      </c>
      <c r="DL143" s="972">
        <f>IF(OR(WWWW[[#This Row],['#_Non-functional latrines]]="",WWWW[[#This Row],['#_Non-functional latrines]]=0),0,WWWW[[#This Row],['#_Non-functional latrines]]/(WWWW[[#This Row],['#_Constructed latrines_by_WASHAgencies]]+WWWW[[#This Row],['#_Non Cluster partner latrines]]))</f>
        <v>0</v>
      </c>
      <c r="DM143" s="968">
        <f>IF(500*(WWWW[[#This Row],['#_male hygiene promoters]]+WWWW[[#This Row],['#_female hygiene promoters]])&gt;WWWW[[#This Row],[Total PoP ]],WWWW[[#This Row],[Total PoP ]],500*(WWWW[[#This Row],['#_male hygiene promoters]]+WWWW[[#This Row],['#_female hygiene promoters]]))</f>
        <v>0</v>
      </c>
      <c r="DN14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3" s="971">
        <f>IF(WWWW[[#This Row],['# People with access to soap]]&gt;WWWW[[#This Row],['# People with access to Sanity Pads]],WWWW[[#This Row],['# People with access to soap]],WWWW[[#This Row],['# People with access to Sanity Pads]])</f>
        <v>0</v>
      </c>
      <c r="DQ14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3" s="973">
        <f>IF(WWWW[[#This Row],[HRP3]]/WWWW[[#This Row],[Total PoP ]]&gt;1,1,WWWW[[#This Row],[HRP3]]/WWWW[[#This Row],[Total PoP ]])</f>
        <v>0</v>
      </c>
      <c r="DS143" s="972">
        <f>1-WWWW[[#This Row],[Hygiene Coverage%]]</f>
        <v>1</v>
      </c>
      <c r="DT143" s="970">
        <f>WWWW[[#This Row],['# people reached by regular dedicated hygiene promotion_5]]/WWWW[[#This Row],[Total PoP ]]</f>
        <v>0</v>
      </c>
      <c r="DU14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3" s="971">
        <f>WWWW[[#This Row],['#_Constructed/Existing hand washing stations]]-WWWW[[#This Row],['#_Non-Functional_hand_washing_stations]]</f>
        <v>0</v>
      </c>
      <c r="DX143" s="968">
        <f>IF(WWWW[[#This Row],['# Functional hand washing stations during reporting period]]*20&gt;WWWW[[#This Row],[Total HH]],WWWW[[#This Row],[Total HH]],WWWW[[#This Row],['# Functional hand washing stations during reporting period]]*20)</f>
        <v>0</v>
      </c>
      <c r="DY143" s="968">
        <f>IF(WWWW[[#This Row],[Is sufficient soap available for TLS? (Yes/No)]]="yes",WWWW[[#This Row],['#_Constructed/Existing hand washing stations at TLS/CFS/THF]],0)</f>
        <v>0</v>
      </c>
      <c r="DZ143" s="425">
        <f>IF(WWWW[[#This Row],['# Functional hand washing stations during reporting period]]*100&gt;WWWW[[#This Row],[Total PoP ]],WWWW[[#This Row],[Total PoP ]],WWWW[[#This Row],['# Functional hand washing stations during reporting period]]*100)</f>
        <v>0</v>
      </c>
      <c r="EA143" s="425" t="str">
        <f>IF(OR(WWWW[[#This Row],['#_students at TLS_CFS]]="",WWWW[[#This Row],['#_students at TLS_CFS]]=0),"No","Yes")</f>
        <v>No</v>
      </c>
      <c r="EB14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3" s="570">
        <f>WWWW[[#This Row],[%_of_affected_people_surveyed_who_report_feeling_satistfied_with_the_latrine_design_and_sanitation_service]]*WWWW[[#This Row],[Total PoP ]]</f>
        <v>0</v>
      </c>
      <c r="ED143" s="570">
        <f>WWWW[[#This Row],[%_of_affected_people_surveyed_who_report_feeling_satistfied_with_the_water_point_design_and_water_service]]*WWWW[[#This Row],[Total PoP ]]</f>
        <v>0</v>
      </c>
      <c r="EE143" s="570">
        <f>WWWW[[#This Row],[%_of_complaints_received_that_result_in_timely_corrective_action_and_feedback_to_the_community]]*WWWW[[#This Row],[Total PoP ]]</f>
        <v>0</v>
      </c>
      <c r="EF14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3" s="964">
        <f>VLOOKUP(WWWW[[#This Row],[Site Name]],SiteDB6[[Site Name]:[CCCM Management]],6,FALSE)</f>
        <v>0</v>
      </c>
      <c r="EJ143" s="964" t="str">
        <f>VLOOKUP(WWWW[[#This Row],[Site Name]],SiteDB6[[Site Name]:[CCCM Focal Agency]],7,FALSE)</f>
        <v xml:space="preserve">Uncovered  </v>
      </c>
      <c r="EK143" s="964" t="str">
        <f>VLOOKUP(WWWW[[#This Row],[Site Name]],SiteDB6[[Site Name]:[Location Type 1]],9,FALSE)</f>
        <v>Camp</v>
      </c>
      <c r="EL143" s="964" t="str">
        <f>VLOOKUP(WWWW[[#This Row],[Site Name]],SiteDB6[[Site Name]:[Type of Accommodation]],10,FALSE)</f>
        <v>Camp like setting</v>
      </c>
      <c r="EM143" s="964" t="str">
        <f>VLOOKUP(WWWW[[#This Row],[Site Name]],SiteDB6[[Site Name]:[Ethnic or GCA/NGCA]],11,FALSE)</f>
        <v>NGCA</v>
      </c>
      <c r="EN143" s="964">
        <f>VLOOKUP(WWWW[[#This Row],[Site Name]],SiteDB6[[Site Name]:[Lat]],12,FALSE)</f>
        <v>0</v>
      </c>
      <c r="EO143" s="964" t="str">
        <f>VLOOKUP(WWWW[[#This Row],[Site Name]],SiteDB6[[Site Name]:[Long]],13,FALSE)</f>
        <v>not available</v>
      </c>
      <c r="EP143" s="964" t="str">
        <f>VLOOKUP(WWWW[[#This Row],[Site Name]],SiteDB6[[Site Name]:[Pcode]],3,FALSE)</f>
        <v>MMR001CMP297</v>
      </c>
      <c r="EQ143" s="969" t="str">
        <f t="shared" si="4"/>
        <v>Notcovered</v>
      </c>
      <c r="ER143" s="969"/>
      <c r="ES143" s="964">
        <f>VLOOKUP(WWWW[[#This Row],[Site Name]],SiteDB6[[Site Name]:[Pop
(Kachin/Shan-CCCM as of March 2023)]],16,FALSE)</f>
        <v>42</v>
      </c>
      <c r="ET143" s="964">
        <f>VLOOKUP(WWWW[[#This Row],[Site Name]],SiteDB6[[Site Name]:[Pop
(Kachin/Shan-CCCM as of March 2023)]],17,FALSE)</f>
        <v>112</v>
      </c>
    </row>
    <row r="144" spans="1:150" hidden="1">
      <c r="A144" s="962" t="s">
        <v>2977</v>
      </c>
      <c r="B144" s="962" t="s">
        <v>309</v>
      </c>
      <c r="C144" s="963" t="s">
        <v>309</v>
      </c>
      <c r="D144" s="963"/>
      <c r="E144" s="963" t="s">
        <v>37</v>
      </c>
      <c r="F144" s="963" t="s">
        <v>148</v>
      </c>
      <c r="G144" s="964" t="str">
        <f>VLOOKUP(WWWW[[#This Row],[Site Name]],SiteDB6[[Site Name]:[Location Type]],8,FALSE)</f>
        <v>Camp</v>
      </c>
      <c r="H144" s="963" t="s">
        <v>3003</v>
      </c>
      <c r="I144" s="965">
        <v>12</v>
      </c>
      <c r="J144" s="965">
        <v>54</v>
      </c>
      <c r="K144" s="966"/>
      <c r="L144" s="967"/>
      <c r="M144" s="965"/>
      <c r="N144" s="965"/>
      <c r="O144" s="965"/>
      <c r="P144" s="965"/>
      <c r="Q144" s="968"/>
      <c r="R144" s="965"/>
      <c r="S144" s="965"/>
      <c r="T144" s="445"/>
      <c r="U144" s="965"/>
      <c r="V144" s="965"/>
      <c r="W144" s="965"/>
      <c r="X144" s="965"/>
      <c r="Y144" s="965"/>
      <c r="Z144" s="965"/>
      <c r="AA144" s="965"/>
      <c r="AB144" s="965"/>
      <c r="AC144" s="965"/>
      <c r="AD144" s="965"/>
      <c r="AE144" s="965"/>
      <c r="AF144" s="965"/>
      <c r="AG144" s="965"/>
      <c r="AH144" s="965"/>
      <c r="AI144" s="965"/>
      <c r="AJ144" s="965"/>
      <c r="AK144" s="965"/>
      <c r="AL144" s="965"/>
      <c r="AM144" s="965"/>
      <c r="AN144" s="965"/>
      <c r="AO144" s="445"/>
      <c r="AP144" s="969"/>
      <c r="AQ144" s="965"/>
      <c r="AR144" s="965"/>
      <c r="AS144" s="970"/>
      <c r="AT144" s="965"/>
      <c r="AU144" s="965"/>
      <c r="AV144" s="965"/>
      <c r="AW144" s="965"/>
      <c r="AX144" s="965"/>
      <c r="AY144" s="964"/>
      <c r="AZ144" s="969"/>
      <c r="BA144" s="965"/>
      <c r="BB144" s="965"/>
      <c r="BC144" s="965"/>
      <c r="BD144" s="445"/>
      <c r="BE144" s="445"/>
      <c r="BF144" s="964"/>
      <c r="BG144" s="965"/>
      <c r="BH144" s="965"/>
      <c r="BI144" s="965"/>
      <c r="BJ144" s="965"/>
      <c r="BK144" s="965"/>
      <c r="BL144" s="965"/>
      <c r="BM144" s="965"/>
      <c r="BN144" s="965"/>
      <c r="BO144" s="965"/>
      <c r="BP144" s="964"/>
      <c r="BQ144" s="971"/>
      <c r="BR144" s="970"/>
      <c r="BS144" s="964"/>
      <c r="BT144" s="420"/>
      <c r="BU144" s="420"/>
      <c r="BV144" s="422"/>
      <c r="BW144" s="420"/>
      <c r="BX144" s="445"/>
      <c r="BY144" s="445"/>
      <c r="BZ144" s="445"/>
      <c r="CA144" s="445"/>
      <c r="CB144" s="445"/>
      <c r="CC144" s="702"/>
      <c r="CD144" s="445"/>
      <c r="CE144" s="972" t="str">
        <f>IFERROR(WWWW[[#This Row],['#_Water sources passed]]/WWWW[[#This Row],['#_Water sources tested for fecal coliform ]],"no test")</f>
        <v>no test</v>
      </c>
      <c r="CF144" s="970" t="str">
        <f>IFERROR(WWWW[[#This Row],['#_Household passed]]/WWWW[[#This Row],['#_Household water samples tested for fecal coliform]],"no test")</f>
        <v>no test</v>
      </c>
      <c r="CG144" s="971" t="str">
        <f>IF(AND(WWWW[[#This Row],[% of water sources passed]]="no test",WWWW[[#This Row],[% Household passed]]="no test"),"No Test","Tested")</f>
        <v>No Test</v>
      </c>
      <c r="CH144" s="971">
        <f>WWWW[[#This Row],['#_Constructed/existing protected hand dug well]]-WWWW[[#This Row],['#_Non-functional protected hand dug well]]</f>
        <v>0</v>
      </c>
      <c r="CI144" s="971">
        <f>(WWWW[[#This Row],['#_Constructed/Existing tube wells/boreholes/handpumps_WASH_agency]]+WWWW[[#This Row],['#_Non-Cluster partner water tube-wells/boreholes/handpumps]])-WWWW[[#This Row],['#_Non-functional tube wells/boreholes/handpumps]]</f>
        <v>0</v>
      </c>
      <c r="CJ144" s="971">
        <f>WWWW[[#This Row],['#_Constructed/Existingwater storage tank with gravity fed reticulation system]]-WWWW[[#This Row],['#_Non-functional storage tank gravity fed reticulation system]]</f>
        <v>0</v>
      </c>
      <c r="CK144" s="971">
        <f>(WWWW[[#This Row],['#_Water_Liters_supplied_by_Water boating or water trucking]]/90)/15</f>
        <v>0</v>
      </c>
      <c r="CL144" s="971">
        <f>WWWW[[#This Row],['#_Water_Liters_from_Constructed/Existing water distribution system from river or natural spring]]/90/15</f>
        <v>0</v>
      </c>
      <c r="CM144" s="421">
        <f>IF(WWWW[[#This Row],['#_of water points in TLS/CFS]]*500&gt;WWWW[[#This Row],[Total PoP ]],WWWW[[#This Row],[Total PoP ]],WWWW[[#This Row],['#_of water points in TLS/CFS]]*500)</f>
        <v>0</v>
      </c>
      <c r="CN144" s="421">
        <f>IF(WWWW[[#This Row],['#_of water points in THF]]*500&gt;WWWW[[#This Row],[Total PoP ]],WWWW[[#This Row],[Total PoP ]],WWWW[[#This Row],['#_of water points in THF]]*500)</f>
        <v>0</v>
      </c>
      <c r="CO144" s="421"/>
      <c r="CP14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4" s="970">
        <f>IF(WWWW[[#This Row],[Location Type 1]]="Village",WWWW[[#This Row],[Access to safe drinking water for Village]],WWWW[[#This Row],[Access to safe drinking water for Camp]])</f>
        <v>0</v>
      </c>
      <c r="CS144" s="968">
        <f>WWWW[[#This Row],[%Equitable and continuous access to sufficient quantity of safe drinking water]]*WWWW[[#This Row],[Total PoP ]]</f>
        <v>0</v>
      </c>
      <c r="CT144" s="970">
        <f>IF((WWWW[[#This Row],['#_Constructed/Existing protected/fenced ponds]]*250)/WWWW[[#This Row],[Total PoP ]]&gt;1,1,(WWWW[[#This Row],['#_Constructed/Existing protected/fenced ponds]]*250)/WWWW[[#This Row],[Total PoP ]])</f>
        <v>0</v>
      </c>
      <c r="CU144" s="968">
        <f>WWWW[[#This Row],[% Access to unimproved water points]]*WWWW[[#This Row],[Total PoP ]]</f>
        <v>0</v>
      </c>
      <c r="CV14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4" s="968">
        <f>WWWW[[#This Row],[HRP1]]/500</f>
        <v>0</v>
      </c>
      <c r="CY144" s="973">
        <f>1-WWWW[[#This Row],[% Equitable and continuous access to sufficient quantity of domestic water]]</f>
        <v>1</v>
      </c>
      <c r="CZ144" s="968">
        <f>WWWW[[#This Row],[%equitable and continuous access to sufficient quantity of safe drinking and domestic water''s GAP]]*WWWW[[#This Row],[Total PoP ]]</f>
        <v>54</v>
      </c>
      <c r="DA144" s="971">
        <f>IF(WWWW[[#This Row],[Total required water points]]-WWWW[[#This Row],['#Water points coverage]]&lt;0,0,WWWW[[#This Row],[Total required water points]]-WWWW[[#This Row],['#Water points coverage]])</f>
        <v>1</v>
      </c>
      <c r="DB144" s="971">
        <f>ROUND(IF(WWWW[[#This Row],[Total PoP ]]&lt;500,1,WWWW[[#This Row],[Total PoP ]]/500),0)</f>
        <v>1</v>
      </c>
      <c r="DC144" s="971">
        <f>(WWWW[[#This Row],['#_Constructed latrines_by_WASHAgencies]]+WWWW[[#This Row],['#_Non Cluster partner latrines]])-WWWW[[#This Row],['#_Non-functional latrines]]</f>
        <v>0</v>
      </c>
      <c r="DD144" s="619">
        <f>WWWW[[#This Row],[HRP2]]/WWWW[[#This Row],[Total PoP ]]</f>
        <v>0</v>
      </c>
      <c r="DE14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4" s="421">
        <f>IF(WWWW[[#This Row],['# of functional latrines in THF supported by WASH partners during the reporting period2]]="",0,WWWW[[#This Row],['# of functional latrines in THF supported by WASH partners during the reporting period2]]*50)</f>
        <v>0</v>
      </c>
      <c r="DI144" s="971">
        <f>ROUND(IF(WWWW[[#This Row],[Location Type 1]]="camp",WWWW[[#This Row],[Total PoP ]]/20,IF(WWWW[[#This Row],[Location Type 1]]="Temporary Location",WWWW[[#This Row],[Total PoP ]]/50,(WWWW[[#This Row],[Total PoP ]]/6))),0)</f>
        <v>3</v>
      </c>
      <c r="DJ144" s="971">
        <f>IF(WWWW[[#This Row],[Total required Latrines]]-(WWWW[[#This Row],['#_Constructed latrines_by_WASHAgencies]]+WWWW[[#This Row],['#_Non Cluster partner latrines]])&lt;0,0,WWWW[[#This Row],[Total required Latrines]]-(WWWW[[#This Row],['#_Constructed latrines_by_WASHAgencies]]+WWWW[[#This Row],['#_Non Cluster partner latrines]]))</f>
        <v>3</v>
      </c>
      <c r="DK144" s="973">
        <f>1-WWWW[[#This Row],[% people access to functioning Latrine]]</f>
        <v>1</v>
      </c>
      <c r="DL144" s="972">
        <f>IF(OR(WWWW[[#This Row],['#_Non-functional latrines]]="",WWWW[[#This Row],['#_Non-functional latrines]]=0),0,WWWW[[#This Row],['#_Non-functional latrines]]/(WWWW[[#This Row],['#_Constructed latrines_by_WASHAgencies]]+WWWW[[#This Row],['#_Non Cluster partner latrines]]))</f>
        <v>0</v>
      </c>
      <c r="DM144" s="968">
        <f>IF(500*(WWWW[[#This Row],['#_male hygiene promoters]]+WWWW[[#This Row],['#_female hygiene promoters]])&gt;WWWW[[#This Row],[Total PoP ]],WWWW[[#This Row],[Total PoP ]],500*(WWWW[[#This Row],['#_male hygiene promoters]]+WWWW[[#This Row],['#_female hygiene promoters]]))</f>
        <v>0</v>
      </c>
      <c r="DN14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4" s="971">
        <f>IF(WWWW[[#This Row],['# People with access to soap]]&gt;WWWW[[#This Row],['# People with access to Sanity Pads]],WWWW[[#This Row],['# People with access to soap]],WWWW[[#This Row],['# People with access to Sanity Pads]])</f>
        <v>0</v>
      </c>
      <c r="DQ14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4" s="973">
        <f>IF(WWWW[[#This Row],[HRP3]]/WWWW[[#This Row],[Total PoP ]]&gt;1,1,WWWW[[#This Row],[HRP3]]/WWWW[[#This Row],[Total PoP ]])</f>
        <v>0</v>
      </c>
      <c r="DS144" s="972">
        <f>1-WWWW[[#This Row],[Hygiene Coverage%]]</f>
        <v>1</v>
      </c>
      <c r="DT144" s="970">
        <f>WWWW[[#This Row],['# people reached by regular dedicated hygiene promotion_5]]/WWWW[[#This Row],[Total PoP ]]</f>
        <v>0</v>
      </c>
      <c r="DU14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4" s="971">
        <f>WWWW[[#This Row],['#_Constructed/Existing hand washing stations]]-WWWW[[#This Row],['#_Non-Functional_hand_washing_stations]]</f>
        <v>0</v>
      </c>
      <c r="DX144" s="968">
        <f>IF(WWWW[[#This Row],['# Functional hand washing stations during reporting period]]*20&gt;WWWW[[#This Row],[Total HH]],WWWW[[#This Row],[Total HH]],WWWW[[#This Row],['# Functional hand washing stations during reporting period]]*20)</f>
        <v>0</v>
      </c>
      <c r="DY144" s="968">
        <f>IF(WWWW[[#This Row],[Is sufficient soap available for TLS? (Yes/No)]]="yes",WWWW[[#This Row],['#_Constructed/Existing hand washing stations at TLS/CFS/THF]],0)</f>
        <v>0</v>
      </c>
      <c r="DZ144" s="425">
        <f>IF(WWWW[[#This Row],['# Functional hand washing stations during reporting period]]*100&gt;WWWW[[#This Row],[Total PoP ]],WWWW[[#This Row],[Total PoP ]],WWWW[[#This Row],['# Functional hand washing stations during reporting period]]*100)</f>
        <v>0</v>
      </c>
      <c r="EA144" s="425" t="str">
        <f>IF(OR(WWWW[[#This Row],['#_students at TLS_CFS]]="",WWWW[[#This Row],['#_students at TLS_CFS]]=0),"No","Yes")</f>
        <v>No</v>
      </c>
      <c r="EB14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4" s="570">
        <f>WWWW[[#This Row],[%_of_affected_people_surveyed_who_report_feeling_satistfied_with_the_latrine_design_and_sanitation_service]]*WWWW[[#This Row],[Total PoP ]]</f>
        <v>0</v>
      </c>
      <c r="ED144" s="570">
        <f>WWWW[[#This Row],[%_of_affected_people_surveyed_who_report_feeling_satistfied_with_the_water_point_design_and_water_service]]*WWWW[[#This Row],[Total PoP ]]</f>
        <v>0</v>
      </c>
      <c r="EE144" s="570">
        <f>WWWW[[#This Row],[%_of_complaints_received_that_result_in_timely_corrective_action_and_feedback_to_the_community]]*WWWW[[#This Row],[Total PoP ]]</f>
        <v>0</v>
      </c>
      <c r="EF14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4" s="964">
        <f>VLOOKUP(WWWW[[#This Row],[Site Name]],SiteDB6[[Site Name]:[CCCM Management]],6,FALSE)</f>
        <v>0</v>
      </c>
      <c r="EJ144" s="964" t="str">
        <f>VLOOKUP(WWWW[[#This Row],[Site Name]],SiteDB6[[Site Name]:[CCCM Focal Agency]],7,FALSE)</f>
        <v xml:space="preserve">Uncovered  </v>
      </c>
      <c r="EK144" s="964" t="str">
        <f>VLOOKUP(WWWW[[#This Row],[Site Name]],SiteDB6[[Site Name]:[Location Type 1]],9,FALSE)</f>
        <v>Camp</v>
      </c>
      <c r="EL144" s="964" t="str">
        <f>VLOOKUP(WWWW[[#This Row],[Site Name]],SiteDB6[[Site Name]:[Type of Accommodation]],10,FALSE)</f>
        <v>Camp like setting</v>
      </c>
      <c r="EM144" s="964" t="str">
        <f>VLOOKUP(WWWW[[#This Row],[Site Name]],SiteDB6[[Site Name]:[Ethnic or GCA/NGCA]],11,FALSE)</f>
        <v>GCA</v>
      </c>
      <c r="EN144" s="964">
        <f>VLOOKUP(WWWW[[#This Row],[Site Name]],SiteDB6[[Site Name]:[Lat]],12,FALSE)</f>
        <v>0</v>
      </c>
      <c r="EO144" s="964" t="str">
        <f>VLOOKUP(WWWW[[#This Row],[Site Name]],SiteDB6[[Site Name]:[Long]],13,FALSE)</f>
        <v>not available</v>
      </c>
      <c r="EP144" s="964" t="str">
        <f>VLOOKUP(WWWW[[#This Row],[Site Name]],SiteDB6[[Site Name]:[Pcode]],3,FALSE)</f>
        <v>MMR001CMP298</v>
      </c>
      <c r="EQ144" s="969" t="str">
        <f t="shared" si="4"/>
        <v>Notcovered</v>
      </c>
      <c r="ER144" s="969"/>
      <c r="ES144" s="964">
        <f>VLOOKUP(WWWW[[#This Row],[Site Name]],SiteDB6[[Site Name]:[Pop
(Kachin/Shan-CCCM as of March 2023)]],16,FALSE)</f>
        <v>12</v>
      </c>
      <c r="ET144" s="964">
        <f>VLOOKUP(WWWW[[#This Row],[Site Name]],SiteDB6[[Site Name]:[Pop
(Kachin/Shan-CCCM as of March 2023)]],17,FALSE)</f>
        <v>54</v>
      </c>
    </row>
    <row r="145" spans="1:150" hidden="1">
      <c r="A145" s="962" t="s">
        <v>2977</v>
      </c>
      <c r="B145" s="962" t="s">
        <v>309</v>
      </c>
      <c r="C145" s="963" t="s">
        <v>309</v>
      </c>
      <c r="D145" s="963"/>
      <c r="E145" s="963" t="s">
        <v>37</v>
      </c>
      <c r="F145" s="963" t="s">
        <v>157</v>
      </c>
      <c r="G145" s="964" t="str">
        <f>VLOOKUP(WWWW[[#This Row],[Site Name]],SiteDB6[[Site Name]:[Location Type]],8,FALSE)</f>
        <v>Camp</v>
      </c>
      <c r="H145" s="963" t="s">
        <v>3004</v>
      </c>
      <c r="I145" s="965">
        <v>92</v>
      </c>
      <c r="J145" s="965">
        <v>479</v>
      </c>
      <c r="K145" s="966"/>
      <c r="L145" s="967"/>
      <c r="M145" s="965"/>
      <c r="N145" s="965"/>
      <c r="O145" s="965"/>
      <c r="P145" s="965"/>
      <c r="Q145" s="968"/>
      <c r="R145" s="965"/>
      <c r="S145" s="965"/>
      <c r="T145" s="445"/>
      <c r="U145" s="965"/>
      <c r="V145" s="965"/>
      <c r="W145" s="965"/>
      <c r="X145" s="965"/>
      <c r="Y145" s="965"/>
      <c r="Z145" s="965"/>
      <c r="AA145" s="965"/>
      <c r="AB145" s="965"/>
      <c r="AC145" s="965"/>
      <c r="AD145" s="965"/>
      <c r="AE145" s="965"/>
      <c r="AF145" s="965"/>
      <c r="AG145" s="965"/>
      <c r="AH145" s="965"/>
      <c r="AI145" s="965"/>
      <c r="AJ145" s="965"/>
      <c r="AK145" s="965"/>
      <c r="AL145" s="965"/>
      <c r="AM145" s="965"/>
      <c r="AN145" s="965"/>
      <c r="AO145" s="445"/>
      <c r="AP145" s="969"/>
      <c r="AQ145" s="965"/>
      <c r="AR145" s="965"/>
      <c r="AS145" s="970"/>
      <c r="AT145" s="965"/>
      <c r="AU145" s="965"/>
      <c r="AV145" s="965"/>
      <c r="AW145" s="965"/>
      <c r="AX145" s="965"/>
      <c r="AY145" s="964"/>
      <c r="AZ145" s="969"/>
      <c r="BA145" s="965"/>
      <c r="BB145" s="965"/>
      <c r="BC145" s="965"/>
      <c r="BD145" s="445"/>
      <c r="BE145" s="445"/>
      <c r="BF145" s="964"/>
      <c r="BG145" s="965"/>
      <c r="BH145" s="965"/>
      <c r="BI145" s="965"/>
      <c r="BJ145" s="965"/>
      <c r="BK145" s="965"/>
      <c r="BL145" s="965"/>
      <c r="BM145" s="965"/>
      <c r="BN145" s="965"/>
      <c r="BO145" s="965"/>
      <c r="BP145" s="964"/>
      <c r="BQ145" s="971"/>
      <c r="BR145" s="970"/>
      <c r="BS145" s="964"/>
      <c r="BT145" s="420"/>
      <c r="BU145" s="420"/>
      <c r="BV145" s="422"/>
      <c r="BW145" s="420"/>
      <c r="BX145" s="445"/>
      <c r="BY145" s="445"/>
      <c r="BZ145" s="445"/>
      <c r="CA145" s="445"/>
      <c r="CB145" s="445"/>
      <c r="CC145" s="702"/>
      <c r="CD145" s="445"/>
      <c r="CE145" s="972" t="str">
        <f>IFERROR(WWWW[[#This Row],['#_Water sources passed]]/WWWW[[#This Row],['#_Water sources tested for fecal coliform ]],"no test")</f>
        <v>no test</v>
      </c>
      <c r="CF145" s="970" t="str">
        <f>IFERROR(WWWW[[#This Row],['#_Household passed]]/WWWW[[#This Row],['#_Household water samples tested for fecal coliform]],"no test")</f>
        <v>no test</v>
      </c>
      <c r="CG145" s="971" t="str">
        <f>IF(AND(WWWW[[#This Row],[% of water sources passed]]="no test",WWWW[[#This Row],[% Household passed]]="no test"),"No Test","Tested")</f>
        <v>No Test</v>
      </c>
      <c r="CH145" s="971">
        <f>WWWW[[#This Row],['#_Constructed/existing protected hand dug well]]-WWWW[[#This Row],['#_Non-functional protected hand dug well]]</f>
        <v>0</v>
      </c>
      <c r="CI145" s="971">
        <f>(WWWW[[#This Row],['#_Constructed/Existing tube wells/boreholes/handpumps_WASH_agency]]+WWWW[[#This Row],['#_Non-Cluster partner water tube-wells/boreholes/handpumps]])-WWWW[[#This Row],['#_Non-functional tube wells/boreholes/handpumps]]</f>
        <v>0</v>
      </c>
      <c r="CJ145" s="971">
        <f>WWWW[[#This Row],['#_Constructed/Existingwater storage tank with gravity fed reticulation system]]-WWWW[[#This Row],['#_Non-functional storage tank gravity fed reticulation system]]</f>
        <v>0</v>
      </c>
      <c r="CK145" s="971">
        <f>(WWWW[[#This Row],['#_Water_Liters_supplied_by_Water boating or water trucking]]/90)/15</f>
        <v>0</v>
      </c>
      <c r="CL145" s="971">
        <f>WWWW[[#This Row],['#_Water_Liters_from_Constructed/Existing water distribution system from river or natural spring]]/90/15</f>
        <v>0</v>
      </c>
      <c r="CM145" s="421">
        <f>IF(WWWW[[#This Row],['#_of water points in TLS/CFS]]*500&gt;WWWW[[#This Row],[Total PoP ]],WWWW[[#This Row],[Total PoP ]],WWWW[[#This Row],['#_of water points in TLS/CFS]]*500)</f>
        <v>0</v>
      </c>
      <c r="CN145" s="421">
        <f>IF(WWWW[[#This Row],['#_of water points in THF]]*500&gt;WWWW[[#This Row],[Total PoP ]],WWWW[[#This Row],[Total PoP ]],WWWW[[#This Row],['#_of water points in THF]]*500)</f>
        <v>0</v>
      </c>
      <c r="CO145" s="421"/>
      <c r="CP14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5" s="970">
        <f>IF(WWWW[[#This Row],[Location Type 1]]="Village",WWWW[[#This Row],[Access to safe drinking water for Village]],WWWW[[#This Row],[Access to safe drinking water for Camp]])</f>
        <v>0</v>
      </c>
      <c r="CS145" s="968">
        <f>WWWW[[#This Row],[%Equitable and continuous access to sufficient quantity of safe drinking water]]*WWWW[[#This Row],[Total PoP ]]</f>
        <v>0</v>
      </c>
      <c r="CT145" s="970">
        <f>IF((WWWW[[#This Row],['#_Constructed/Existing protected/fenced ponds]]*250)/WWWW[[#This Row],[Total PoP ]]&gt;1,1,(WWWW[[#This Row],['#_Constructed/Existing protected/fenced ponds]]*250)/WWWW[[#This Row],[Total PoP ]])</f>
        <v>0</v>
      </c>
      <c r="CU145" s="968">
        <f>WWWW[[#This Row],[% Access to unimproved water points]]*WWWW[[#This Row],[Total PoP ]]</f>
        <v>0</v>
      </c>
      <c r="CV14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5" s="968">
        <f>WWWW[[#This Row],[HRP1]]/500</f>
        <v>0</v>
      </c>
      <c r="CY145" s="973">
        <f>1-WWWW[[#This Row],[% Equitable and continuous access to sufficient quantity of domestic water]]</f>
        <v>1</v>
      </c>
      <c r="CZ145" s="968">
        <f>WWWW[[#This Row],[%equitable and continuous access to sufficient quantity of safe drinking and domestic water''s GAP]]*WWWW[[#This Row],[Total PoP ]]</f>
        <v>479</v>
      </c>
      <c r="DA145" s="971">
        <f>IF(WWWW[[#This Row],[Total required water points]]-WWWW[[#This Row],['#Water points coverage]]&lt;0,0,WWWW[[#This Row],[Total required water points]]-WWWW[[#This Row],['#Water points coverage]])</f>
        <v>1</v>
      </c>
      <c r="DB145" s="971">
        <f>ROUND(IF(WWWW[[#This Row],[Total PoP ]]&lt;500,1,WWWW[[#This Row],[Total PoP ]]/500),0)</f>
        <v>1</v>
      </c>
      <c r="DC145" s="971">
        <f>(WWWW[[#This Row],['#_Constructed latrines_by_WASHAgencies]]+WWWW[[#This Row],['#_Non Cluster partner latrines]])-WWWW[[#This Row],['#_Non-functional latrines]]</f>
        <v>0</v>
      </c>
      <c r="DD145" s="619">
        <f>WWWW[[#This Row],[HRP2]]/WWWW[[#This Row],[Total PoP ]]</f>
        <v>0</v>
      </c>
      <c r="DE14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5" s="421">
        <f>IF(WWWW[[#This Row],['# of functional latrines in THF supported by WASH partners during the reporting period2]]="",0,WWWW[[#This Row],['# of functional latrines in THF supported by WASH partners during the reporting period2]]*50)</f>
        <v>0</v>
      </c>
      <c r="DI145" s="971">
        <f>ROUND(IF(WWWW[[#This Row],[Location Type 1]]="camp",WWWW[[#This Row],[Total PoP ]]/20,IF(WWWW[[#This Row],[Location Type 1]]="Temporary Location",WWWW[[#This Row],[Total PoP ]]/50,(WWWW[[#This Row],[Total PoP ]]/6))),0)</f>
        <v>24</v>
      </c>
      <c r="DJ145" s="971">
        <f>IF(WWWW[[#This Row],[Total required Latrines]]-(WWWW[[#This Row],['#_Constructed latrines_by_WASHAgencies]]+WWWW[[#This Row],['#_Non Cluster partner latrines]])&lt;0,0,WWWW[[#This Row],[Total required Latrines]]-(WWWW[[#This Row],['#_Constructed latrines_by_WASHAgencies]]+WWWW[[#This Row],['#_Non Cluster partner latrines]]))</f>
        <v>24</v>
      </c>
      <c r="DK145" s="973">
        <f>1-WWWW[[#This Row],[% people access to functioning Latrine]]</f>
        <v>1</v>
      </c>
      <c r="DL145" s="972">
        <f>IF(OR(WWWW[[#This Row],['#_Non-functional latrines]]="",WWWW[[#This Row],['#_Non-functional latrines]]=0),0,WWWW[[#This Row],['#_Non-functional latrines]]/(WWWW[[#This Row],['#_Constructed latrines_by_WASHAgencies]]+WWWW[[#This Row],['#_Non Cluster partner latrines]]))</f>
        <v>0</v>
      </c>
      <c r="DM145" s="968">
        <f>IF(500*(WWWW[[#This Row],['#_male hygiene promoters]]+WWWW[[#This Row],['#_female hygiene promoters]])&gt;WWWW[[#This Row],[Total PoP ]],WWWW[[#This Row],[Total PoP ]],500*(WWWW[[#This Row],['#_male hygiene promoters]]+WWWW[[#This Row],['#_female hygiene promoters]]))</f>
        <v>0</v>
      </c>
      <c r="DN14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5" s="971">
        <f>IF(WWWW[[#This Row],['# People with access to soap]]&gt;WWWW[[#This Row],['# People with access to Sanity Pads]],WWWW[[#This Row],['# People with access to soap]],WWWW[[#This Row],['# People with access to Sanity Pads]])</f>
        <v>0</v>
      </c>
      <c r="DQ14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5" s="973">
        <f>IF(WWWW[[#This Row],[HRP3]]/WWWW[[#This Row],[Total PoP ]]&gt;1,1,WWWW[[#This Row],[HRP3]]/WWWW[[#This Row],[Total PoP ]])</f>
        <v>0</v>
      </c>
      <c r="DS145" s="972">
        <f>1-WWWW[[#This Row],[Hygiene Coverage%]]</f>
        <v>1</v>
      </c>
      <c r="DT145" s="970">
        <f>WWWW[[#This Row],['# people reached by regular dedicated hygiene promotion_5]]/WWWW[[#This Row],[Total PoP ]]</f>
        <v>0</v>
      </c>
      <c r="DU14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5" s="971">
        <f>WWWW[[#This Row],['#_Constructed/Existing hand washing stations]]-WWWW[[#This Row],['#_Non-Functional_hand_washing_stations]]</f>
        <v>0</v>
      </c>
      <c r="DX145" s="968">
        <f>IF(WWWW[[#This Row],['# Functional hand washing stations during reporting period]]*20&gt;WWWW[[#This Row],[Total HH]],WWWW[[#This Row],[Total HH]],WWWW[[#This Row],['# Functional hand washing stations during reporting period]]*20)</f>
        <v>0</v>
      </c>
      <c r="DY145" s="968">
        <f>IF(WWWW[[#This Row],[Is sufficient soap available for TLS? (Yes/No)]]="yes",WWWW[[#This Row],['#_Constructed/Existing hand washing stations at TLS/CFS/THF]],0)</f>
        <v>0</v>
      </c>
      <c r="DZ145" s="425">
        <f>IF(WWWW[[#This Row],['# Functional hand washing stations during reporting period]]*100&gt;WWWW[[#This Row],[Total PoP ]],WWWW[[#This Row],[Total PoP ]],WWWW[[#This Row],['# Functional hand washing stations during reporting period]]*100)</f>
        <v>0</v>
      </c>
      <c r="EA145" s="425" t="str">
        <f>IF(OR(WWWW[[#This Row],['#_students at TLS_CFS]]="",WWWW[[#This Row],['#_students at TLS_CFS]]=0),"No","Yes")</f>
        <v>No</v>
      </c>
      <c r="EB14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5" s="570">
        <f>WWWW[[#This Row],[%_of_affected_people_surveyed_who_report_feeling_satistfied_with_the_latrine_design_and_sanitation_service]]*WWWW[[#This Row],[Total PoP ]]</f>
        <v>0</v>
      </c>
      <c r="ED145" s="570">
        <f>WWWW[[#This Row],[%_of_affected_people_surveyed_who_report_feeling_satistfied_with_the_water_point_design_and_water_service]]*WWWW[[#This Row],[Total PoP ]]</f>
        <v>0</v>
      </c>
      <c r="EE145" s="570">
        <f>WWWW[[#This Row],[%_of_complaints_received_that_result_in_timely_corrective_action_and_feedback_to_the_community]]*WWWW[[#This Row],[Total PoP ]]</f>
        <v>0</v>
      </c>
      <c r="EF14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5" s="964">
        <f>VLOOKUP(WWWW[[#This Row],[Site Name]],SiteDB6[[Site Name]:[CCCM Management]],6,FALSE)</f>
        <v>0</v>
      </c>
      <c r="EJ145" s="964" t="str">
        <f>VLOOKUP(WWWW[[#This Row],[Site Name]],SiteDB6[[Site Name]:[CCCM Focal Agency]],7,FALSE)</f>
        <v>Uncovered</v>
      </c>
      <c r="EK145" s="964" t="str">
        <f>VLOOKUP(WWWW[[#This Row],[Site Name]],SiteDB6[[Site Name]:[Location Type 1]],9,FALSE)</f>
        <v>Camp</v>
      </c>
      <c r="EL145" s="964" t="str">
        <f>VLOOKUP(WWWW[[#This Row],[Site Name]],SiteDB6[[Site Name]:[Type of Accommodation]],10,FALSE)</f>
        <v>Camp like setting</v>
      </c>
      <c r="EM145" s="964" t="str">
        <f>VLOOKUP(WWWW[[#This Row],[Site Name]],SiteDB6[[Site Name]:[Ethnic or GCA/NGCA]],11,FALSE)</f>
        <v>NGCA</v>
      </c>
      <c r="EN145" s="964">
        <f>VLOOKUP(WWWW[[#This Row],[Site Name]],SiteDB6[[Site Name]:[Lat]],12,FALSE)</f>
        <v>0</v>
      </c>
      <c r="EO145" s="964" t="str">
        <f>VLOOKUP(WWWW[[#This Row],[Site Name]],SiteDB6[[Site Name]:[Long]],13,FALSE)</f>
        <v>not available</v>
      </c>
      <c r="EP145" s="964" t="str">
        <f>VLOOKUP(WWWW[[#This Row],[Site Name]],SiteDB6[[Site Name]:[Pcode]],3,FALSE)</f>
        <v>MMR001CMP299</v>
      </c>
      <c r="EQ145" s="969" t="str">
        <f t="shared" si="4"/>
        <v>Notcovered</v>
      </c>
      <c r="ER145" s="969"/>
      <c r="ES145" s="964">
        <f>VLOOKUP(WWWW[[#This Row],[Site Name]],SiteDB6[[Site Name]:[Pop
(Kachin/Shan-CCCM as of March 2023)]],16,FALSE)</f>
        <v>92</v>
      </c>
      <c r="ET145" s="964">
        <f>VLOOKUP(WWWW[[#This Row],[Site Name]],SiteDB6[[Site Name]:[Pop
(Kachin/Shan-CCCM as of March 2023)]],17,FALSE)</f>
        <v>479</v>
      </c>
    </row>
    <row r="146" spans="1:150" hidden="1">
      <c r="A146" s="962" t="s">
        <v>2977</v>
      </c>
      <c r="B146" s="962" t="s">
        <v>309</v>
      </c>
      <c r="C146" s="963" t="s">
        <v>309</v>
      </c>
      <c r="D146" s="963"/>
      <c r="E146" s="963" t="s">
        <v>37</v>
      </c>
      <c r="F146" s="963" t="s">
        <v>142</v>
      </c>
      <c r="G146" s="964" t="str">
        <f>VLOOKUP(WWWW[[#This Row],[Site Name]],SiteDB6[[Site Name]:[Location Type]],8,FALSE)</f>
        <v>Camp</v>
      </c>
      <c r="H146" s="963" t="s">
        <v>3010</v>
      </c>
      <c r="I146" s="965">
        <v>52</v>
      </c>
      <c r="J146" s="965">
        <v>318</v>
      </c>
      <c r="K146" s="966"/>
      <c r="L146" s="967"/>
      <c r="M146" s="965"/>
      <c r="N146" s="965"/>
      <c r="O146" s="965"/>
      <c r="P146" s="965"/>
      <c r="Q146" s="968"/>
      <c r="R146" s="965"/>
      <c r="S146" s="965"/>
      <c r="T146" s="445"/>
      <c r="U146" s="965"/>
      <c r="V146" s="965"/>
      <c r="W146" s="965"/>
      <c r="X146" s="965"/>
      <c r="Y146" s="965"/>
      <c r="Z146" s="965"/>
      <c r="AA146" s="965"/>
      <c r="AB146" s="965"/>
      <c r="AC146" s="965"/>
      <c r="AD146" s="965"/>
      <c r="AE146" s="965"/>
      <c r="AF146" s="965"/>
      <c r="AG146" s="965"/>
      <c r="AH146" s="965"/>
      <c r="AI146" s="965"/>
      <c r="AJ146" s="965"/>
      <c r="AK146" s="965"/>
      <c r="AL146" s="965"/>
      <c r="AM146" s="965"/>
      <c r="AN146" s="965"/>
      <c r="AO146" s="445"/>
      <c r="AP146" s="969"/>
      <c r="AQ146" s="965"/>
      <c r="AR146" s="965"/>
      <c r="AS146" s="970"/>
      <c r="AT146" s="965"/>
      <c r="AU146" s="965"/>
      <c r="AV146" s="965"/>
      <c r="AW146" s="965"/>
      <c r="AX146" s="965"/>
      <c r="AY146" s="964"/>
      <c r="AZ146" s="969"/>
      <c r="BA146" s="965"/>
      <c r="BB146" s="965"/>
      <c r="BC146" s="965"/>
      <c r="BD146" s="445"/>
      <c r="BE146" s="445"/>
      <c r="BF146" s="964"/>
      <c r="BG146" s="965"/>
      <c r="BH146" s="965"/>
      <c r="BI146" s="965"/>
      <c r="BJ146" s="965"/>
      <c r="BK146" s="965"/>
      <c r="BL146" s="965"/>
      <c r="BM146" s="965"/>
      <c r="BN146" s="965"/>
      <c r="BO146" s="965"/>
      <c r="BP146" s="964"/>
      <c r="BQ146" s="971"/>
      <c r="BR146" s="970"/>
      <c r="BS146" s="964"/>
      <c r="BT146" s="420"/>
      <c r="BU146" s="420"/>
      <c r="BV146" s="422"/>
      <c r="BW146" s="420"/>
      <c r="BX146" s="445"/>
      <c r="BY146" s="445"/>
      <c r="BZ146" s="445"/>
      <c r="CA146" s="445"/>
      <c r="CB146" s="445"/>
      <c r="CC146" s="702"/>
      <c r="CD146" s="445"/>
      <c r="CE146" s="972" t="str">
        <f>IFERROR(WWWW[[#This Row],['#_Water sources passed]]/WWWW[[#This Row],['#_Water sources tested for fecal coliform ]],"no test")</f>
        <v>no test</v>
      </c>
      <c r="CF146" s="970" t="str">
        <f>IFERROR(WWWW[[#This Row],['#_Household passed]]/WWWW[[#This Row],['#_Household water samples tested for fecal coliform]],"no test")</f>
        <v>no test</v>
      </c>
      <c r="CG146" s="971" t="str">
        <f>IF(AND(WWWW[[#This Row],[% of water sources passed]]="no test",WWWW[[#This Row],[% Household passed]]="no test"),"No Test","Tested")</f>
        <v>No Test</v>
      </c>
      <c r="CH146" s="971">
        <f>WWWW[[#This Row],['#_Constructed/existing protected hand dug well]]-WWWW[[#This Row],['#_Non-functional protected hand dug well]]</f>
        <v>0</v>
      </c>
      <c r="CI146" s="971">
        <f>(WWWW[[#This Row],['#_Constructed/Existing tube wells/boreholes/handpumps_WASH_agency]]+WWWW[[#This Row],['#_Non-Cluster partner water tube-wells/boreholes/handpumps]])-WWWW[[#This Row],['#_Non-functional tube wells/boreholes/handpumps]]</f>
        <v>0</v>
      </c>
      <c r="CJ146" s="971">
        <f>WWWW[[#This Row],['#_Constructed/Existingwater storage tank with gravity fed reticulation system]]-WWWW[[#This Row],['#_Non-functional storage tank gravity fed reticulation system]]</f>
        <v>0</v>
      </c>
      <c r="CK146" s="971">
        <f>(WWWW[[#This Row],['#_Water_Liters_supplied_by_Water boating or water trucking]]/90)/15</f>
        <v>0</v>
      </c>
      <c r="CL146" s="971">
        <f>WWWW[[#This Row],['#_Water_Liters_from_Constructed/Existing water distribution system from river or natural spring]]/90/15</f>
        <v>0</v>
      </c>
      <c r="CM146" s="421">
        <f>IF(WWWW[[#This Row],['#_of water points in TLS/CFS]]*500&gt;WWWW[[#This Row],[Total PoP ]],WWWW[[#This Row],[Total PoP ]],WWWW[[#This Row],['#_of water points in TLS/CFS]]*500)</f>
        <v>0</v>
      </c>
      <c r="CN146" s="421">
        <f>IF(WWWW[[#This Row],['#_of water points in THF]]*500&gt;WWWW[[#This Row],[Total PoP ]],WWWW[[#This Row],[Total PoP ]],WWWW[[#This Row],['#_of water points in THF]]*500)</f>
        <v>0</v>
      </c>
      <c r="CO146" s="421"/>
      <c r="CP14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6" s="970">
        <f>IF(WWWW[[#This Row],[Location Type 1]]="Village",WWWW[[#This Row],[Access to safe drinking water for Village]],WWWW[[#This Row],[Access to safe drinking water for Camp]])</f>
        <v>0</v>
      </c>
      <c r="CS146" s="968">
        <f>WWWW[[#This Row],[%Equitable and continuous access to sufficient quantity of safe drinking water]]*WWWW[[#This Row],[Total PoP ]]</f>
        <v>0</v>
      </c>
      <c r="CT146" s="970">
        <f>IF((WWWW[[#This Row],['#_Constructed/Existing protected/fenced ponds]]*250)/WWWW[[#This Row],[Total PoP ]]&gt;1,1,(WWWW[[#This Row],['#_Constructed/Existing protected/fenced ponds]]*250)/WWWW[[#This Row],[Total PoP ]])</f>
        <v>0</v>
      </c>
      <c r="CU146" s="968">
        <f>WWWW[[#This Row],[% Access to unimproved water points]]*WWWW[[#This Row],[Total PoP ]]</f>
        <v>0</v>
      </c>
      <c r="CV14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6" s="968">
        <f>WWWW[[#This Row],[HRP1]]/500</f>
        <v>0</v>
      </c>
      <c r="CY146" s="973">
        <f>1-WWWW[[#This Row],[% Equitable and continuous access to sufficient quantity of domestic water]]</f>
        <v>1</v>
      </c>
      <c r="CZ146" s="968">
        <f>WWWW[[#This Row],[%equitable and continuous access to sufficient quantity of safe drinking and domestic water''s GAP]]*WWWW[[#This Row],[Total PoP ]]</f>
        <v>318</v>
      </c>
      <c r="DA146" s="971">
        <f>IF(WWWW[[#This Row],[Total required water points]]-WWWW[[#This Row],['#Water points coverage]]&lt;0,0,WWWW[[#This Row],[Total required water points]]-WWWW[[#This Row],['#Water points coverage]])</f>
        <v>1</v>
      </c>
      <c r="DB146" s="971">
        <f>ROUND(IF(WWWW[[#This Row],[Total PoP ]]&lt;500,1,WWWW[[#This Row],[Total PoP ]]/500),0)</f>
        <v>1</v>
      </c>
      <c r="DC146" s="971">
        <f>(WWWW[[#This Row],['#_Constructed latrines_by_WASHAgencies]]+WWWW[[#This Row],['#_Non Cluster partner latrines]])-WWWW[[#This Row],['#_Non-functional latrines]]</f>
        <v>0</v>
      </c>
      <c r="DD146" s="619">
        <f>WWWW[[#This Row],[HRP2]]/WWWW[[#This Row],[Total PoP ]]</f>
        <v>0</v>
      </c>
      <c r="DE14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6" s="421">
        <f>IF(WWWW[[#This Row],['# of functional latrines in THF supported by WASH partners during the reporting period2]]="",0,WWWW[[#This Row],['# of functional latrines in THF supported by WASH partners during the reporting period2]]*50)</f>
        <v>0</v>
      </c>
      <c r="DI146" s="971">
        <f>ROUND(IF(WWWW[[#This Row],[Location Type 1]]="camp",WWWW[[#This Row],[Total PoP ]]/20,IF(WWWW[[#This Row],[Location Type 1]]="Temporary Location",WWWW[[#This Row],[Total PoP ]]/50,(WWWW[[#This Row],[Total PoP ]]/6))),0)</f>
        <v>16</v>
      </c>
      <c r="DJ146" s="971">
        <f>IF(WWWW[[#This Row],[Total required Latrines]]-(WWWW[[#This Row],['#_Constructed latrines_by_WASHAgencies]]+WWWW[[#This Row],['#_Non Cluster partner latrines]])&lt;0,0,WWWW[[#This Row],[Total required Latrines]]-(WWWW[[#This Row],['#_Constructed latrines_by_WASHAgencies]]+WWWW[[#This Row],['#_Non Cluster partner latrines]]))</f>
        <v>16</v>
      </c>
      <c r="DK146" s="973">
        <f>1-WWWW[[#This Row],[% people access to functioning Latrine]]</f>
        <v>1</v>
      </c>
      <c r="DL146" s="972">
        <f>IF(OR(WWWW[[#This Row],['#_Non-functional latrines]]="",WWWW[[#This Row],['#_Non-functional latrines]]=0),0,WWWW[[#This Row],['#_Non-functional latrines]]/(WWWW[[#This Row],['#_Constructed latrines_by_WASHAgencies]]+WWWW[[#This Row],['#_Non Cluster partner latrines]]))</f>
        <v>0</v>
      </c>
      <c r="DM146" s="968">
        <f>IF(500*(WWWW[[#This Row],['#_male hygiene promoters]]+WWWW[[#This Row],['#_female hygiene promoters]])&gt;WWWW[[#This Row],[Total PoP ]],WWWW[[#This Row],[Total PoP ]],500*(WWWW[[#This Row],['#_male hygiene promoters]]+WWWW[[#This Row],['#_female hygiene promoters]]))</f>
        <v>0</v>
      </c>
      <c r="DN14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6" s="971">
        <f>IF(WWWW[[#This Row],['# People with access to soap]]&gt;WWWW[[#This Row],['# People with access to Sanity Pads]],WWWW[[#This Row],['# People with access to soap]],WWWW[[#This Row],['# People with access to Sanity Pads]])</f>
        <v>0</v>
      </c>
      <c r="DQ14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6" s="973">
        <f>IF(WWWW[[#This Row],[HRP3]]/WWWW[[#This Row],[Total PoP ]]&gt;1,1,WWWW[[#This Row],[HRP3]]/WWWW[[#This Row],[Total PoP ]])</f>
        <v>0</v>
      </c>
      <c r="DS146" s="972">
        <f>1-WWWW[[#This Row],[Hygiene Coverage%]]</f>
        <v>1</v>
      </c>
      <c r="DT146" s="970">
        <f>WWWW[[#This Row],['# people reached by regular dedicated hygiene promotion_5]]/WWWW[[#This Row],[Total PoP ]]</f>
        <v>0</v>
      </c>
      <c r="DU14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6" s="971">
        <f>WWWW[[#This Row],['#_Constructed/Existing hand washing stations]]-WWWW[[#This Row],['#_Non-Functional_hand_washing_stations]]</f>
        <v>0</v>
      </c>
      <c r="DX146" s="968">
        <f>IF(WWWW[[#This Row],['# Functional hand washing stations during reporting period]]*20&gt;WWWW[[#This Row],[Total HH]],WWWW[[#This Row],[Total HH]],WWWW[[#This Row],['# Functional hand washing stations during reporting period]]*20)</f>
        <v>0</v>
      </c>
      <c r="DY146" s="968">
        <f>IF(WWWW[[#This Row],[Is sufficient soap available for TLS? (Yes/No)]]="yes",WWWW[[#This Row],['#_Constructed/Existing hand washing stations at TLS/CFS/THF]],0)</f>
        <v>0</v>
      </c>
      <c r="DZ146" s="425">
        <f>IF(WWWW[[#This Row],['# Functional hand washing stations during reporting period]]*100&gt;WWWW[[#This Row],[Total PoP ]],WWWW[[#This Row],[Total PoP ]],WWWW[[#This Row],['# Functional hand washing stations during reporting period]]*100)</f>
        <v>0</v>
      </c>
      <c r="EA146" s="425" t="str">
        <f>IF(OR(WWWW[[#This Row],['#_students at TLS_CFS]]="",WWWW[[#This Row],['#_students at TLS_CFS]]=0),"No","Yes")</f>
        <v>No</v>
      </c>
      <c r="EB14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6" s="570">
        <f>WWWW[[#This Row],[%_of_affected_people_surveyed_who_report_feeling_satistfied_with_the_latrine_design_and_sanitation_service]]*WWWW[[#This Row],[Total PoP ]]</f>
        <v>0</v>
      </c>
      <c r="ED146" s="570">
        <f>WWWW[[#This Row],[%_of_affected_people_surveyed_who_report_feeling_satistfied_with_the_water_point_design_and_water_service]]*WWWW[[#This Row],[Total PoP ]]</f>
        <v>0</v>
      </c>
      <c r="EE146" s="570">
        <f>WWWW[[#This Row],[%_of_complaints_received_that_result_in_timely_corrective_action_and_feedback_to_the_community]]*WWWW[[#This Row],[Total PoP ]]</f>
        <v>0</v>
      </c>
      <c r="EF14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6" s="964">
        <f>VLOOKUP(WWWW[[#This Row],[Site Name]],SiteDB6[[Site Name]:[CCCM Management]],6,FALSE)</f>
        <v>0</v>
      </c>
      <c r="EJ146" s="964" t="str">
        <f>VLOOKUP(WWWW[[#This Row],[Site Name]],SiteDB6[[Site Name]:[CCCM Focal Agency]],7,FALSE)</f>
        <v>KBC-MYT</v>
      </c>
      <c r="EK146" s="964" t="str">
        <f>VLOOKUP(WWWW[[#This Row],[Site Name]],SiteDB6[[Site Name]:[Location Type 1]],9,FALSE)</f>
        <v>Camp</v>
      </c>
      <c r="EL146" s="964" t="str">
        <f>VLOOKUP(WWWW[[#This Row],[Site Name]],SiteDB6[[Site Name]:[Type of Accommodation]],10,FALSE)</f>
        <v>Camp like setting</v>
      </c>
      <c r="EM146" s="964" t="str">
        <f>VLOOKUP(WWWW[[#This Row],[Site Name]],SiteDB6[[Site Name]:[Ethnic or GCA/NGCA]],11,FALSE)</f>
        <v>GCA</v>
      </c>
      <c r="EN146" s="964">
        <f>VLOOKUP(WWWW[[#This Row],[Site Name]],SiteDB6[[Site Name]:[Lat]],12,FALSE)</f>
        <v>0</v>
      </c>
      <c r="EO146" s="964">
        <f>VLOOKUP(WWWW[[#This Row],[Site Name]],SiteDB6[[Site Name]:[Long]],13,FALSE)</f>
        <v>0</v>
      </c>
      <c r="EP146" s="964">
        <f>VLOOKUP(WWWW[[#This Row],[Site Name]],SiteDB6[[Site Name]:[Pcode]],3,FALSE)</f>
        <v>0</v>
      </c>
      <c r="EQ146" s="969" t="str">
        <f t="shared" si="4"/>
        <v>Notcovered</v>
      </c>
      <c r="ER146" s="969"/>
      <c r="ES146" s="964">
        <f>VLOOKUP(WWWW[[#This Row],[Site Name]],SiteDB6[[Site Name]:[Pop
(Kachin/Shan-CCCM as of March 2023)]],16,FALSE)</f>
        <v>52</v>
      </c>
      <c r="ET146" s="964">
        <f>VLOOKUP(WWWW[[#This Row],[Site Name]],SiteDB6[[Site Name]:[Pop
(Kachin/Shan-CCCM as of March 2023)]],17,FALSE)</f>
        <v>318</v>
      </c>
    </row>
    <row r="147" spans="1:150" hidden="1">
      <c r="A147" s="962" t="s">
        <v>2977</v>
      </c>
      <c r="B147" s="962" t="s">
        <v>309</v>
      </c>
      <c r="C147" s="963" t="s">
        <v>309</v>
      </c>
      <c r="D147" s="963"/>
      <c r="E147" s="963" t="s">
        <v>37</v>
      </c>
      <c r="F147" s="963" t="s">
        <v>142</v>
      </c>
      <c r="G147" s="964" t="str">
        <f>VLOOKUP(WWWW[[#This Row],[Site Name]],SiteDB6[[Site Name]:[Location Type]],8,FALSE)</f>
        <v>Camp</v>
      </c>
      <c r="H147" s="963" t="s">
        <v>3007</v>
      </c>
      <c r="I147" s="965">
        <v>33</v>
      </c>
      <c r="J147" s="965">
        <v>178</v>
      </c>
      <c r="K147" s="966"/>
      <c r="L147" s="967"/>
      <c r="M147" s="965"/>
      <c r="N147" s="965"/>
      <c r="O147" s="965"/>
      <c r="P147" s="965"/>
      <c r="Q147" s="968"/>
      <c r="R147" s="965"/>
      <c r="S147" s="965"/>
      <c r="T147" s="445"/>
      <c r="U147" s="965"/>
      <c r="V147" s="965"/>
      <c r="W147" s="965"/>
      <c r="X147" s="965"/>
      <c r="Y147" s="965"/>
      <c r="Z147" s="965"/>
      <c r="AA147" s="965"/>
      <c r="AB147" s="965"/>
      <c r="AC147" s="965"/>
      <c r="AD147" s="965"/>
      <c r="AE147" s="965"/>
      <c r="AF147" s="965"/>
      <c r="AG147" s="965"/>
      <c r="AH147" s="965"/>
      <c r="AI147" s="965"/>
      <c r="AJ147" s="965"/>
      <c r="AK147" s="965"/>
      <c r="AL147" s="965"/>
      <c r="AM147" s="965"/>
      <c r="AN147" s="965"/>
      <c r="AO147" s="445"/>
      <c r="AP147" s="969"/>
      <c r="AQ147" s="965"/>
      <c r="AR147" s="965"/>
      <c r="AS147" s="970"/>
      <c r="AT147" s="965"/>
      <c r="AU147" s="965"/>
      <c r="AV147" s="965"/>
      <c r="AW147" s="965"/>
      <c r="AX147" s="965"/>
      <c r="AY147" s="964"/>
      <c r="AZ147" s="969"/>
      <c r="BA147" s="965"/>
      <c r="BB147" s="965"/>
      <c r="BC147" s="965"/>
      <c r="BD147" s="445"/>
      <c r="BE147" s="445"/>
      <c r="BF147" s="964"/>
      <c r="BG147" s="965"/>
      <c r="BH147" s="965"/>
      <c r="BI147" s="965"/>
      <c r="BJ147" s="965"/>
      <c r="BK147" s="965"/>
      <c r="BL147" s="965"/>
      <c r="BM147" s="965"/>
      <c r="BN147" s="965"/>
      <c r="BO147" s="965"/>
      <c r="BP147" s="964"/>
      <c r="BQ147" s="971"/>
      <c r="BR147" s="970"/>
      <c r="BS147" s="964"/>
      <c r="BT147" s="420"/>
      <c r="BU147" s="420"/>
      <c r="BV147" s="422"/>
      <c r="BW147" s="420"/>
      <c r="BX147" s="445"/>
      <c r="BY147" s="445"/>
      <c r="BZ147" s="445"/>
      <c r="CA147" s="445"/>
      <c r="CB147" s="445"/>
      <c r="CC147" s="702"/>
      <c r="CD147" s="445"/>
      <c r="CE147" s="972" t="str">
        <f>IFERROR(WWWW[[#This Row],['#_Water sources passed]]/WWWW[[#This Row],['#_Water sources tested for fecal coliform ]],"no test")</f>
        <v>no test</v>
      </c>
      <c r="CF147" s="970" t="str">
        <f>IFERROR(WWWW[[#This Row],['#_Household passed]]/WWWW[[#This Row],['#_Household water samples tested for fecal coliform]],"no test")</f>
        <v>no test</v>
      </c>
      <c r="CG147" s="971" t="str">
        <f>IF(AND(WWWW[[#This Row],[% of water sources passed]]="no test",WWWW[[#This Row],[% Household passed]]="no test"),"No Test","Tested")</f>
        <v>No Test</v>
      </c>
      <c r="CH147" s="971">
        <f>WWWW[[#This Row],['#_Constructed/existing protected hand dug well]]-WWWW[[#This Row],['#_Non-functional protected hand dug well]]</f>
        <v>0</v>
      </c>
      <c r="CI147" s="971">
        <f>(WWWW[[#This Row],['#_Constructed/Existing tube wells/boreholes/handpumps_WASH_agency]]+WWWW[[#This Row],['#_Non-Cluster partner water tube-wells/boreholes/handpumps]])-WWWW[[#This Row],['#_Non-functional tube wells/boreholes/handpumps]]</f>
        <v>0</v>
      </c>
      <c r="CJ147" s="971">
        <f>WWWW[[#This Row],['#_Constructed/Existingwater storage tank with gravity fed reticulation system]]-WWWW[[#This Row],['#_Non-functional storage tank gravity fed reticulation system]]</f>
        <v>0</v>
      </c>
      <c r="CK147" s="971">
        <f>(WWWW[[#This Row],['#_Water_Liters_supplied_by_Water boating or water trucking]]/90)/15</f>
        <v>0</v>
      </c>
      <c r="CL147" s="971">
        <f>WWWW[[#This Row],['#_Water_Liters_from_Constructed/Existing water distribution system from river or natural spring]]/90/15</f>
        <v>0</v>
      </c>
      <c r="CM147" s="421">
        <f>IF(WWWW[[#This Row],['#_of water points in TLS/CFS]]*500&gt;WWWW[[#This Row],[Total PoP ]],WWWW[[#This Row],[Total PoP ]],WWWW[[#This Row],['#_of water points in TLS/CFS]]*500)</f>
        <v>0</v>
      </c>
      <c r="CN147" s="421">
        <f>IF(WWWW[[#This Row],['#_of water points in THF]]*500&gt;WWWW[[#This Row],[Total PoP ]],WWWW[[#This Row],[Total PoP ]],WWWW[[#This Row],['#_of water points in THF]]*500)</f>
        <v>0</v>
      </c>
      <c r="CO147" s="421"/>
      <c r="CP14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7" s="970">
        <f>IF(WWWW[[#This Row],[Location Type 1]]="Village",WWWW[[#This Row],[Access to safe drinking water for Village]],WWWW[[#This Row],[Access to safe drinking water for Camp]])</f>
        <v>0</v>
      </c>
      <c r="CS147" s="968">
        <f>WWWW[[#This Row],[%Equitable and continuous access to sufficient quantity of safe drinking water]]*WWWW[[#This Row],[Total PoP ]]</f>
        <v>0</v>
      </c>
      <c r="CT147" s="970">
        <f>IF((WWWW[[#This Row],['#_Constructed/Existing protected/fenced ponds]]*250)/WWWW[[#This Row],[Total PoP ]]&gt;1,1,(WWWW[[#This Row],['#_Constructed/Existing protected/fenced ponds]]*250)/WWWW[[#This Row],[Total PoP ]])</f>
        <v>0</v>
      </c>
      <c r="CU147" s="968">
        <f>WWWW[[#This Row],[% Access to unimproved water points]]*WWWW[[#This Row],[Total PoP ]]</f>
        <v>0</v>
      </c>
      <c r="CV14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7" s="968">
        <f>WWWW[[#This Row],[HRP1]]/500</f>
        <v>0</v>
      </c>
      <c r="CY147" s="973">
        <f>1-WWWW[[#This Row],[% Equitable and continuous access to sufficient quantity of domestic water]]</f>
        <v>1</v>
      </c>
      <c r="CZ147" s="968">
        <f>WWWW[[#This Row],[%equitable and continuous access to sufficient quantity of safe drinking and domestic water''s GAP]]*WWWW[[#This Row],[Total PoP ]]</f>
        <v>178</v>
      </c>
      <c r="DA147" s="971">
        <f>IF(WWWW[[#This Row],[Total required water points]]-WWWW[[#This Row],['#Water points coverage]]&lt;0,0,WWWW[[#This Row],[Total required water points]]-WWWW[[#This Row],['#Water points coverage]])</f>
        <v>1</v>
      </c>
      <c r="DB147" s="971">
        <f>ROUND(IF(WWWW[[#This Row],[Total PoP ]]&lt;500,1,WWWW[[#This Row],[Total PoP ]]/500),0)</f>
        <v>1</v>
      </c>
      <c r="DC147" s="971">
        <f>(WWWW[[#This Row],['#_Constructed latrines_by_WASHAgencies]]+WWWW[[#This Row],['#_Non Cluster partner latrines]])-WWWW[[#This Row],['#_Non-functional latrines]]</f>
        <v>0</v>
      </c>
      <c r="DD147" s="619">
        <f>WWWW[[#This Row],[HRP2]]/WWWW[[#This Row],[Total PoP ]]</f>
        <v>0</v>
      </c>
      <c r="DE14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7" s="421">
        <f>IF(WWWW[[#This Row],['# of functional latrines in THF supported by WASH partners during the reporting period2]]="",0,WWWW[[#This Row],['# of functional latrines in THF supported by WASH partners during the reporting period2]]*50)</f>
        <v>0</v>
      </c>
      <c r="DI147" s="971">
        <f>ROUND(IF(WWWW[[#This Row],[Location Type 1]]="camp",WWWW[[#This Row],[Total PoP ]]/20,IF(WWWW[[#This Row],[Location Type 1]]="Temporary Location",WWWW[[#This Row],[Total PoP ]]/50,(WWWW[[#This Row],[Total PoP ]]/6))),0)</f>
        <v>9</v>
      </c>
      <c r="DJ147" s="971">
        <f>IF(WWWW[[#This Row],[Total required Latrines]]-(WWWW[[#This Row],['#_Constructed latrines_by_WASHAgencies]]+WWWW[[#This Row],['#_Non Cluster partner latrines]])&lt;0,0,WWWW[[#This Row],[Total required Latrines]]-(WWWW[[#This Row],['#_Constructed latrines_by_WASHAgencies]]+WWWW[[#This Row],['#_Non Cluster partner latrines]]))</f>
        <v>9</v>
      </c>
      <c r="DK147" s="973">
        <f>1-WWWW[[#This Row],[% people access to functioning Latrine]]</f>
        <v>1</v>
      </c>
      <c r="DL147" s="972">
        <f>IF(OR(WWWW[[#This Row],['#_Non-functional latrines]]="",WWWW[[#This Row],['#_Non-functional latrines]]=0),0,WWWW[[#This Row],['#_Non-functional latrines]]/(WWWW[[#This Row],['#_Constructed latrines_by_WASHAgencies]]+WWWW[[#This Row],['#_Non Cluster partner latrines]]))</f>
        <v>0</v>
      </c>
      <c r="DM147" s="968">
        <f>IF(500*(WWWW[[#This Row],['#_male hygiene promoters]]+WWWW[[#This Row],['#_female hygiene promoters]])&gt;WWWW[[#This Row],[Total PoP ]],WWWW[[#This Row],[Total PoP ]],500*(WWWW[[#This Row],['#_male hygiene promoters]]+WWWW[[#This Row],['#_female hygiene promoters]]))</f>
        <v>0</v>
      </c>
      <c r="DN14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7" s="971">
        <f>IF(WWWW[[#This Row],['# People with access to soap]]&gt;WWWW[[#This Row],['# People with access to Sanity Pads]],WWWW[[#This Row],['# People with access to soap]],WWWW[[#This Row],['# People with access to Sanity Pads]])</f>
        <v>0</v>
      </c>
      <c r="DQ14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7" s="973">
        <f>IF(WWWW[[#This Row],[HRP3]]/WWWW[[#This Row],[Total PoP ]]&gt;1,1,WWWW[[#This Row],[HRP3]]/WWWW[[#This Row],[Total PoP ]])</f>
        <v>0</v>
      </c>
      <c r="DS147" s="972">
        <f>1-WWWW[[#This Row],[Hygiene Coverage%]]</f>
        <v>1</v>
      </c>
      <c r="DT147" s="970">
        <f>WWWW[[#This Row],['# people reached by regular dedicated hygiene promotion_5]]/WWWW[[#This Row],[Total PoP ]]</f>
        <v>0</v>
      </c>
      <c r="DU14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7" s="971">
        <f>WWWW[[#This Row],['#_Constructed/Existing hand washing stations]]-WWWW[[#This Row],['#_Non-Functional_hand_washing_stations]]</f>
        <v>0</v>
      </c>
      <c r="DX147" s="968">
        <f>IF(WWWW[[#This Row],['# Functional hand washing stations during reporting period]]*20&gt;WWWW[[#This Row],[Total HH]],WWWW[[#This Row],[Total HH]],WWWW[[#This Row],['# Functional hand washing stations during reporting period]]*20)</f>
        <v>0</v>
      </c>
      <c r="DY147" s="968">
        <f>IF(WWWW[[#This Row],[Is sufficient soap available for TLS? (Yes/No)]]="yes",WWWW[[#This Row],['#_Constructed/Existing hand washing stations at TLS/CFS/THF]],0)</f>
        <v>0</v>
      </c>
      <c r="DZ147" s="425">
        <f>IF(WWWW[[#This Row],['# Functional hand washing stations during reporting period]]*100&gt;WWWW[[#This Row],[Total PoP ]],WWWW[[#This Row],[Total PoP ]],WWWW[[#This Row],['# Functional hand washing stations during reporting period]]*100)</f>
        <v>0</v>
      </c>
      <c r="EA147" s="425" t="str">
        <f>IF(OR(WWWW[[#This Row],['#_students at TLS_CFS]]="",WWWW[[#This Row],['#_students at TLS_CFS]]=0),"No","Yes")</f>
        <v>No</v>
      </c>
      <c r="EB14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7" s="570">
        <f>WWWW[[#This Row],[%_of_affected_people_surveyed_who_report_feeling_satistfied_with_the_latrine_design_and_sanitation_service]]*WWWW[[#This Row],[Total PoP ]]</f>
        <v>0</v>
      </c>
      <c r="ED147" s="570">
        <f>WWWW[[#This Row],[%_of_affected_people_surveyed_who_report_feeling_satistfied_with_the_water_point_design_and_water_service]]*WWWW[[#This Row],[Total PoP ]]</f>
        <v>0</v>
      </c>
      <c r="EE147" s="570">
        <f>WWWW[[#This Row],[%_of_complaints_received_that_result_in_timely_corrective_action_and_feedback_to_the_community]]*WWWW[[#This Row],[Total PoP ]]</f>
        <v>0</v>
      </c>
      <c r="EF14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7" s="964">
        <f>VLOOKUP(WWWW[[#This Row],[Site Name]],SiteDB6[[Site Name]:[CCCM Management]],6,FALSE)</f>
        <v>0</v>
      </c>
      <c r="EJ147" s="964" t="str">
        <f>VLOOKUP(WWWW[[#This Row],[Site Name]],SiteDB6[[Site Name]:[CCCM Focal Agency]],7,FALSE)</f>
        <v>DFSS</v>
      </c>
      <c r="EK147" s="964" t="str">
        <f>VLOOKUP(WWWW[[#This Row],[Site Name]],SiteDB6[[Site Name]:[Location Type 1]],9,FALSE)</f>
        <v>Camp</v>
      </c>
      <c r="EL147" s="964" t="str">
        <f>VLOOKUP(WWWW[[#This Row],[Site Name]],SiteDB6[[Site Name]:[Type of Accommodation]],10,FALSE)</f>
        <v>Camp like setting</v>
      </c>
      <c r="EM147" s="964" t="str">
        <f>VLOOKUP(WWWW[[#This Row],[Site Name]],SiteDB6[[Site Name]:[Ethnic or GCA/NGCA]],11,FALSE)</f>
        <v>GCA</v>
      </c>
      <c r="EN147" s="964">
        <f>VLOOKUP(WWWW[[#This Row],[Site Name]],SiteDB6[[Site Name]:[Lat]],12,FALSE)</f>
        <v>0</v>
      </c>
      <c r="EO147" s="964">
        <f>VLOOKUP(WWWW[[#This Row],[Site Name]],SiteDB6[[Site Name]:[Long]],13,FALSE)</f>
        <v>0</v>
      </c>
      <c r="EP147" s="964" t="str">
        <f>VLOOKUP(WWWW[[#This Row],[Site Name]],SiteDB6[[Site Name]:[Pcode]],3,FALSE)</f>
        <v>MMR001CMP302</v>
      </c>
      <c r="EQ147" s="969" t="str">
        <f t="shared" si="4"/>
        <v>Notcovered</v>
      </c>
      <c r="ER147" s="969"/>
      <c r="ES147" s="964">
        <f>VLOOKUP(WWWW[[#This Row],[Site Name]],SiteDB6[[Site Name]:[Pop
(Kachin/Shan-CCCM as of March 2023)]],16,FALSE)</f>
        <v>33</v>
      </c>
      <c r="ET147" s="964">
        <f>VLOOKUP(WWWW[[#This Row],[Site Name]],SiteDB6[[Site Name]:[Pop
(Kachin/Shan-CCCM as of March 2023)]],17,FALSE)</f>
        <v>178</v>
      </c>
    </row>
    <row r="148" spans="1:150" hidden="1">
      <c r="A148" s="962" t="s">
        <v>2977</v>
      </c>
      <c r="B148" s="962" t="s">
        <v>309</v>
      </c>
      <c r="C148" s="963" t="s">
        <v>309</v>
      </c>
      <c r="D148" s="963"/>
      <c r="E148" s="963" t="s">
        <v>37</v>
      </c>
      <c r="F148" s="963" t="s">
        <v>142</v>
      </c>
      <c r="G148" s="964" t="str">
        <f>VLOOKUP(WWWW[[#This Row],[Site Name]],SiteDB6[[Site Name]:[Location Type]],8,FALSE)</f>
        <v>Camp</v>
      </c>
      <c r="H148" s="963" t="s">
        <v>2995</v>
      </c>
      <c r="I148" s="965">
        <v>30</v>
      </c>
      <c r="J148" s="965">
        <v>157</v>
      </c>
      <c r="K148" s="966"/>
      <c r="L148" s="967"/>
      <c r="M148" s="965"/>
      <c r="N148" s="965"/>
      <c r="O148" s="965"/>
      <c r="P148" s="965"/>
      <c r="Q148" s="968"/>
      <c r="R148" s="965"/>
      <c r="S148" s="965"/>
      <c r="T148" s="445"/>
      <c r="U148" s="965"/>
      <c r="V148" s="965"/>
      <c r="W148" s="965"/>
      <c r="X148" s="965"/>
      <c r="Y148" s="965"/>
      <c r="Z148" s="965"/>
      <c r="AA148" s="965"/>
      <c r="AB148" s="965"/>
      <c r="AC148" s="965"/>
      <c r="AD148" s="965"/>
      <c r="AE148" s="965"/>
      <c r="AF148" s="965"/>
      <c r="AG148" s="965"/>
      <c r="AH148" s="965"/>
      <c r="AI148" s="965"/>
      <c r="AJ148" s="965"/>
      <c r="AK148" s="965"/>
      <c r="AL148" s="965"/>
      <c r="AM148" s="965"/>
      <c r="AN148" s="965"/>
      <c r="AO148" s="445"/>
      <c r="AP148" s="969"/>
      <c r="AQ148" s="965"/>
      <c r="AR148" s="965"/>
      <c r="AS148" s="970"/>
      <c r="AT148" s="965"/>
      <c r="AU148" s="965"/>
      <c r="AV148" s="965"/>
      <c r="AW148" s="965"/>
      <c r="AX148" s="965"/>
      <c r="AY148" s="964"/>
      <c r="AZ148" s="969"/>
      <c r="BA148" s="965"/>
      <c r="BB148" s="965"/>
      <c r="BC148" s="965"/>
      <c r="BD148" s="445"/>
      <c r="BE148" s="445"/>
      <c r="BF148" s="964"/>
      <c r="BG148" s="965"/>
      <c r="BH148" s="965"/>
      <c r="BI148" s="965"/>
      <c r="BJ148" s="965"/>
      <c r="BK148" s="965"/>
      <c r="BL148" s="965"/>
      <c r="BM148" s="965"/>
      <c r="BN148" s="965"/>
      <c r="BO148" s="965"/>
      <c r="BP148" s="964"/>
      <c r="BQ148" s="971"/>
      <c r="BR148" s="970"/>
      <c r="BS148" s="964"/>
      <c r="BT148" s="420"/>
      <c r="BU148" s="420"/>
      <c r="BV148" s="422"/>
      <c r="BW148" s="420"/>
      <c r="BX148" s="445"/>
      <c r="BY148" s="445"/>
      <c r="BZ148" s="445"/>
      <c r="CA148" s="445"/>
      <c r="CB148" s="445"/>
      <c r="CC148" s="702"/>
      <c r="CD148" s="445"/>
      <c r="CE148" s="972" t="str">
        <f>IFERROR(WWWW[[#This Row],['#_Water sources passed]]/WWWW[[#This Row],['#_Water sources tested for fecal coliform ]],"no test")</f>
        <v>no test</v>
      </c>
      <c r="CF148" s="970" t="str">
        <f>IFERROR(WWWW[[#This Row],['#_Household passed]]/WWWW[[#This Row],['#_Household water samples tested for fecal coliform]],"no test")</f>
        <v>no test</v>
      </c>
      <c r="CG148" s="971" t="str">
        <f>IF(AND(WWWW[[#This Row],[% of water sources passed]]="no test",WWWW[[#This Row],[% Household passed]]="no test"),"No Test","Tested")</f>
        <v>No Test</v>
      </c>
      <c r="CH148" s="971">
        <f>WWWW[[#This Row],['#_Constructed/existing protected hand dug well]]-WWWW[[#This Row],['#_Non-functional protected hand dug well]]</f>
        <v>0</v>
      </c>
      <c r="CI148" s="971">
        <f>(WWWW[[#This Row],['#_Constructed/Existing tube wells/boreholes/handpumps_WASH_agency]]+WWWW[[#This Row],['#_Non-Cluster partner water tube-wells/boreholes/handpumps]])-WWWW[[#This Row],['#_Non-functional tube wells/boreholes/handpumps]]</f>
        <v>0</v>
      </c>
      <c r="CJ148" s="971">
        <f>WWWW[[#This Row],['#_Constructed/Existingwater storage tank with gravity fed reticulation system]]-WWWW[[#This Row],['#_Non-functional storage tank gravity fed reticulation system]]</f>
        <v>0</v>
      </c>
      <c r="CK148" s="971">
        <f>(WWWW[[#This Row],['#_Water_Liters_supplied_by_Water boating or water trucking]]/90)/15</f>
        <v>0</v>
      </c>
      <c r="CL148" s="971">
        <f>WWWW[[#This Row],['#_Water_Liters_from_Constructed/Existing water distribution system from river or natural spring]]/90/15</f>
        <v>0</v>
      </c>
      <c r="CM148" s="421">
        <f>IF(WWWW[[#This Row],['#_of water points in TLS/CFS]]*500&gt;WWWW[[#This Row],[Total PoP ]],WWWW[[#This Row],[Total PoP ]],WWWW[[#This Row],['#_of water points in TLS/CFS]]*500)</f>
        <v>0</v>
      </c>
      <c r="CN148" s="421">
        <f>IF(WWWW[[#This Row],['#_of water points in THF]]*500&gt;WWWW[[#This Row],[Total PoP ]],WWWW[[#This Row],[Total PoP ]],WWWW[[#This Row],['#_of water points in THF]]*500)</f>
        <v>0</v>
      </c>
      <c r="CO148" s="421"/>
      <c r="CP14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8" s="970">
        <f>IF(WWWW[[#This Row],[Location Type 1]]="Village",WWWW[[#This Row],[Access to safe drinking water for Village]],WWWW[[#This Row],[Access to safe drinking water for Camp]])</f>
        <v>0</v>
      </c>
      <c r="CS148" s="968">
        <f>WWWW[[#This Row],[%Equitable and continuous access to sufficient quantity of safe drinking water]]*WWWW[[#This Row],[Total PoP ]]</f>
        <v>0</v>
      </c>
      <c r="CT148" s="970">
        <f>IF((WWWW[[#This Row],['#_Constructed/Existing protected/fenced ponds]]*250)/WWWW[[#This Row],[Total PoP ]]&gt;1,1,(WWWW[[#This Row],['#_Constructed/Existing protected/fenced ponds]]*250)/WWWW[[#This Row],[Total PoP ]])</f>
        <v>0</v>
      </c>
      <c r="CU148" s="968">
        <f>WWWW[[#This Row],[% Access to unimproved water points]]*WWWW[[#This Row],[Total PoP ]]</f>
        <v>0</v>
      </c>
      <c r="CV14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8" s="968">
        <f>WWWW[[#This Row],[HRP1]]/500</f>
        <v>0</v>
      </c>
      <c r="CY148" s="973">
        <f>1-WWWW[[#This Row],[% Equitable and continuous access to sufficient quantity of domestic water]]</f>
        <v>1</v>
      </c>
      <c r="CZ148" s="968">
        <f>WWWW[[#This Row],[%equitable and continuous access to sufficient quantity of safe drinking and domestic water''s GAP]]*WWWW[[#This Row],[Total PoP ]]</f>
        <v>157</v>
      </c>
      <c r="DA148" s="971">
        <f>IF(WWWW[[#This Row],[Total required water points]]-WWWW[[#This Row],['#Water points coverage]]&lt;0,0,WWWW[[#This Row],[Total required water points]]-WWWW[[#This Row],['#Water points coverage]])</f>
        <v>1</v>
      </c>
      <c r="DB148" s="971">
        <f>ROUND(IF(WWWW[[#This Row],[Total PoP ]]&lt;500,1,WWWW[[#This Row],[Total PoP ]]/500),0)</f>
        <v>1</v>
      </c>
      <c r="DC148" s="971">
        <f>(WWWW[[#This Row],['#_Constructed latrines_by_WASHAgencies]]+WWWW[[#This Row],['#_Non Cluster partner latrines]])-WWWW[[#This Row],['#_Non-functional latrines]]</f>
        <v>0</v>
      </c>
      <c r="DD148" s="619">
        <f>WWWW[[#This Row],[HRP2]]/WWWW[[#This Row],[Total PoP ]]</f>
        <v>0</v>
      </c>
      <c r="DE14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8" s="421">
        <f>IF(WWWW[[#This Row],['# of functional latrines in THF supported by WASH partners during the reporting period2]]="",0,WWWW[[#This Row],['# of functional latrines in THF supported by WASH partners during the reporting period2]]*50)</f>
        <v>0</v>
      </c>
      <c r="DI148" s="971">
        <f>ROUND(IF(WWWW[[#This Row],[Location Type 1]]="camp",WWWW[[#This Row],[Total PoP ]]/20,IF(WWWW[[#This Row],[Location Type 1]]="Temporary Location",WWWW[[#This Row],[Total PoP ]]/50,(WWWW[[#This Row],[Total PoP ]]/6))),0)</f>
        <v>8</v>
      </c>
      <c r="DJ148" s="971">
        <f>IF(WWWW[[#This Row],[Total required Latrines]]-(WWWW[[#This Row],['#_Constructed latrines_by_WASHAgencies]]+WWWW[[#This Row],['#_Non Cluster partner latrines]])&lt;0,0,WWWW[[#This Row],[Total required Latrines]]-(WWWW[[#This Row],['#_Constructed latrines_by_WASHAgencies]]+WWWW[[#This Row],['#_Non Cluster partner latrines]]))</f>
        <v>8</v>
      </c>
      <c r="DK148" s="973">
        <f>1-WWWW[[#This Row],[% people access to functioning Latrine]]</f>
        <v>1</v>
      </c>
      <c r="DL148" s="972">
        <f>IF(OR(WWWW[[#This Row],['#_Non-functional latrines]]="",WWWW[[#This Row],['#_Non-functional latrines]]=0),0,WWWW[[#This Row],['#_Non-functional latrines]]/(WWWW[[#This Row],['#_Constructed latrines_by_WASHAgencies]]+WWWW[[#This Row],['#_Non Cluster partner latrines]]))</f>
        <v>0</v>
      </c>
      <c r="DM148" s="968">
        <f>IF(500*(WWWW[[#This Row],['#_male hygiene promoters]]+WWWW[[#This Row],['#_female hygiene promoters]])&gt;WWWW[[#This Row],[Total PoP ]],WWWW[[#This Row],[Total PoP ]],500*(WWWW[[#This Row],['#_male hygiene promoters]]+WWWW[[#This Row],['#_female hygiene promoters]]))</f>
        <v>0</v>
      </c>
      <c r="DN14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8" s="971">
        <f>IF(WWWW[[#This Row],['# People with access to soap]]&gt;WWWW[[#This Row],['# People with access to Sanity Pads]],WWWW[[#This Row],['# People with access to soap]],WWWW[[#This Row],['# People with access to Sanity Pads]])</f>
        <v>0</v>
      </c>
      <c r="DQ148"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8" s="973">
        <f>IF(WWWW[[#This Row],[HRP3]]/WWWW[[#This Row],[Total PoP ]]&gt;1,1,WWWW[[#This Row],[HRP3]]/WWWW[[#This Row],[Total PoP ]])</f>
        <v>0</v>
      </c>
      <c r="DS148" s="972">
        <f>1-WWWW[[#This Row],[Hygiene Coverage%]]</f>
        <v>1</v>
      </c>
      <c r="DT148" s="970">
        <f>WWWW[[#This Row],['# people reached by regular dedicated hygiene promotion_5]]/WWWW[[#This Row],[Total PoP ]]</f>
        <v>0</v>
      </c>
      <c r="DU14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8" s="971">
        <f>WWWW[[#This Row],['#_Constructed/Existing hand washing stations]]-WWWW[[#This Row],['#_Non-Functional_hand_washing_stations]]</f>
        <v>0</v>
      </c>
      <c r="DX148" s="968">
        <f>IF(WWWW[[#This Row],['# Functional hand washing stations during reporting period]]*20&gt;WWWW[[#This Row],[Total HH]],WWWW[[#This Row],[Total HH]],WWWW[[#This Row],['# Functional hand washing stations during reporting period]]*20)</f>
        <v>0</v>
      </c>
      <c r="DY148" s="968">
        <f>IF(WWWW[[#This Row],[Is sufficient soap available for TLS? (Yes/No)]]="yes",WWWW[[#This Row],['#_Constructed/Existing hand washing stations at TLS/CFS/THF]],0)</f>
        <v>0</v>
      </c>
      <c r="DZ148" s="425">
        <f>IF(WWWW[[#This Row],['# Functional hand washing stations during reporting period]]*100&gt;WWWW[[#This Row],[Total PoP ]],WWWW[[#This Row],[Total PoP ]],WWWW[[#This Row],['# Functional hand washing stations during reporting period]]*100)</f>
        <v>0</v>
      </c>
      <c r="EA148" s="425" t="str">
        <f>IF(OR(WWWW[[#This Row],['#_students at TLS_CFS]]="",WWWW[[#This Row],['#_students at TLS_CFS]]=0),"No","Yes")</f>
        <v>No</v>
      </c>
      <c r="EB14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8" s="570">
        <f>WWWW[[#This Row],[%_of_affected_people_surveyed_who_report_feeling_satistfied_with_the_latrine_design_and_sanitation_service]]*WWWW[[#This Row],[Total PoP ]]</f>
        <v>0</v>
      </c>
      <c r="ED148" s="570">
        <f>WWWW[[#This Row],[%_of_affected_people_surveyed_who_report_feeling_satistfied_with_the_water_point_design_and_water_service]]*WWWW[[#This Row],[Total PoP ]]</f>
        <v>0</v>
      </c>
      <c r="EE148" s="570">
        <f>WWWW[[#This Row],[%_of_complaints_received_that_result_in_timely_corrective_action_and_feedback_to_the_community]]*WWWW[[#This Row],[Total PoP ]]</f>
        <v>0</v>
      </c>
      <c r="EF14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8" s="964">
        <f>VLOOKUP(WWWW[[#This Row],[Site Name]],SiteDB6[[Site Name]:[CCCM Management]],6,FALSE)</f>
        <v>0</v>
      </c>
      <c r="EJ148" s="964" t="str">
        <f>VLOOKUP(WWWW[[#This Row],[Site Name]],SiteDB6[[Site Name]:[CCCM Focal Agency]],7,FALSE)</f>
        <v>DFSS</v>
      </c>
      <c r="EK148" s="964" t="str">
        <f>VLOOKUP(WWWW[[#This Row],[Site Name]],SiteDB6[[Site Name]:[Location Type 1]],9,FALSE)</f>
        <v>Camp</v>
      </c>
      <c r="EL148" s="964" t="str">
        <f>VLOOKUP(WWWW[[#This Row],[Site Name]],SiteDB6[[Site Name]:[Type of Accommodation]],10,FALSE)</f>
        <v>Camp like setting</v>
      </c>
      <c r="EM148" s="964" t="str">
        <f>VLOOKUP(WWWW[[#This Row],[Site Name]],SiteDB6[[Site Name]:[Ethnic or GCA/NGCA]],11,FALSE)</f>
        <v>GCA</v>
      </c>
      <c r="EN148" s="964">
        <f>VLOOKUP(WWWW[[#This Row],[Site Name]],SiteDB6[[Site Name]:[Lat]],12,FALSE)</f>
        <v>0</v>
      </c>
      <c r="EO148" s="964" t="str">
        <f>VLOOKUP(WWWW[[#This Row],[Site Name]],SiteDB6[[Site Name]:[Long]],13,FALSE)</f>
        <v>not available</v>
      </c>
      <c r="EP148" s="964" t="str">
        <f>VLOOKUP(WWWW[[#This Row],[Site Name]],SiteDB6[[Site Name]:[Pcode]],3,FALSE)</f>
        <v>MMR001CMP296</v>
      </c>
      <c r="EQ148" s="969" t="str">
        <f t="shared" si="4"/>
        <v>Notcovered</v>
      </c>
      <c r="ER148" s="969"/>
      <c r="ES148" s="964">
        <f>VLOOKUP(WWWW[[#This Row],[Site Name]],SiteDB6[[Site Name]:[Pop
(Kachin/Shan-CCCM as of March 2023)]],16,FALSE)</f>
        <v>30</v>
      </c>
      <c r="ET148" s="964">
        <f>VLOOKUP(WWWW[[#This Row],[Site Name]],SiteDB6[[Site Name]:[Pop
(Kachin/Shan-CCCM as of March 2023)]],17,FALSE)</f>
        <v>157</v>
      </c>
    </row>
    <row r="149" spans="1:150" hidden="1">
      <c r="A149" s="962" t="s">
        <v>2977</v>
      </c>
      <c r="B149" s="962" t="s">
        <v>309</v>
      </c>
      <c r="C149" s="963" t="s">
        <v>309</v>
      </c>
      <c r="D149" s="963"/>
      <c r="E149" s="963" t="s">
        <v>37</v>
      </c>
      <c r="F149" s="963" t="s">
        <v>142</v>
      </c>
      <c r="G149" s="964" t="str">
        <f>VLOOKUP(WWWW[[#This Row],[Site Name]],SiteDB6[[Site Name]:[Location Type]],8,FALSE)</f>
        <v>Camp</v>
      </c>
      <c r="H149" s="963" t="s">
        <v>2720</v>
      </c>
      <c r="I149" s="965">
        <v>27</v>
      </c>
      <c r="J149" s="965">
        <v>139</v>
      </c>
      <c r="K149" s="966"/>
      <c r="L149" s="967"/>
      <c r="M149" s="965"/>
      <c r="N149" s="965"/>
      <c r="O149" s="965"/>
      <c r="P149" s="965"/>
      <c r="Q149" s="968"/>
      <c r="R149" s="965"/>
      <c r="S149" s="965"/>
      <c r="T149" s="445"/>
      <c r="U149" s="965"/>
      <c r="V149" s="965"/>
      <c r="W149" s="965"/>
      <c r="X149" s="965"/>
      <c r="Y149" s="965"/>
      <c r="Z149" s="965"/>
      <c r="AA149" s="965"/>
      <c r="AB149" s="965"/>
      <c r="AC149" s="965"/>
      <c r="AD149" s="965"/>
      <c r="AE149" s="965"/>
      <c r="AF149" s="965"/>
      <c r="AG149" s="965"/>
      <c r="AH149" s="965"/>
      <c r="AI149" s="965"/>
      <c r="AJ149" s="965"/>
      <c r="AK149" s="965"/>
      <c r="AL149" s="965"/>
      <c r="AM149" s="965"/>
      <c r="AN149" s="965"/>
      <c r="AO149" s="445"/>
      <c r="AP149" s="969"/>
      <c r="AQ149" s="965"/>
      <c r="AR149" s="965"/>
      <c r="AS149" s="970"/>
      <c r="AT149" s="965"/>
      <c r="AU149" s="965"/>
      <c r="AV149" s="965"/>
      <c r="AW149" s="965"/>
      <c r="AX149" s="965"/>
      <c r="AY149" s="964" t="s">
        <v>140</v>
      </c>
      <c r="AZ149" s="969" t="s">
        <v>140</v>
      </c>
      <c r="BA149" s="965"/>
      <c r="BB149" s="965"/>
      <c r="BC149" s="965"/>
      <c r="BD149" s="445"/>
      <c r="BE149" s="445"/>
      <c r="BF149" s="964"/>
      <c r="BG149" s="965">
        <v>7</v>
      </c>
      <c r="BH149" s="965"/>
      <c r="BI149" s="965"/>
      <c r="BJ149" s="965">
        <v>7</v>
      </c>
      <c r="BK149" s="965"/>
      <c r="BL149" s="965"/>
      <c r="BM149" s="965"/>
      <c r="BN149" s="965"/>
      <c r="BO149" s="965"/>
      <c r="BP149" s="964"/>
      <c r="BQ149" s="971"/>
      <c r="BR149" s="970"/>
      <c r="BS149" s="964"/>
      <c r="BT149" s="420"/>
      <c r="BU149" s="420"/>
      <c r="BV149" s="422"/>
      <c r="BW149" s="420"/>
      <c r="BX149" s="445"/>
      <c r="BY149" s="445"/>
      <c r="BZ149" s="445"/>
      <c r="CA149" s="445"/>
      <c r="CB149" s="445"/>
      <c r="CC149" s="702"/>
      <c r="CD149" s="445"/>
      <c r="CE149" s="972" t="str">
        <f>IFERROR(WWWW[[#This Row],['#_Water sources passed]]/WWWW[[#This Row],['#_Water sources tested for fecal coliform ]],"no test")</f>
        <v>no test</v>
      </c>
      <c r="CF149" s="970" t="str">
        <f>IFERROR(WWWW[[#This Row],['#_Household passed]]/WWWW[[#This Row],['#_Household water samples tested for fecal coliform]],"no test")</f>
        <v>no test</v>
      </c>
      <c r="CG149" s="971" t="str">
        <f>IF(AND(WWWW[[#This Row],[% of water sources passed]]="no test",WWWW[[#This Row],[% Household passed]]="no test"),"No Test","Tested")</f>
        <v>No Test</v>
      </c>
      <c r="CH149" s="971">
        <f>WWWW[[#This Row],['#_Constructed/existing protected hand dug well]]-WWWW[[#This Row],['#_Non-functional protected hand dug well]]</f>
        <v>0</v>
      </c>
      <c r="CI149" s="971">
        <f>(WWWW[[#This Row],['#_Constructed/Existing tube wells/boreholes/handpumps_WASH_agency]]+WWWW[[#This Row],['#_Non-Cluster partner water tube-wells/boreholes/handpumps]])-WWWW[[#This Row],['#_Non-functional tube wells/boreholes/handpumps]]</f>
        <v>0</v>
      </c>
      <c r="CJ149" s="971">
        <f>WWWW[[#This Row],['#_Constructed/Existingwater storage tank with gravity fed reticulation system]]-WWWW[[#This Row],['#_Non-functional storage tank gravity fed reticulation system]]</f>
        <v>0</v>
      </c>
      <c r="CK149" s="971">
        <f>(WWWW[[#This Row],['#_Water_Liters_supplied_by_Water boating or water trucking]]/90)/15</f>
        <v>0</v>
      </c>
      <c r="CL149" s="971">
        <f>WWWW[[#This Row],['#_Water_Liters_from_Constructed/Existing water distribution system from river or natural spring]]/90/15</f>
        <v>0</v>
      </c>
      <c r="CM149" s="421">
        <f>IF(WWWW[[#This Row],['#_of water points in TLS/CFS]]*500&gt;WWWW[[#This Row],[Total PoP ]],WWWW[[#This Row],[Total PoP ]],WWWW[[#This Row],['#_of water points in TLS/CFS]]*500)</f>
        <v>0</v>
      </c>
      <c r="CN149" s="421">
        <f>IF(WWWW[[#This Row],['#_of water points in THF]]*500&gt;WWWW[[#This Row],[Total PoP ]],WWWW[[#This Row],[Total PoP ]],WWWW[[#This Row],['#_of water points in THF]]*500)</f>
        <v>0</v>
      </c>
      <c r="CO149" s="421"/>
      <c r="CP14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9" s="970">
        <f>IF(WWWW[[#This Row],[Location Type 1]]="Village",WWWW[[#This Row],[Access to safe drinking water for Village]],WWWW[[#This Row],[Access to safe drinking water for Camp]])</f>
        <v>0</v>
      </c>
      <c r="CS149" s="968">
        <f>WWWW[[#This Row],[%Equitable and continuous access to sufficient quantity of safe drinking water]]*WWWW[[#This Row],[Total PoP ]]</f>
        <v>0</v>
      </c>
      <c r="CT149" s="970">
        <f>IF((WWWW[[#This Row],['#_Constructed/Existing protected/fenced ponds]]*250)/WWWW[[#This Row],[Total PoP ]]&gt;1,1,(WWWW[[#This Row],['#_Constructed/Existing protected/fenced ponds]]*250)/WWWW[[#This Row],[Total PoP ]])</f>
        <v>0</v>
      </c>
      <c r="CU149" s="968">
        <f>WWWW[[#This Row],[% Access to unimproved water points]]*WWWW[[#This Row],[Total PoP ]]</f>
        <v>0</v>
      </c>
      <c r="CV14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9" s="968">
        <f>WWWW[[#This Row],[HRP1]]/500</f>
        <v>0</v>
      </c>
      <c r="CY149" s="973">
        <f>1-WWWW[[#This Row],[% Equitable and continuous access to sufficient quantity of domestic water]]</f>
        <v>1</v>
      </c>
      <c r="CZ149" s="968">
        <f>WWWW[[#This Row],[%equitable and continuous access to sufficient quantity of safe drinking and domestic water''s GAP]]*WWWW[[#This Row],[Total PoP ]]</f>
        <v>139</v>
      </c>
      <c r="DA149" s="971">
        <f>IF(WWWW[[#This Row],[Total required water points]]-WWWW[[#This Row],['#Water points coverage]]&lt;0,0,WWWW[[#This Row],[Total required water points]]-WWWW[[#This Row],['#Water points coverage]])</f>
        <v>1</v>
      </c>
      <c r="DB149" s="971">
        <f>ROUND(IF(WWWW[[#This Row],[Total PoP ]]&lt;500,1,WWWW[[#This Row],[Total PoP ]]/500),0)</f>
        <v>1</v>
      </c>
      <c r="DC149" s="971">
        <f>(WWWW[[#This Row],['#_Constructed latrines_by_WASHAgencies]]+WWWW[[#This Row],['#_Non Cluster partner latrines]])-WWWW[[#This Row],['#_Non-functional latrines]]</f>
        <v>0</v>
      </c>
      <c r="DD149" s="619">
        <f>WWWW[[#This Row],[HRP2]]/WWWW[[#This Row],[Total PoP ]]</f>
        <v>0</v>
      </c>
      <c r="DE14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9" s="421">
        <f>IF(WWWW[[#This Row],['# of functional latrines in THF supported by WASH partners during the reporting period2]]="",0,WWWW[[#This Row],['# of functional latrines in THF supported by WASH partners during the reporting period2]]*50)</f>
        <v>0</v>
      </c>
      <c r="DI149" s="971">
        <f>ROUND(IF(WWWW[[#This Row],[Location Type 1]]="camp",WWWW[[#This Row],[Total PoP ]]/20,IF(WWWW[[#This Row],[Location Type 1]]="Temporary Location",WWWW[[#This Row],[Total PoP ]]/50,(WWWW[[#This Row],[Total PoP ]]/6))),0)</f>
        <v>7</v>
      </c>
      <c r="DJ149" s="971">
        <f>IF(WWWW[[#This Row],[Total required Latrines]]-(WWWW[[#This Row],['#_Constructed latrines_by_WASHAgencies]]+WWWW[[#This Row],['#_Non Cluster partner latrines]])&lt;0,0,WWWW[[#This Row],[Total required Latrines]]-(WWWW[[#This Row],['#_Constructed latrines_by_WASHAgencies]]+WWWW[[#This Row],['#_Non Cluster partner latrines]]))</f>
        <v>7</v>
      </c>
      <c r="DK149" s="973">
        <f>1-WWWW[[#This Row],[% people access to functioning Latrine]]</f>
        <v>1</v>
      </c>
      <c r="DL149" s="972">
        <f>IF(OR(WWWW[[#This Row],['#_Non-functional latrines]]="",WWWW[[#This Row],['#_Non-functional latrines]]=0),0,WWWW[[#This Row],['#_Non-functional latrines]]/(WWWW[[#This Row],['#_Constructed latrines_by_WASHAgencies]]+WWWW[[#This Row],['#_Non Cluster partner latrines]]))</f>
        <v>0</v>
      </c>
      <c r="DM149" s="968">
        <f>IF(500*(WWWW[[#This Row],['#_male hygiene promoters]]+WWWW[[#This Row],['#_female hygiene promoters]])&gt;WWWW[[#This Row],[Total PoP ]],WWWW[[#This Row],[Total PoP ]],500*(WWWW[[#This Row],['#_male hygiene promoters]]+WWWW[[#This Row],['#_female hygiene promoters]]))</f>
        <v>0</v>
      </c>
      <c r="DN14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9" s="971">
        <f>IF(WWWW[[#This Row],['# People with access to soap]]&gt;WWWW[[#This Row],['# People with access to Sanity Pads]],WWWW[[#This Row],['# People with access to soap]],WWWW[[#This Row],['# People with access to Sanity Pads]])</f>
        <v>0</v>
      </c>
      <c r="DQ14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9" s="973">
        <f>IF(WWWW[[#This Row],[HRP3]]/WWWW[[#This Row],[Total PoP ]]&gt;1,1,WWWW[[#This Row],[HRP3]]/WWWW[[#This Row],[Total PoP ]])</f>
        <v>0</v>
      </c>
      <c r="DS149" s="972">
        <f>1-WWWW[[#This Row],[Hygiene Coverage%]]</f>
        <v>1</v>
      </c>
      <c r="DT149" s="970">
        <f>WWWW[[#This Row],['# people reached by regular dedicated hygiene promotion_5]]/WWWW[[#This Row],[Total PoP ]]</f>
        <v>0</v>
      </c>
      <c r="DU14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9" s="971">
        <f>WWWW[[#This Row],['#_Constructed/Existing hand washing stations]]-WWWW[[#This Row],['#_Non-Functional_hand_washing_stations]]</f>
        <v>7</v>
      </c>
      <c r="DX149" s="968">
        <f>IF(WWWW[[#This Row],['# Functional hand washing stations during reporting period]]*20&gt;WWWW[[#This Row],[Total HH]],WWWW[[#This Row],[Total HH]],WWWW[[#This Row],['# Functional hand washing stations during reporting period]]*20)</f>
        <v>27</v>
      </c>
      <c r="DY149" s="968">
        <f>IF(WWWW[[#This Row],[Is sufficient soap available for TLS? (Yes/No)]]="yes",WWWW[[#This Row],['#_Constructed/Existing hand washing stations at TLS/CFS/THF]],0)</f>
        <v>0</v>
      </c>
      <c r="DZ149" s="425">
        <f>IF(WWWW[[#This Row],['# Functional hand washing stations during reporting period]]*100&gt;WWWW[[#This Row],[Total PoP ]],WWWW[[#This Row],[Total PoP ]],WWWW[[#This Row],['# Functional hand washing stations during reporting period]]*100)</f>
        <v>139</v>
      </c>
      <c r="EA149" s="425" t="str">
        <f>IF(OR(WWWW[[#This Row],['#_students at TLS_CFS]]="",WWWW[[#This Row],['#_students at TLS_CFS]]=0),"No","Yes")</f>
        <v>No</v>
      </c>
      <c r="EB14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9" s="570">
        <f>WWWW[[#This Row],[%_of_affected_people_surveyed_who_report_feeling_satistfied_with_the_latrine_design_and_sanitation_service]]*WWWW[[#This Row],[Total PoP ]]</f>
        <v>0</v>
      </c>
      <c r="ED149" s="570">
        <f>WWWW[[#This Row],[%_of_affected_people_surveyed_who_report_feeling_satistfied_with_the_water_point_design_and_water_service]]*WWWW[[#This Row],[Total PoP ]]</f>
        <v>0</v>
      </c>
      <c r="EE149" s="570">
        <f>WWWW[[#This Row],[%_of_complaints_received_that_result_in_timely_corrective_action_and_feedback_to_the_community]]*WWWW[[#This Row],[Total PoP ]]</f>
        <v>0</v>
      </c>
      <c r="EF14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9" s="964">
        <f>VLOOKUP(WWWW[[#This Row],[Site Name]],SiteDB6[[Site Name]:[CCCM Management]],6,FALSE)</f>
        <v>0</v>
      </c>
      <c r="EJ149" s="964" t="str">
        <f>VLOOKUP(WWWW[[#This Row],[Site Name]],SiteDB6[[Site Name]:[CCCM Focal Agency]],7,FALSE)</f>
        <v xml:space="preserve">Uncovered  </v>
      </c>
      <c r="EK149" s="964" t="str">
        <f>VLOOKUP(WWWW[[#This Row],[Site Name]],SiteDB6[[Site Name]:[Location Type 1]],9,FALSE)</f>
        <v>Camp</v>
      </c>
      <c r="EL149" s="964" t="str">
        <f>VLOOKUP(WWWW[[#This Row],[Site Name]],SiteDB6[[Site Name]:[Type of Accommodation]],10,FALSE)</f>
        <v>Camp like setting</v>
      </c>
      <c r="EM149" s="964" t="str">
        <f>VLOOKUP(WWWW[[#This Row],[Site Name]],SiteDB6[[Site Name]:[Ethnic or GCA/NGCA]],11,FALSE)</f>
        <v>GCA</v>
      </c>
      <c r="EN149" s="964">
        <f>VLOOKUP(WWWW[[#This Row],[Site Name]],SiteDB6[[Site Name]:[Lat]],12,FALSE)</f>
        <v>25.211500000000001</v>
      </c>
      <c r="EO149" s="964">
        <f>VLOOKUP(WWWW[[#This Row],[Site Name]],SiteDB6[[Site Name]:[Long]],13,FALSE)</f>
        <v>97.261799999999994</v>
      </c>
      <c r="EP149" s="964" t="str">
        <f>VLOOKUP(WWWW[[#This Row],[Site Name]],SiteDB6[[Site Name]:[Pcode]],3,FALSE)</f>
        <v>MMR001CMP287</v>
      </c>
      <c r="EQ149" s="969" t="str">
        <f t="shared" si="4"/>
        <v>Notcovered</v>
      </c>
      <c r="ER149" s="969"/>
      <c r="ES149" s="964">
        <f>VLOOKUP(WWWW[[#This Row],[Site Name]],SiteDB6[[Site Name]:[Pop
(Kachin/Shan-CCCM as of March 2023)]],16,FALSE)</f>
        <v>24</v>
      </c>
      <c r="ET149" s="964">
        <f>VLOOKUP(WWWW[[#This Row],[Site Name]],SiteDB6[[Site Name]:[Pop
(Kachin/Shan-CCCM as of March 2023)]],17,FALSE)</f>
        <v>124</v>
      </c>
    </row>
    <row r="150" spans="1:150" hidden="1">
      <c r="A150" s="962" t="s">
        <v>2977</v>
      </c>
      <c r="B150" s="962" t="s">
        <v>309</v>
      </c>
      <c r="C150" s="963" t="s">
        <v>309</v>
      </c>
      <c r="D150" s="963"/>
      <c r="E150" s="963" t="s">
        <v>37</v>
      </c>
      <c r="F150" s="963" t="s">
        <v>157</v>
      </c>
      <c r="G150" s="964" t="str">
        <f>VLOOKUP(WWWW[[#This Row],[Site Name]],SiteDB6[[Site Name]:[Location Type]],8,FALSE)</f>
        <v>Camp</v>
      </c>
      <c r="H150" s="963" t="s">
        <v>3009</v>
      </c>
      <c r="I150" s="965">
        <v>542</v>
      </c>
      <c r="J150" s="965">
        <v>2399</v>
      </c>
      <c r="K150" s="966"/>
      <c r="L150" s="967"/>
      <c r="M150" s="965"/>
      <c r="N150" s="965"/>
      <c r="O150" s="965"/>
      <c r="P150" s="965"/>
      <c r="Q150" s="968"/>
      <c r="R150" s="965"/>
      <c r="S150" s="965"/>
      <c r="T150" s="445"/>
      <c r="U150" s="965"/>
      <c r="V150" s="965"/>
      <c r="W150" s="965"/>
      <c r="X150" s="965"/>
      <c r="Y150" s="965"/>
      <c r="Z150" s="965"/>
      <c r="AA150" s="965"/>
      <c r="AB150" s="965"/>
      <c r="AC150" s="965"/>
      <c r="AD150" s="965"/>
      <c r="AE150" s="965"/>
      <c r="AF150" s="965"/>
      <c r="AG150" s="965"/>
      <c r="AH150" s="965"/>
      <c r="AI150" s="965"/>
      <c r="AJ150" s="965"/>
      <c r="AK150" s="965"/>
      <c r="AL150" s="965"/>
      <c r="AM150" s="965"/>
      <c r="AN150" s="965"/>
      <c r="AO150" s="445"/>
      <c r="AP150" s="969"/>
      <c r="AQ150" s="965"/>
      <c r="AR150" s="965"/>
      <c r="AS150" s="970"/>
      <c r="AT150" s="965"/>
      <c r="AU150" s="965"/>
      <c r="AV150" s="965"/>
      <c r="AW150" s="965"/>
      <c r="AX150" s="965"/>
      <c r="AY150" s="964"/>
      <c r="AZ150" s="969"/>
      <c r="BA150" s="965"/>
      <c r="BB150" s="965"/>
      <c r="BC150" s="965"/>
      <c r="BD150" s="445"/>
      <c r="BE150" s="445"/>
      <c r="BF150" s="964"/>
      <c r="BG150" s="965"/>
      <c r="BH150" s="965"/>
      <c r="BI150" s="965"/>
      <c r="BJ150" s="965"/>
      <c r="BK150" s="965"/>
      <c r="BL150" s="965"/>
      <c r="BM150" s="965"/>
      <c r="BN150" s="965"/>
      <c r="BO150" s="965"/>
      <c r="BP150" s="964"/>
      <c r="BQ150" s="971"/>
      <c r="BR150" s="970"/>
      <c r="BS150" s="964"/>
      <c r="BT150" s="420"/>
      <c r="BU150" s="420"/>
      <c r="BV150" s="422"/>
      <c r="BW150" s="420"/>
      <c r="BX150" s="445"/>
      <c r="BY150" s="445"/>
      <c r="BZ150" s="445"/>
      <c r="CA150" s="445"/>
      <c r="CB150" s="445"/>
      <c r="CC150" s="702"/>
      <c r="CD150" s="445"/>
      <c r="CE150" s="972" t="str">
        <f>IFERROR(WWWW[[#This Row],['#_Water sources passed]]/WWWW[[#This Row],['#_Water sources tested for fecal coliform ]],"no test")</f>
        <v>no test</v>
      </c>
      <c r="CF150" s="970" t="str">
        <f>IFERROR(WWWW[[#This Row],['#_Household passed]]/WWWW[[#This Row],['#_Household water samples tested for fecal coliform]],"no test")</f>
        <v>no test</v>
      </c>
      <c r="CG150" s="971" t="str">
        <f>IF(AND(WWWW[[#This Row],[% of water sources passed]]="no test",WWWW[[#This Row],[% Household passed]]="no test"),"No Test","Tested")</f>
        <v>No Test</v>
      </c>
      <c r="CH150" s="971">
        <f>WWWW[[#This Row],['#_Constructed/existing protected hand dug well]]-WWWW[[#This Row],['#_Non-functional protected hand dug well]]</f>
        <v>0</v>
      </c>
      <c r="CI150" s="971">
        <f>(WWWW[[#This Row],['#_Constructed/Existing tube wells/boreholes/handpumps_WASH_agency]]+WWWW[[#This Row],['#_Non-Cluster partner water tube-wells/boreholes/handpumps]])-WWWW[[#This Row],['#_Non-functional tube wells/boreholes/handpumps]]</f>
        <v>0</v>
      </c>
      <c r="CJ150" s="971">
        <f>WWWW[[#This Row],['#_Constructed/Existingwater storage tank with gravity fed reticulation system]]-WWWW[[#This Row],['#_Non-functional storage tank gravity fed reticulation system]]</f>
        <v>0</v>
      </c>
      <c r="CK150" s="971">
        <f>(WWWW[[#This Row],['#_Water_Liters_supplied_by_Water boating or water trucking]]/90)/15</f>
        <v>0</v>
      </c>
      <c r="CL150" s="971">
        <f>WWWW[[#This Row],['#_Water_Liters_from_Constructed/Existing water distribution system from river or natural spring]]/90/15</f>
        <v>0</v>
      </c>
      <c r="CM150" s="421">
        <f>IF(WWWW[[#This Row],['#_of water points in TLS/CFS]]*500&gt;WWWW[[#This Row],[Total PoP ]],WWWW[[#This Row],[Total PoP ]],WWWW[[#This Row],['#_of water points in TLS/CFS]]*500)</f>
        <v>0</v>
      </c>
      <c r="CN150" s="421">
        <f>IF(WWWW[[#This Row],['#_of water points in THF]]*500&gt;WWWW[[#This Row],[Total PoP ]],WWWW[[#This Row],[Total PoP ]],WWWW[[#This Row],['#_of water points in THF]]*500)</f>
        <v>0</v>
      </c>
      <c r="CO150" s="421"/>
      <c r="CP15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0" s="970">
        <f>IF(WWWW[[#This Row],[Location Type 1]]="Village",WWWW[[#This Row],[Access to safe drinking water for Village]],WWWW[[#This Row],[Access to safe drinking water for Camp]])</f>
        <v>0</v>
      </c>
      <c r="CS150" s="968">
        <f>WWWW[[#This Row],[%Equitable and continuous access to sufficient quantity of safe drinking water]]*WWWW[[#This Row],[Total PoP ]]</f>
        <v>0</v>
      </c>
      <c r="CT150" s="970">
        <f>IF((WWWW[[#This Row],['#_Constructed/Existing protected/fenced ponds]]*250)/WWWW[[#This Row],[Total PoP ]]&gt;1,1,(WWWW[[#This Row],['#_Constructed/Existing protected/fenced ponds]]*250)/WWWW[[#This Row],[Total PoP ]])</f>
        <v>0</v>
      </c>
      <c r="CU150" s="968">
        <f>WWWW[[#This Row],[% Access to unimproved water points]]*WWWW[[#This Row],[Total PoP ]]</f>
        <v>0</v>
      </c>
      <c r="CV15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0" s="968">
        <f>WWWW[[#This Row],[HRP1]]/500</f>
        <v>0</v>
      </c>
      <c r="CY150" s="973">
        <f>1-WWWW[[#This Row],[% Equitable and continuous access to sufficient quantity of domestic water]]</f>
        <v>1</v>
      </c>
      <c r="CZ150" s="968">
        <f>WWWW[[#This Row],[%equitable and continuous access to sufficient quantity of safe drinking and domestic water''s GAP]]*WWWW[[#This Row],[Total PoP ]]</f>
        <v>2399</v>
      </c>
      <c r="DA150" s="971">
        <f>IF(WWWW[[#This Row],[Total required water points]]-WWWW[[#This Row],['#Water points coverage]]&lt;0,0,WWWW[[#This Row],[Total required water points]]-WWWW[[#This Row],['#Water points coverage]])</f>
        <v>5</v>
      </c>
      <c r="DB150" s="971">
        <f>ROUND(IF(WWWW[[#This Row],[Total PoP ]]&lt;500,1,WWWW[[#This Row],[Total PoP ]]/500),0)</f>
        <v>5</v>
      </c>
      <c r="DC150" s="971">
        <f>(WWWW[[#This Row],['#_Constructed latrines_by_WASHAgencies]]+WWWW[[#This Row],['#_Non Cluster partner latrines]])-WWWW[[#This Row],['#_Non-functional latrines]]</f>
        <v>0</v>
      </c>
      <c r="DD150" s="619">
        <f>WWWW[[#This Row],[HRP2]]/WWWW[[#This Row],[Total PoP ]]</f>
        <v>0</v>
      </c>
      <c r="DE15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0" s="421">
        <f>IF(WWWW[[#This Row],['# of functional latrines in THF supported by WASH partners during the reporting period2]]="",0,WWWW[[#This Row],['# of functional latrines in THF supported by WASH partners during the reporting period2]]*50)</f>
        <v>0</v>
      </c>
      <c r="DI150" s="971">
        <f>ROUND(IF(WWWW[[#This Row],[Location Type 1]]="camp",WWWW[[#This Row],[Total PoP ]]/20,IF(WWWW[[#This Row],[Location Type 1]]="Temporary Location",WWWW[[#This Row],[Total PoP ]]/50,(WWWW[[#This Row],[Total PoP ]]/6))),0)</f>
        <v>120</v>
      </c>
      <c r="DJ150" s="971">
        <f>IF(WWWW[[#This Row],[Total required Latrines]]-(WWWW[[#This Row],['#_Constructed latrines_by_WASHAgencies]]+WWWW[[#This Row],['#_Non Cluster partner latrines]])&lt;0,0,WWWW[[#This Row],[Total required Latrines]]-(WWWW[[#This Row],['#_Constructed latrines_by_WASHAgencies]]+WWWW[[#This Row],['#_Non Cluster partner latrines]]))</f>
        <v>120</v>
      </c>
      <c r="DK150" s="973">
        <f>1-WWWW[[#This Row],[% people access to functioning Latrine]]</f>
        <v>1</v>
      </c>
      <c r="DL150" s="972">
        <f>IF(OR(WWWW[[#This Row],['#_Non-functional latrines]]="",WWWW[[#This Row],['#_Non-functional latrines]]=0),0,WWWW[[#This Row],['#_Non-functional latrines]]/(WWWW[[#This Row],['#_Constructed latrines_by_WASHAgencies]]+WWWW[[#This Row],['#_Non Cluster partner latrines]]))</f>
        <v>0</v>
      </c>
      <c r="DM150" s="968">
        <f>IF(500*(WWWW[[#This Row],['#_male hygiene promoters]]+WWWW[[#This Row],['#_female hygiene promoters]])&gt;WWWW[[#This Row],[Total PoP ]],WWWW[[#This Row],[Total PoP ]],500*(WWWW[[#This Row],['#_male hygiene promoters]]+WWWW[[#This Row],['#_female hygiene promoters]]))</f>
        <v>0</v>
      </c>
      <c r="DN15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0" s="971">
        <f>IF(WWWW[[#This Row],['# People with access to soap]]&gt;WWWW[[#This Row],['# People with access to Sanity Pads]],WWWW[[#This Row],['# People with access to soap]],WWWW[[#This Row],['# People with access to Sanity Pads]])</f>
        <v>0</v>
      </c>
      <c r="DQ150"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0" s="973">
        <f>IF(WWWW[[#This Row],[HRP3]]/WWWW[[#This Row],[Total PoP ]]&gt;1,1,WWWW[[#This Row],[HRP3]]/WWWW[[#This Row],[Total PoP ]])</f>
        <v>0</v>
      </c>
      <c r="DS150" s="972">
        <f>1-WWWW[[#This Row],[Hygiene Coverage%]]</f>
        <v>1</v>
      </c>
      <c r="DT150" s="970">
        <f>WWWW[[#This Row],['# people reached by regular dedicated hygiene promotion_5]]/WWWW[[#This Row],[Total PoP ]]</f>
        <v>0</v>
      </c>
      <c r="DU15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0" s="971">
        <f>WWWW[[#This Row],['#_Constructed/Existing hand washing stations]]-WWWW[[#This Row],['#_Non-Functional_hand_washing_stations]]</f>
        <v>0</v>
      </c>
      <c r="DX150" s="968">
        <f>IF(WWWW[[#This Row],['# Functional hand washing stations during reporting period]]*20&gt;WWWW[[#This Row],[Total HH]],WWWW[[#This Row],[Total HH]],WWWW[[#This Row],['# Functional hand washing stations during reporting period]]*20)</f>
        <v>0</v>
      </c>
      <c r="DY150" s="968">
        <f>IF(WWWW[[#This Row],[Is sufficient soap available for TLS? (Yes/No)]]="yes",WWWW[[#This Row],['#_Constructed/Existing hand washing stations at TLS/CFS/THF]],0)</f>
        <v>0</v>
      </c>
      <c r="DZ150" s="425">
        <f>IF(WWWW[[#This Row],['# Functional hand washing stations during reporting period]]*100&gt;WWWW[[#This Row],[Total PoP ]],WWWW[[#This Row],[Total PoP ]],WWWW[[#This Row],['# Functional hand washing stations during reporting period]]*100)</f>
        <v>0</v>
      </c>
      <c r="EA150" s="425" t="str">
        <f>IF(OR(WWWW[[#This Row],['#_students at TLS_CFS]]="",WWWW[[#This Row],['#_students at TLS_CFS]]=0),"No","Yes")</f>
        <v>No</v>
      </c>
      <c r="EB15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0" s="570">
        <f>WWWW[[#This Row],[%_of_affected_people_surveyed_who_report_feeling_satistfied_with_the_latrine_design_and_sanitation_service]]*WWWW[[#This Row],[Total PoP ]]</f>
        <v>0</v>
      </c>
      <c r="ED150" s="570">
        <f>WWWW[[#This Row],[%_of_affected_people_surveyed_who_report_feeling_satistfied_with_the_water_point_design_and_water_service]]*WWWW[[#This Row],[Total PoP ]]</f>
        <v>0</v>
      </c>
      <c r="EE150" s="570">
        <f>WWWW[[#This Row],[%_of_complaints_received_that_result_in_timely_corrective_action_and_feedback_to_the_community]]*WWWW[[#This Row],[Total PoP ]]</f>
        <v>0</v>
      </c>
      <c r="EF15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0" s="964">
        <f>VLOOKUP(WWWW[[#This Row],[Site Name]],SiteDB6[[Site Name]:[CCCM Management]],6,FALSE)</f>
        <v>0</v>
      </c>
      <c r="EJ150" s="964" t="str">
        <f>VLOOKUP(WWWW[[#This Row],[Site Name]],SiteDB6[[Site Name]:[CCCM Focal Agency]],7,FALSE)</f>
        <v>Uncovered</v>
      </c>
      <c r="EK150" s="964" t="str">
        <f>VLOOKUP(WWWW[[#This Row],[Site Name]],SiteDB6[[Site Name]:[Location Type 1]],9,FALSE)</f>
        <v>Camp</v>
      </c>
      <c r="EL150" s="964" t="str">
        <f>VLOOKUP(WWWW[[#This Row],[Site Name]],SiteDB6[[Site Name]:[Type of Accommodation]],10,FALSE)</f>
        <v>IDPs in Host</v>
      </c>
      <c r="EM150" s="964" t="str">
        <f>VLOOKUP(WWWW[[#This Row],[Site Name]],SiteDB6[[Site Name]:[Ethnic or GCA/NGCA]],11,FALSE)</f>
        <v>GCA</v>
      </c>
      <c r="EN150" s="964">
        <f>VLOOKUP(WWWW[[#This Row],[Site Name]],SiteDB6[[Site Name]:[Lat]],12,FALSE)</f>
        <v>0</v>
      </c>
      <c r="EO150" s="964" t="str">
        <f>VLOOKUP(WWWW[[#This Row],[Site Name]],SiteDB6[[Site Name]:[Long]],13,FALSE)</f>
        <v>not available</v>
      </c>
      <c r="EP150" s="964" t="str">
        <f>VLOOKUP(WWWW[[#This Row],[Site Name]],SiteDB6[[Site Name]:[Pcode]],3,FALSE)</f>
        <v>MMR001CMP304</v>
      </c>
      <c r="EQ150" s="969" t="str">
        <f t="shared" si="4"/>
        <v>Notcovered</v>
      </c>
      <c r="ER150" s="969"/>
      <c r="ES150" s="964">
        <f>VLOOKUP(WWWW[[#This Row],[Site Name]],SiteDB6[[Site Name]:[Pop
(Kachin/Shan-CCCM as of March 2023)]],16,FALSE)</f>
        <v>542</v>
      </c>
      <c r="ET150" s="964">
        <f>VLOOKUP(WWWW[[#This Row],[Site Name]],SiteDB6[[Site Name]:[Pop
(Kachin/Shan-CCCM as of March 2023)]],17,FALSE)</f>
        <v>2399</v>
      </c>
    </row>
    <row r="151" spans="1:150" hidden="1">
      <c r="A151" s="962" t="s">
        <v>2977</v>
      </c>
      <c r="B151" s="962" t="s">
        <v>309</v>
      </c>
      <c r="C151" s="963" t="s">
        <v>309</v>
      </c>
      <c r="D151" s="963"/>
      <c r="E151" s="963" t="s">
        <v>37</v>
      </c>
      <c r="F151" s="963" t="s">
        <v>142</v>
      </c>
      <c r="G151" s="964" t="str">
        <f>VLOOKUP(WWWW[[#This Row],[Site Name]],SiteDB6[[Site Name]:[Location Type]],8,FALSE)</f>
        <v>Camp</v>
      </c>
      <c r="H151" s="963" t="s">
        <v>3006</v>
      </c>
      <c r="I151" s="965">
        <v>16</v>
      </c>
      <c r="J151" s="965">
        <v>76</v>
      </c>
      <c r="K151" s="966"/>
      <c r="L151" s="967"/>
      <c r="M151" s="965"/>
      <c r="N151" s="965"/>
      <c r="O151" s="965"/>
      <c r="P151" s="965"/>
      <c r="Q151" s="968"/>
      <c r="R151" s="965"/>
      <c r="S151" s="965"/>
      <c r="T151" s="445"/>
      <c r="U151" s="965"/>
      <c r="V151" s="965"/>
      <c r="W151" s="965"/>
      <c r="X151" s="965"/>
      <c r="Y151" s="965"/>
      <c r="Z151" s="965"/>
      <c r="AA151" s="965"/>
      <c r="AB151" s="965"/>
      <c r="AC151" s="965"/>
      <c r="AD151" s="965"/>
      <c r="AE151" s="965"/>
      <c r="AF151" s="965"/>
      <c r="AG151" s="965"/>
      <c r="AH151" s="965"/>
      <c r="AI151" s="965"/>
      <c r="AJ151" s="965"/>
      <c r="AK151" s="965"/>
      <c r="AL151" s="965"/>
      <c r="AM151" s="965"/>
      <c r="AN151" s="965"/>
      <c r="AO151" s="445"/>
      <c r="AP151" s="969"/>
      <c r="AQ151" s="965"/>
      <c r="AR151" s="965"/>
      <c r="AS151" s="970"/>
      <c r="AT151" s="965"/>
      <c r="AU151" s="965"/>
      <c r="AV151" s="965"/>
      <c r="AW151" s="965"/>
      <c r="AX151" s="965"/>
      <c r="AY151" s="964"/>
      <c r="AZ151" s="969"/>
      <c r="BA151" s="965"/>
      <c r="BB151" s="965"/>
      <c r="BC151" s="965"/>
      <c r="BD151" s="445"/>
      <c r="BE151" s="445"/>
      <c r="BF151" s="964"/>
      <c r="BG151" s="965"/>
      <c r="BH151" s="965"/>
      <c r="BI151" s="965"/>
      <c r="BJ151" s="965"/>
      <c r="BK151" s="965"/>
      <c r="BL151" s="965"/>
      <c r="BM151" s="965"/>
      <c r="BN151" s="965"/>
      <c r="BO151" s="965"/>
      <c r="BP151" s="964"/>
      <c r="BQ151" s="971"/>
      <c r="BR151" s="970"/>
      <c r="BS151" s="964"/>
      <c r="BT151" s="420"/>
      <c r="BU151" s="420"/>
      <c r="BV151" s="422"/>
      <c r="BW151" s="420"/>
      <c r="BX151" s="445"/>
      <c r="BY151" s="445"/>
      <c r="BZ151" s="445"/>
      <c r="CA151" s="445"/>
      <c r="CB151" s="445"/>
      <c r="CC151" s="702"/>
      <c r="CD151" s="445"/>
      <c r="CE151" s="972" t="str">
        <f>IFERROR(WWWW[[#This Row],['#_Water sources passed]]/WWWW[[#This Row],['#_Water sources tested for fecal coliform ]],"no test")</f>
        <v>no test</v>
      </c>
      <c r="CF151" s="970" t="str">
        <f>IFERROR(WWWW[[#This Row],['#_Household passed]]/WWWW[[#This Row],['#_Household water samples tested for fecal coliform]],"no test")</f>
        <v>no test</v>
      </c>
      <c r="CG151" s="971" t="str">
        <f>IF(AND(WWWW[[#This Row],[% of water sources passed]]="no test",WWWW[[#This Row],[% Household passed]]="no test"),"No Test","Tested")</f>
        <v>No Test</v>
      </c>
      <c r="CH151" s="971">
        <f>WWWW[[#This Row],['#_Constructed/existing protected hand dug well]]-WWWW[[#This Row],['#_Non-functional protected hand dug well]]</f>
        <v>0</v>
      </c>
      <c r="CI151" s="971">
        <f>(WWWW[[#This Row],['#_Constructed/Existing tube wells/boreholes/handpumps_WASH_agency]]+WWWW[[#This Row],['#_Non-Cluster partner water tube-wells/boreholes/handpumps]])-WWWW[[#This Row],['#_Non-functional tube wells/boreholes/handpumps]]</f>
        <v>0</v>
      </c>
      <c r="CJ151" s="971">
        <f>WWWW[[#This Row],['#_Constructed/Existingwater storage tank with gravity fed reticulation system]]-WWWW[[#This Row],['#_Non-functional storage tank gravity fed reticulation system]]</f>
        <v>0</v>
      </c>
      <c r="CK151" s="971">
        <f>(WWWW[[#This Row],['#_Water_Liters_supplied_by_Water boating or water trucking]]/90)/15</f>
        <v>0</v>
      </c>
      <c r="CL151" s="971">
        <f>WWWW[[#This Row],['#_Water_Liters_from_Constructed/Existing water distribution system from river or natural spring]]/90/15</f>
        <v>0</v>
      </c>
      <c r="CM151" s="421">
        <f>IF(WWWW[[#This Row],['#_of water points in TLS/CFS]]*500&gt;WWWW[[#This Row],[Total PoP ]],WWWW[[#This Row],[Total PoP ]],WWWW[[#This Row],['#_of water points in TLS/CFS]]*500)</f>
        <v>0</v>
      </c>
      <c r="CN151" s="421">
        <f>IF(WWWW[[#This Row],['#_of water points in THF]]*500&gt;WWWW[[#This Row],[Total PoP ]],WWWW[[#This Row],[Total PoP ]],WWWW[[#This Row],['#_of water points in THF]]*500)</f>
        <v>0</v>
      </c>
      <c r="CO151" s="421"/>
      <c r="CP15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1" s="970">
        <f>IF(WWWW[[#This Row],[Location Type 1]]="Village",WWWW[[#This Row],[Access to safe drinking water for Village]],WWWW[[#This Row],[Access to safe drinking water for Camp]])</f>
        <v>0</v>
      </c>
      <c r="CS151" s="968">
        <f>WWWW[[#This Row],[%Equitable and continuous access to sufficient quantity of safe drinking water]]*WWWW[[#This Row],[Total PoP ]]</f>
        <v>0</v>
      </c>
      <c r="CT151" s="970">
        <f>IF((WWWW[[#This Row],['#_Constructed/Existing protected/fenced ponds]]*250)/WWWW[[#This Row],[Total PoP ]]&gt;1,1,(WWWW[[#This Row],['#_Constructed/Existing protected/fenced ponds]]*250)/WWWW[[#This Row],[Total PoP ]])</f>
        <v>0</v>
      </c>
      <c r="CU151" s="968">
        <f>WWWW[[#This Row],[% Access to unimproved water points]]*WWWW[[#This Row],[Total PoP ]]</f>
        <v>0</v>
      </c>
      <c r="CV15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1" s="968">
        <f>WWWW[[#This Row],[HRP1]]/500</f>
        <v>0</v>
      </c>
      <c r="CY151" s="973">
        <f>1-WWWW[[#This Row],[% Equitable and continuous access to sufficient quantity of domestic water]]</f>
        <v>1</v>
      </c>
      <c r="CZ151" s="968">
        <f>WWWW[[#This Row],[%equitable and continuous access to sufficient quantity of safe drinking and domestic water''s GAP]]*WWWW[[#This Row],[Total PoP ]]</f>
        <v>76</v>
      </c>
      <c r="DA151" s="971">
        <f>IF(WWWW[[#This Row],[Total required water points]]-WWWW[[#This Row],['#Water points coverage]]&lt;0,0,WWWW[[#This Row],[Total required water points]]-WWWW[[#This Row],['#Water points coverage]])</f>
        <v>1</v>
      </c>
      <c r="DB151" s="971">
        <f>ROUND(IF(WWWW[[#This Row],[Total PoP ]]&lt;500,1,WWWW[[#This Row],[Total PoP ]]/500),0)</f>
        <v>1</v>
      </c>
      <c r="DC151" s="971">
        <f>(WWWW[[#This Row],['#_Constructed latrines_by_WASHAgencies]]+WWWW[[#This Row],['#_Non Cluster partner latrines]])-WWWW[[#This Row],['#_Non-functional latrines]]</f>
        <v>0</v>
      </c>
      <c r="DD151" s="619">
        <f>WWWW[[#This Row],[HRP2]]/WWWW[[#This Row],[Total PoP ]]</f>
        <v>0</v>
      </c>
      <c r="DE15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1" s="421">
        <f>IF(WWWW[[#This Row],['# of functional latrines in THF supported by WASH partners during the reporting period2]]="",0,WWWW[[#This Row],['# of functional latrines in THF supported by WASH partners during the reporting period2]]*50)</f>
        <v>0</v>
      </c>
      <c r="DI151" s="971">
        <f>ROUND(IF(WWWW[[#This Row],[Location Type 1]]="camp",WWWW[[#This Row],[Total PoP ]]/20,IF(WWWW[[#This Row],[Location Type 1]]="Temporary Location",WWWW[[#This Row],[Total PoP ]]/50,(WWWW[[#This Row],[Total PoP ]]/6))),0)</f>
        <v>4</v>
      </c>
      <c r="DJ151" s="971">
        <f>IF(WWWW[[#This Row],[Total required Latrines]]-(WWWW[[#This Row],['#_Constructed latrines_by_WASHAgencies]]+WWWW[[#This Row],['#_Non Cluster partner latrines]])&lt;0,0,WWWW[[#This Row],[Total required Latrines]]-(WWWW[[#This Row],['#_Constructed latrines_by_WASHAgencies]]+WWWW[[#This Row],['#_Non Cluster partner latrines]]))</f>
        <v>4</v>
      </c>
      <c r="DK151" s="973">
        <f>1-WWWW[[#This Row],[% people access to functioning Latrine]]</f>
        <v>1</v>
      </c>
      <c r="DL151" s="972">
        <f>IF(OR(WWWW[[#This Row],['#_Non-functional latrines]]="",WWWW[[#This Row],['#_Non-functional latrines]]=0),0,WWWW[[#This Row],['#_Non-functional latrines]]/(WWWW[[#This Row],['#_Constructed latrines_by_WASHAgencies]]+WWWW[[#This Row],['#_Non Cluster partner latrines]]))</f>
        <v>0</v>
      </c>
      <c r="DM151" s="968">
        <f>IF(500*(WWWW[[#This Row],['#_male hygiene promoters]]+WWWW[[#This Row],['#_female hygiene promoters]])&gt;WWWW[[#This Row],[Total PoP ]],WWWW[[#This Row],[Total PoP ]],500*(WWWW[[#This Row],['#_male hygiene promoters]]+WWWW[[#This Row],['#_female hygiene promoters]]))</f>
        <v>0</v>
      </c>
      <c r="DN15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1" s="971">
        <f>IF(WWWW[[#This Row],['# People with access to soap]]&gt;WWWW[[#This Row],['# People with access to Sanity Pads]],WWWW[[#This Row],['# People with access to soap]],WWWW[[#This Row],['# People with access to Sanity Pads]])</f>
        <v>0</v>
      </c>
      <c r="DQ15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1" s="973">
        <f>IF(WWWW[[#This Row],[HRP3]]/WWWW[[#This Row],[Total PoP ]]&gt;1,1,WWWW[[#This Row],[HRP3]]/WWWW[[#This Row],[Total PoP ]])</f>
        <v>0</v>
      </c>
      <c r="DS151" s="972">
        <f>1-WWWW[[#This Row],[Hygiene Coverage%]]</f>
        <v>1</v>
      </c>
      <c r="DT151" s="970">
        <f>WWWW[[#This Row],['# people reached by regular dedicated hygiene promotion_5]]/WWWW[[#This Row],[Total PoP ]]</f>
        <v>0</v>
      </c>
      <c r="DU15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1" s="971">
        <f>WWWW[[#This Row],['#_Constructed/Existing hand washing stations]]-WWWW[[#This Row],['#_Non-Functional_hand_washing_stations]]</f>
        <v>0</v>
      </c>
      <c r="DX151" s="968">
        <f>IF(WWWW[[#This Row],['# Functional hand washing stations during reporting period]]*20&gt;WWWW[[#This Row],[Total HH]],WWWW[[#This Row],[Total HH]],WWWW[[#This Row],['# Functional hand washing stations during reporting period]]*20)</f>
        <v>0</v>
      </c>
      <c r="DY151" s="968">
        <f>IF(WWWW[[#This Row],[Is sufficient soap available for TLS? (Yes/No)]]="yes",WWWW[[#This Row],['#_Constructed/Existing hand washing stations at TLS/CFS/THF]],0)</f>
        <v>0</v>
      </c>
      <c r="DZ151" s="425">
        <f>IF(WWWW[[#This Row],['# Functional hand washing stations during reporting period]]*100&gt;WWWW[[#This Row],[Total PoP ]],WWWW[[#This Row],[Total PoP ]],WWWW[[#This Row],['# Functional hand washing stations during reporting period]]*100)</f>
        <v>0</v>
      </c>
      <c r="EA151" s="425" t="str">
        <f>IF(OR(WWWW[[#This Row],['#_students at TLS_CFS]]="",WWWW[[#This Row],['#_students at TLS_CFS]]=0),"No","Yes")</f>
        <v>No</v>
      </c>
      <c r="EB15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1" s="570">
        <f>WWWW[[#This Row],[%_of_affected_people_surveyed_who_report_feeling_satistfied_with_the_latrine_design_and_sanitation_service]]*WWWW[[#This Row],[Total PoP ]]</f>
        <v>0</v>
      </c>
      <c r="ED151" s="570">
        <f>WWWW[[#This Row],[%_of_affected_people_surveyed_who_report_feeling_satistfied_with_the_water_point_design_and_water_service]]*WWWW[[#This Row],[Total PoP ]]</f>
        <v>0</v>
      </c>
      <c r="EE151" s="570">
        <f>WWWW[[#This Row],[%_of_complaints_received_that_result_in_timely_corrective_action_and_feedback_to_the_community]]*WWWW[[#This Row],[Total PoP ]]</f>
        <v>0</v>
      </c>
      <c r="EF15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1" s="964">
        <f>VLOOKUP(WWWW[[#This Row],[Site Name]],SiteDB6[[Site Name]:[CCCM Management]],6,FALSE)</f>
        <v>0</v>
      </c>
      <c r="EJ151" s="964" t="str">
        <f>VLOOKUP(WWWW[[#This Row],[Site Name]],SiteDB6[[Site Name]:[CCCM Focal Agency]],7,FALSE)</f>
        <v>DFSS</v>
      </c>
      <c r="EK151" s="964" t="str">
        <f>VLOOKUP(WWWW[[#This Row],[Site Name]],SiteDB6[[Site Name]:[Location Type 1]],9,FALSE)</f>
        <v>Camp</v>
      </c>
      <c r="EL151" s="964" t="str">
        <f>VLOOKUP(WWWW[[#This Row],[Site Name]],SiteDB6[[Site Name]:[Type of Accommodation]],10,FALSE)</f>
        <v>Camp like setting</v>
      </c>
      <c r="EM151" s="964" t="str">
        <f>VLOOKUP(WWWW[[#This Row],[Site Name]],SiteDB6[[Site Name]:[Ethnic or GCA/NGCA]],11,FALSE)</f>
        <v>GCA</v>
      </c>
      <c r="EN151" s="964">
        <f>VLOOKUP(WWWW[[#This Row],[Site Name]],SiteDB6[[Site Name]:[Lat]],12,FALSE)</f>
        <v>0</v>
      </c>
      <c r="EO151" s="964">
        <f>VLOOKUP(WWWW[[#This Row],[Site Name]],SiteDB6[[Site Name]:[Long]],13,FALSE)</f>
        <v>0</v>
      </c>
      <c r="EP151" s="964" t="str">
        <f>VLOOKUP(WWWW[[#This Row],[Site Name]],SiteDB6[[Site Name]:[Pcode]],3,FALSE)</f>
        <v>MMR001CMP301</v>
      </c>
      <c r="EQ151" s="969" t="str">
        <f t="shared" si="4"/>
        <v>Notcovered</v>
      </c>
      <c r="ER151" s="969"/>
      <c r="ES151" s="964">
        <f>VLOOKUP(WWWW[[#This Row],[Site Name]],SiteDB6[[Site Name]:[Pop
(Kachin/Shan-CCCM as of March 2023)]],16,FALSE)</f>
        <v>16</v>
      </c>
      <c r="ET151" s="964">
        <f>VLOOKUP(WWWW[[#This Row],[Site Name]],SiteDB6[[Site Name]:[Pop
(Kachin/Shan-CCCM as of March 2023)]],17,FALSE)</f>
        <v>76</v>
      </c>
    </row>
    <row r="152" spans="1:150" hidden="1">
      <c r="A152" s="962" t="s">
        <v>2977</v>
      </c>
      <c r="B152" s="962" t="s">
        <v>309</v>
      </c>
      <c r="C152" s="963" t="s">
        <v>309</v>
      </c>
      <c r="D152" s="963"/>
      <c r="E152" s="963" t="s">
        <v>515</v>
      </c>
      <c r="F152" s="963" t="s">
        <v>525</v>
      </c>
      <c r="G152" s="964" t="str">
        <f>VLOOKUP(WWWW[[#This Row],[Site Name]],SiteDB6[[Site Name]:[Location Type]],8,FALSE)</f>
        <v>Camp</v>
      </c>
      <c r="H152" s="963" t="s">
        <v>2989</v>
      </c>
      <c r="I152" s="965">
        <v>28</v>
      </c>
      <c r="J152" s="965">
        <v>87</v>
      </c>
      <c r="K152" s="966"/>
      <c r="L152" s="967"/>
      <c r="M152" s="965"/>
      <c r="N152" s="965"/>
      <c r="O152" s="965"/>
      <c r="P152" s="965"/>
      <c r="Q152" s="968"/>
      <c r="R152" s="965"/>
      <c r="S152" s="965"/>
      <c r="T152" s="445"/>
      <c r="U152" s="965"/>
      <c r="V152" s="965"/>
      <c r="W152" s="965"/>
      <c r="X152" s="965"/>
      <c r="Y152" s="965"/>
      <c r="Z152" s="965"/>
      <c r="AA152" s="965"/>
      <c r="AB152" s="965"/>
      <c r="AC152" s="965"/>
      <c r="AD152" s="965"/>
      <c r="AE152" s="965"/>
      <c r="AF152" s="965"/>
      <c r="AG152" s="965"/>
      <c r="AH152" s="965"/>
      <c r="AI152" s="965"/>
      <c r="AJ152" s="965"/>
      <c r="AK152" s="965"/>
      <c r="AL152" s="965"/>
      <c r="AM152" s="965"/>
      <c r="AN152" s="965"/>
      <c r="AO152" s="445"/>
      <c r="AP152" s="969"/>
      <c r="AQ152" s="965"/>
      <c r="AR152" s="965"/>
      <c r="AS152" s="970"/>
      <c r="AT152" s="965"/>
      <c r="AU152" s="965"/>
      <c r="AV152" s="965"/>
      <c r="AW152" s="965"/>
      <c r="AX152" s="965"/>
      <c r="AY152" s="964"/>
      <c r="AZ152" s="969"/>
      <c r="BA152" s="965"/>
      <c r="BB152" s="965"/>
      <c r="BC152" s="965"/>
      <c r="BD152" s="445"/>
      <c r="BE152" s="445"/>
      <c r="BF152" s="964"/>
      <c r="BG152" s="965"/>
      <c r="BH152" s="965"/>
      <c r="BI152" s="965"/>
      <c r="BJ152" s="965"/>
      <c r="BK152" s="965"/>
      <c r="BL152" s="965"/>
      <c r="BM152" s="965"/>
      <c r="BN152" s="965"/>
      <c r="BO152" s="965"/>
      <c r="BP152" s="964"/>
      <c r="BQ152" s="971"/>
      <c r="BR152" s="970"/>
      <c r="BS152" s="964"/>
      <c r="BT152" s="420"/>
      <c r="BU152" s="420"/>
      <c r="BV152" s="422"/>
      <c r="BW152" s="420"/>
      <c r="BX152" s="445"/>
      <c r="BY152" s="445"/>
      <c r="BZ152" s="445"/>
      <c r="CA152" s="445"/>
      <c r="CB152" s="445"/>
      <c r="CC152" s="702"/>
      <c r="CD152" s="445"/>
      <c r="CE152" s="972" t="str">
        <f>IFERROR(WWWW[[#This Row],['#_Water sources passed]]/WWWW[[#This Row],['#_Water sources tested for fecal coliform ]],"no test")</f>
        <v>no test</v>
      </c>
      <c r="CF152" s="970" t="str">
        <f>IFERROR(WWWW[[#This Row],['#_Household passed]]/WWWW[[#This Row],['#_Household water samples tested for fecal coliform]],"no test")</f>
        <v>no test</v>
      </c>
      <c r="CG152" s="971" t="str">
        <f>IF(AND(WWWW[[#This Row],[% of water sources passed]]="no test",WWWW[[#This Row],[% Household passed]]="no test"),"No Test","Tested")</f>
        <v>No Test</v>
      </c>
      <c r="CH152" s="971">
        <f>WWWW[[#This Row],['#_Constructed/existing protected hand dug well]]-WWWW[[#This Row],['#_Non-functional protected hand dug well]]</f>
        <v>0</v>
      </c>
      <c r="CI152" s="971">
        <f>(WWWW[[#This Row],['#_Constructed/Existing tube wells/boreholes/handpumps_WASH_agency]]+WWWW[[#This Row],['#_Non-Cluster partner water tube-wells/boreholes/handpumps]])-WWWW[[#This Row],['#_Non-functional tube wells/boreholes/handpumps]]</f>
        <v>0</v>
      </c>
      <c r="CJ152" s="971">
        <f>WWWW[[#This Row],['#_Constructed/Existingwater storage tank with gravity fed reticulation system]]-WWWW[[#This Row],['#_Non-functional storage tank gravity fed reticulation system]]</f>
        <v>0</v>
      </c>
      <c r="CK152" s="971">
        <f>(WWWW[[#This Row],['#_Water_Liters_supplied_by_Water boating or water trucking]]/90)/15</f>
        <v>0</v>
      </c>
      <c r="CL152" s="971">
        <f>WWWW[[#This Row],['#_Water_Liters_from_Constructed/Existing water distribution system from river or natural spring]]/90/15</f>
        <v>0</v>
      </c>
      <c r="CM152" s="421">
        <f>IF(WWWW[[#This Row],['#_of water points in TLS/CFS]]*500&gt;WWWW[[#This Row],[Total PoP ]],WWWW[[#This Row],[Total PoP ]],WWWW[[#This Row],['#_of water points in TLS/CFS]]*500)</f>
        <v>0</v>
      </c>
      <c r="CN152" s="421">
        <f>IF(WWWW[[#This Row],['#_of water points in THF]]*500&gt;WWWW[[#This Row],[Total PoP ]],WWWW[[#This Row],[Total PoP ]],WWWW[[#This Row],['#_of water points in THF]]*500)</f>
        <v>0</v>
      </c>
      <c r="CO152" s="421"/>
      <c r="CP15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2" s="970">
        <f>IF(WWWW[[#This Row],[Location Type 1]]="Village",WWWW[[#This Row],[Access to safe drinking water for Village]],WWWW[[#This Row],[Access to safe drinking water for Camp]])</f>
        <v>0</v>
      </c>
      <c r="CS152" s="968">
        <f>WWWW[[#This Row],[%Equitable and continuous access to sufficient quantity of safe drinking water]]*WWWW[[#This Row],[Total PoP ]]</f>
        <v>0</v>
      </c>
      <c r="CT152" s="970">
        <f>IF((WWWW[[#This Row],['#_Constructed/Existing protected/fenced ponds]]*250)/WWWW[[#This Row],[Total PoP ]]&gt;1,1,(WWWW[[#This Row],['#_Constructed/Existing protected/fenced ponds]]*250)/WWWW[[#This Row],[Total PoP ]])</f>
        <v>0</v>
      </c>
      <c r="CU152" s="968">
        <f>WWWW[[#This Row],[% Access to unimproved water points]]*WWWW[[#This Row],[Total PoP ]]</f>
        <v>0</v>
      </c>
      <c r="CV15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2" s="968">
        <f>WWWW[[#This Row],[HRP1]]/500</f>
        <v>0</v>
      </c>
      <c r="CY152" s="973">
        <f>1-WWWW[[#This Row],[% Equitable and continuous access to sufficient quantity of domestic water]]</f>
        <v>1</v>
      </c>
      <c r="CZ152" s="968">
        <f>WWWW[[#This Row],[%equitable and continuous access to sufficient quantity of safe drinking and domestic water''s GAP]]*WWWW[[#This Row],[Total PoP ]]</f>
        <v>87</v>
      </c>
      <c r="DA152" s="971">
        <f>IF(WWWW[[#This Row],[Total required water points]]-WWWW[[#This Row],['#Water points coverage]]&lt;0,0,WWWW[[#This Row],[Total required water points]]-WWWW[[#This Row],['#Water points coverage]])</f>
        <v>1</v>
      </c>
      <c r="DB152" s="971">
        <f>ROUND(IF(WWWW[[#This Row],[Total PoP ]]&lt;500,1,WWWW[[#This Row],[Total PoP ]]/500),0)</f>
        <v>1</v>
      </c>
      <c r="DC152" s="971">
        <f>(WWWW[[#This Row],['#_Constructed latrines_by_WASHAgencies]]+WWWW[[#This Row],['#_Non Cluster partner latrines]])-WWWW[[#This Row],['#_Non-functional latrines]]</f>
        <v>0</v>
      </c>
      <c r="DD152" s="619">
        <f>WWWW[[#This Row],[HRP2]]/WWWW[[#This Row],[Total PoP ]]</f>
        <v>0</v>
      </c>
      <c r="DE15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2" s="421">
        <f>IF(WWWW[[#This Row],['# of functional latrines in THF supported by WASH partners during the reporting period2]]="",0,WWWW[[#This Row],['# of functional latrines in THF supported by WASH partners during the reporting period2]]*50)</f>
        <v>0</v>
      </c>
      <c r="DI152" s="971">
        <f>ROUND(IF(WWWW[[#This Row],[Location Type 1]]="camp",WWWW[[#This Row],[Total PoP ]]/20,IF(WWWW[[#This Row],[Location Type 1]]="Temporary Location",WWWW[[#This Row],[Total PoP ]]/50,(WWWW[[#This Row],[Total PoP ]]/6))),0)</f>
        <v>4</v>
      </c>
      <c r="DJ152" s="971">
        <f>IF(WWWW[[#This Row],[Total required Latrines]]-(WWWW[[#This Row],['#_Constructed latrines_by_WASHAgencies]]+WWWW[[#This Row],['#_Non Cluster partner latrines]])&lt;0,0,WWWW[[#This Row],[Total required Latrines]]-(WWWW[[#This Row],['#_Constructed latrines_by_WASHAgencies]]+WWWW[[#This Row],['#_Non Cluster partner latrines]]))</f>
        <v>4</v>
      </c>
      <c r="DK152" s="973">
        <f>1-WWWW[[#This Row],[% people access to functioning Latrine]]</f>
        <v>1</v>
      </c>
      <c r="DL152" s="972">
        <f>IF(OR(WWWW[[#This Row],['#_Non-functional latrines]]="",WWWW[[#This Row],['#_Non-functional latrines]]=0),0,WWWW[[#This Row],['#_Non-functional latrines]]/(WWWW[[#This Row],['#_Constructed latrines_by_WASHAgencies]]+WWWW[[#This Row],['#_Non Cluster partner latrines]]))</f>
        <v>0</v>
      </c>
      <c r="DM152" s="968">
        <f>IF(500*(WWWW[[#This Row],['#_male hygiene promoters]]+WWWW[[#This Row],['#_female hygiene promoters]])&gt;WWWW[[#This Row],[Total PoP ]],WWWW[[#This Row],[Total PoP ]],500*(WWWW[[#This Row],['#_male hygiene promoters]]+WWWW[[#This Row],['#_female hygiene promoters]]))</f>
        <v>0</v>
      </c>
      <c r="DN15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2" s="971">
        <f>IF(WWWW[[#This Row],['# People with access to soap]]&gt;WWWW[[#This Row],['# People with access to Sanity Pads]],WWWW[[#This Row],['# People with access to soap]],WWWW[[#This Row],['# People with access to Sanity Pads]])</f>
        <v>0</v>
      </c>
      <c r="DQ15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2" s="973">
        <f>IF(WWWW[[#This Row],[HRP3]]/WWWW[[#This Row],[Total PoP ]]&gt;1,1,WWWW[[#This Row],[HRP3]]/WWWW[[#This Row],[Total PoP ]])</f>
        <v>0</v>
      </c>
      <c r="DS152" s="972">
        <f>1-WWWW[[#This Row],[Hygiene Coverage%]]</f>
        <v>1</v>
      </c>
      <c r="DT152" s="970">
        <f>WWWW[[#This Row],['# people reached by regular dedicated hygiene promotion_5]]/WWWW[[#This Row],[Total PoP ]]</f>
        <v>0</v>
      </c>
      <c r="DU15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2" s="971">
        <f>WWWW[[#This Row],['#_Constructed/Existing hand washing stations]]-WWWW[[#This Row],['#_Non-Functional_hand_washing_stations]]</f>
        <v>0</v>
      </c>
      <c r="DX152" s="968">
        <f>IF(WWWW[[#This Row],['# Functional hand washing stations during reporting period]]*20&gt;WWWW[[#This Row],[Total HH]],WWWW[[#This Row],[Total HH]],WWWW[[#This Row],['# Functional hand washing stations during reporting period]]*20)</f>
        <v>0</v>
      </c>
      <c r="DY152" s="968">
        <f>IF(WWWW[[#This Row],[Is sufficient soap available for TLS? (Yes/No)]]="yes",WWWW[[#This Row],['#_Constructed/Existing hand washing stations at TLS/CFS/THF]],0)</f>
        <v>0</v>
      </c>
      <c r="DZ152" s="425">
        <f>IF(WWWW[[#This Row],['# Functional hand washing stations during reporting period]]*100&gt;WWWW[[#This Row],[Total PoP ]],WWWW[[#This Row],[Total PoP ]],WWWW[[#This Row],['# Functional hand washing stations during reporting period]]*100)</f>
        <v>0</v>
      </c>
      <c r="EA152" s="425" t="str">
        <f>IF(OR(WWWW[[#This Row],['#_students at TLS_CFS]]="",WWWW[[#This Row],['#_students at TLS_CFS]]=0),"No","Yes")</f>
        <v>No</v>
      </c>
      <c r="EB15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2" s="570">
        <f>WWWW[[#This Row],[%_of_affected_people_surveyed_who_report_feeling_satistfied_with_the_latrine_design_and_sanitation_service]]*WWWW[[#This Row],[Total PoP ]]</f>
        <v>0</v>
      </c>
      <c r="ED152" s="570">
        <f>WWWW[[#This Row],[%_of_affected_people_surveyed_who_report_feeling_satistfied_with_the_water_point_design_and_water_service]]*WWWW[[#This Row],[Total PoP ]]</f>
        <v>0</v>
      </c>
      <c r="EE152" s="570">
        <f>WWWW[[#This Row],[%_of_complaints_received_that_result_in_timely_corrective_action_and_feedback_to_the_community]]*WWWW[[#This Row],[Total PoP ]]</f>
        <v>0</v>
      </c>
      <c r="EF15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2" s="964">
        <f>VLOOKUP(WWWW[[#This Row],[Site Name]],SiteDB6[[Site Name]:[CCCM Management]],6,FALSE)</f>
        <v>0</v>
      </c>
      <c r="EJ152" s="964" t="str">
        <f>VLOOKUP(WWWW[[#This Row],[Site Name]],SiteDB6[[Site Name]:[CCCM Focal Agency]],7,FALSE)</f>
        <v>Uncovered</v>
      </c>
      <c r="EK152" s="964" t="str">
        <f>VLOOKUP(WWWW[[#This Row],[Site Name]],SiteDB6[[Site Name]:[Location Type 1]],9,FALSE)</f>
        <v>Camp</v>
      </c>
      <c r="EL152" s="964" t="str">
        <f>VLOOKUP(WWWW[[#This Row],[Site Name]],SiteDB6[[Site Name]:[Type of Accommodation]],10,FALSE)</f>
        <v>Camp like setting</v>
      </c>
      <c r="EM152" s="964" t="str">
        <f>VLOOKUP(WWWW[[#This Row],[Site Name]],SiteDB6[[Site Name]:[Ethnic or GCA/NGCA]],11,FALSE)</f>
        <v>GCA</v>
      </c>
      <c r="EN152" s="964">
        <f>VLOOKUP(WWWW[[#This Row],[Site Name]],SiteDB6[[Site Name]:[Lat]],12,FALSE)</f>
        <v>0</v>
      </c>
      <c r="EO152" s="964" t="str">
        <f>VLOOKUP(WWWW[[#This Row],[Site Name]],SiteDB6[[Site Name]:[Long]],13,FALSE)</f>
        <v>not available</v>
      </c>
      <c r="EP152" s="964" t="str">
        <f>VLOOKUP(WWWW[[#This Row],[Site Name]],SiteDB6[[Site Name]:[Pcode]],3,FALSE)</f>
        <v>MMR015CMP085</v>
      </c>
      <c r="EQ152" s="969" t="str">
        <f t="shared" si="4"/>
        <v>Notcovered</v>
      </c>
      <c r="ER152" s="969"/>
      <c r="ES152" s="964">
        <f>VLOOKUP(WWWW[[#This Row],[Site Name]],SiteDB6[[Site Name]:[Pop
(Kachin/Shan-CCCM as of March 2023)]],16,FALSE)</f>
        <v>28</v>
      </c>
      <c r="ET152" s="964">
        <f>VLOOKUP(WWWW[[#This Row],[Site Name]],SiteDB6[[Site Name]:[Pop
(Kachin/Shan-CCCM as of March 2023)]],17,FALSE)</f>
        <v>87</v>
      </c>
    </row>
    <row r="153" spans="1:150" hidden="1">
      <c r="A153" s="962" t="s">
        <v>2977</v>
      </c>
      <c r="B153" s="962" t="s">
        <v>309</v>
      </c>
      <c r="C153" s="963" t="s">
        <v>309</v>
      </c>
      <c r="D153" s="963"/>
      <c r="E153" s="963" t="s">
        <v>515</v>
      </c>
      <c r="F153" s="963" t="s">
        <v>961</v>
      </c>
      <c r="G153" s="964" t="str">
        <f>VLOOKUP(WWWW[[#This Row],[Site Name]],SiteDB6[[Site Name]:[Location Type]],8,FALSE)</f>
        <v>Camp</v>
      </c>
      <c r="H153" s="963" t="s">
        <v>2990</v>
      </c>
      <c r="I153" s="965">
        <v>19</v>
      </c>
      <c r="J153" s="965">
        <v>82</v>
      </c>
      <c r="K153" s="966"/>
      <c r="L153" s="967"/>
      <c r="M153" s="965"/>
      <c r="N153" s="965"/>
      <c r="O153" s="965"/>
      <c r="P153" s="965"/>
      <c r="Q153" s="968"/>
      <c r="R153" s="965"/>
      <c r="S153" s="965"/>
      <c r="T153" s="445"/>
      <c r="U153" s="965"/>
      <c r="V153" s="965"/>
      <c r="W153" s="965"/>
      <c r="X153" s="965"/>
      <c r="Y153" s="965"/>
      <c r="Z153" s="965"/>
      <c r="AA153" s="965"/>
      <c r="AB153" s="965"/>
      <c r="AC153" s="965"/>
      <c r="AD153" s="965"/>
      <c r="AE153" s="965"/>
      <c r="AF153" s="965"/>
      <c r="AG153" s="965"/>
      <c r="AH153" s="965"/>
      <c r="AI153" s="965"/>
      <c r="AJ153" s="965"/>
      <c r="AK153" s="965"/>
      <c r="AL153" s="965"/>
      <c r="AM153" s="965"/>
      <c r="AN153" s="965"/>
      <c r="AO153" s="445"/>
      <c r="AP153" s="969"/>
      <c r="AQ153" s="965"/>
      <c r="AR153" s="965"/>
      <c r="AS153" s="970"/>
      <c r="AT153" s="965"/>
      <c r="AU153" s="965"/>
      <c r="AV153" s="965"/>
      <c r="AW153" s="965"/>
      <c r="AX153" s="965"/>
      <c r="AY153" s="964"/>
      <c r="AZ153" s="969"/>
      <c r="BA153" s="965"/>
      <c r="BB153" s="965"/>
      <c r="BC153" s="965"/>
      <c r="BD153" s="445"/>
      <c r="BE153" s="445"/>
      <c r="BF153" s="964"/>
      <c r="BG153" s="965"/>
      <c r="BH153" s="965"/>
      <c r="BI153" s="965"/>
      <c r="BJ153" s="965"/>
      <c r="BK153" s="965"/>
      <c r="BL153" s="965"/>
      <c r="BM153" s="965"/>
      <c r="BN153" s="965"/>
      <c r="BO153" s="965"/>
      <c r="BP153" s="964"/>
      <c r="BQ153" s="971"/>
      <c r="BR153" s="970"/>
      <c r="BS153" s="964"/>
      <c r="BT153" s="420"/>
      <c r="BU153" s="420"/>
      <c r="BV153" s="422"/>
      <c r="BW153" s="420"/>
      <c r="BX153" s="445"/>
      <c r="BY153" s="445"/>
      <c r="BZ153" s="445"/>
      <c r="CA153" s="445"/>
      <c r="CB153" s="445"/>
      <c r="CC153" s="702"/>
      <c r="CD153" s="445"/>
      <c r="CE153" s="972" t="str">
        <f>IFERROR(WWWW[[#This Row],['#_Water sources passed]]/WWWW[[#This Row],['#_Water sources tested for fecal coliform ]],"no test")</f>
        <v>no test</v>
      </c>
      <c r="CF153" s="970" t="str">
        <f>IFERROR(WWWW[[#This Row],['#_Household passed]]/WWWW[[#This Row],['#_Household water samples tested for fecal coliform]],"no test")</f>
        <v>no test</v>
      </c>
      <c r="CG153" s="971" t="str">
        <f>IF(AND(WWWW[[#This Row],[% of water sources passed]]="no test",WWWW[[#This Row],[% Household passed]]="no test"),"No Test","Tested")</f>
        <v>No Test</v>
      </c>
      <c r="CH153" s="971">
        <f>WWWW[[#This Row],['#_Constructed/existing protected hand dug well]]-WWWW[[#This Row],['#_Non-functional protected hand dug well]]</f>
        <v>0</v>
      </c>
      <c r="CI153" s="971">
        <f>(WWWW[[#This Row],['#_Constructed/Existing tube wells/boreholes/handpumps_WASH_agency]]+WWWW[[#This Row],['#_Non-Cluster partner water tube-wells/boreholes/handpumps]])-WWWW[[#This Row],['#_Non-functional tube wells/boreholes/handpumps]]</f>
        <v>0</v>
      </c>
      <c r="CJ153" s="971">
        <f>WWWW[[#This Row],['#_Constructed/Existingwater storage tank with gravity fed reticulation system]]-WWWW[[#This Row],['#_Non-functional storage tank gravity fed reticulation system]]</f>
        <v>0</v>
      </c>
      <c r="CK153" s="971">
        <f>(WWWW[[#This Row],['#_Water_Liters_supplied_by_Water boating or water trucking]]/90)/15</f>
        <v>0</v>
      </c>
      <c r="CL153" s="971">
        <f>WWWW[[#This Row],['#_Water_Liters_from_Constructed/Existing water distribution system from river or natural spring]]/90/15</f>
        <v>0</v>
      </c>
      <c r="CM153" s="421">
        <f>IF(WWWW[[#This Row],['#_of water points in TLS/CFS]]*500&gt;WWWW[[#This Row],[Total PoP ]],WWWW[[#This Row],[Total PoP ]],WWWW[[#This Row],['#_of water points in TLS/CFS]]*500)</f>
        <v>0</v>
      </c>
      <c r="CN153" s="421">
        <f>IF(WWWW[[#This Row],['#_of water points in THF]]*500&gt;WWWW[[#This Row],[Total PoP ]],WWWW[[#This Row],[Total PoP ]],WWWW[[#This Row],['#_of water points in THF]]*500)</f>
        <v>0</v>
      </c>
      <c r="CO153" s="421"/>
      <c r="CP15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3" s="970">
        <f>IF(WWWW[[#This Row],[Location Type 1]]="Village",WWWW[[#This Row],[Access to safe drinking water for Village]],WWWW[[#This Row],[Access to safe drinking water for Camp]])</f>
        <v>0</v>
      </c>
      <c r="CS153" s="968">
        <f>WWWW[[#This Row],[%Equitable and continuous access to sufficient quantity of safe drinking water]]*WWWW[[#This Row],[Total PoP ]]</f>
        <v>0</v>
      </c>
      <c r="CT153" s="970">
        <f>IF((WWWW[[#This Row],['#_Constructed/Existing protected/fenced ponds]]*250)/WWWW[[#This Row],[Total PoP ]]&gt;1,1,(WWWW[[#This Row],['#_Constructed/Existing protected/fenced ponds]]*250)/WWWW[[#This Row],[Total PoP ]])</f>
        <v>0</v>
      </c>
      <c r="CU153" s="968">
        <f>WWWW[[#This Row],[% Access to unimproved water points]]*WWWW[[#This Row],[Total PoP ]]</f>
        <v>0</v>
      </c>
      <c r="CV15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3" s="968">
        <f>WWWW[[#This Row],[HRP1]]/500</f>
        <v>0</v>
      </c>
      <c r="CY153" s="973">
        <f>1-WWWW[[#This Row],[% Equitable and continuous access to sufficient quantity of domestic water]]</f>
        <v>1</v>
      </c>
      <c r="CZ153" s="968">
        <f>WWWW[[#This Row],[%equitable and continuous access to sufficient quantity of safe drinking and domestic water''s GAP]]*WWWW[[#This Row],[Total PoP ]]</f>
        <v>82</v>
      </c>
      <c r="DA153" s="971">
        <f>IF(WWWW[[#This Row],[Total required water points]]-WWWW[[#This Row],['#Water points coverage]]&lt;0,0,WWWW[[#This Row],[Total required water points]]-WWWW[[#This Row],['#Water points coverage]])</f>
        <v>1</v>
      </c>
      <c r="DB153" s="971">
        <f>ROUND(IF(WWWW[[#This Row],[Total PoP ]]&lt;500,1,WWWW[[#This Row],[Total PoP ]]/500),0)</f>
        <v>1</v>
      </c>
      <c r="DC153" s="971">
        <f>(WWWW[[#This Row],['#_Constructed latrines_by_WASHAgencies]]+WWWW[[#This Row],['#_Non Cluster partner latrines]])-WWWW[[#This Row],['#_Non-functional latrines]]</f>
        <v>0</v>
      </c>
      <c r="DD153" s="619">
        <f>WWWW[[#This Row],[HRP2]]/WWWW[[#This Row],[Total PoP ]]</f>
        <v>0</v>
      </c>
      <c r="DE15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3" s="421">
        <f>IF(WWWW[[#This Row],['# of functional latrines in THF supported by WASH partners during the reporting period2]]="",0,WWWW[[#This Row],['# of functional latrines in THF supported by WASH partners during the reporting period2]]*50)</f>
        <v>0</v>
      </c>
      <c r="DI153" s="971">
        <f>ROUND(IF(WWWW[[#This Row],[Location Type 1]]="camp",WWWW[[#This Row],[Total PoP ]]/20,IF(WWWW[[#This Row],[Location Type 1]]="Temporary Location",WWWW[[#This Row],[Total PoP ]]/50,(WWWW[[#This Row],[Total PoP ]]/6))),0)</f>
        <v>4</v>
      </c>
      <c r="DJ153" s="971">
        <f>IF(WWWW[[#This Row],[Total required Latrines]]-(WWWW[[#This Row],['#_Constructed latrines_by_WASHAgencies]]+WWWW[[#This Row],['#_Non Cluster partner latrines]])&lt;0,0,WWWW[[#This Row],[Total required Latrines]]-(WWWW[[#This Row],['#_Constructed latrines_by_WASHAgencies]]+WWWW[[#This Row],['#_Non Cluster partner latrines]]))</f>
        <v>4</v>
      </c>
      <c r="DK153" s="973">
        <f>1-WWWW[[#This Row],[% people access to functioning Latrine]]</f>
        <v>1</v>
      </c>
      <c r="DL153" s="972">
        <f>IF(OR(WWWW[[#This Row],['#_Non-functional latrines]]="",WWWW[[#This Row],['#_Non-functional latrines]]=0),0,WWWW[[#This Row],['#_Non-functional latrines]]/(WWWW[[#This Row],['#_Constructed latrines_by_WASHAgencies]]+WWWW[[#This Row],['#_Non Cluster partner latrines]]))</f>
        <v>0</v>
      </c>
      <c r="DM153" s="968">
        <f>IF(500*(WWWW[[#This Row],['#_male hygiene promoters]]+WWWW[[#This Row],['#_female hygiene promoters]])&gt;WWWW[[#This Row],[Total PoP ]],WWWW[[#This Row],[Total PoP ]],500*(WWWW[[#This Row],['#_male hygiene promoters]]+WWWW[[#This Row],['#_female hygiene promoters]]))</f>
        <v>0</v>
      </c>
      <c r="DN15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3" s="971">
        <f>IF(WWWW[[#This Row],['# People with access to soap]]&gt;WWWW[[#This Row],['# People with access to Sanity Pads]],WWWW[[#This Row],['# People with access to soap]],WWWW[[#This Row],['# People with access to Sanity Pads]])</f>
        <v>0</v>
      </c>
      <c r="DQ15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3" s="973">
        <f>IF(WWWW[[#This Row],[HRP3]]/WWWW[[#This Row],[Total PoP ]]&gt;1,1,WWWW[[#This Row],[HRP3]]/WWWW[[#This Row],[Total PoP ]])</f>
        <v>0</v>
      </c>
      <c r="DS153" s="972">
        <f>1-WWWW[[#This Row],[Hygiene Coverage%]]</f>
        <v>1</v>
      </c>
      <c r="DT153" s="970">
        <f>WWWW[[#This Row],['# people reached by regular dedicated hygiene promotion_5]]/WWWW[[#This Row],[Total PoP ]]</f>
        <v>0</v>
      </c>
      <c r="DU15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3" s="971">
        <f>WWWW[[#This Row],['#_Constructed/Existing hand washing stations]]-WWWW[[#This Row],['#_Non-Functional_hand_washing_stations]]</f>
        <v>0</v>
      </c>
      <c r="DX153" s="968">
        <f>IF(WWWW[[#This Row],['# Functional hand washing stations during reporting period]]*20&gt;WWWW[[#This Row],[Total HH]],WWWW[[#This Row],[Total HH]],WWWW[[#This Row],['# Functional hand washing stations during reporting period]]*20)</f>
        <v>0</v>
      </c>
      <c r="DY153" s="968">
        <f>IF(WWWW[[#This Row],[Is sufficient soap available for TLS? (Yes/No)]]="yes",WWWW[[#This Row],['#_Constructed/Existing hand washing stations at TLS/CFS/THF]],0)</f>
        <v>0</v>
      </c>
      <c r="DZ153" s="425">
        <f>IF(WWWW[[#This Row],['# Functional hand washing stations during reporting period]]*100&gt;WWWW[[#This Row],[Total PoP ]],WWWW[[#This Row],[Total PoP ]],WWWW[[#This Row],['# Functional hand washing stations during reporting period]]*100)</f>
        <v>0</v>
      </c>
      <c r="EA153" s="425" t="str">
        <f>IF(OR(WWWW[[#This Row],['#_students at TLS_CFS]]="",WWWW[[#This Row],['#_students at TLS_CFS]]=0),"No","Yes")</f>
        <v>No</v>
      </c>
      <c r="EB15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3" s="570">
        <f>WWWW[[#This Row],[%_of_affected_people_surveyed_who_report_feeling_satistfied_with_the_latrine_design_and_sanitation_service]]*WWWW[[#This Row],[Total PoP ]]</f>
        <v>0</v>
      </c>
      <c r="ED153" s="570">
        <f>WWWW[[#This Row],[%_of_affected_people_surveyed_who_report_feeling_satistfied_with_the_water_point_design_and_water_service]]*WWWW[[#This Row],[Total PoP ]]</f>
        <v>0</v>
      </c>
      <c r="EE153" s="570">
        <f>WWWW[[#This Row],[%_of_complaints_received_that_result_in_timely_corrective_action_and_feedback_to_the_community]]*WWWW[[#This Row],[Total PoP ]]</f>
        <v>0</v>
      </c>
      <c r="EF15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3" s="964">
        <f>VLOOKUP(WWWW[[#This Row],[Site Name]],SiteDB6[[Site Name]:[CCCM Management]],6,FALSE)</f>
        <v>0</v>
      </c>
      <c r="EJ153" s="964" t="str">
        <f>VLOOKUP(WWWW[[#This Row],[Site Name]],SiteDB6[[Site Name]:[CCCM Focal Agency]],7,FALSE)</f>
        <v>Uncovered</v>
      </c>
      <c r="EK153" s="964" t="str">
        <f>VLOOKUP(WWWW[[#This Row],[Site Name]],SiteDB6[[Site Name]:[Location Type 1]],9,FALSE)</f>
        <v>Camp</v>
      </c>
      <c r="EL153" s="964" t="str">
        <f>VLOOKUP(WWWW[[#This Row],[Site Name]],SiteDB6[[Site Name]:[Type of Accommodation]],10,FALSE)</f>
        <v>Camp like setting</v>
      </c>
      <c r="EM153" s="964" t="str">
        <f>VLOOKUP(WWWW[[#This Row],[Site Name]],SiteDB6[[Site Name]:[Ethnic or GCA/NGCA]],11,FALSE)</f>
        <v>GCA</v>
      </c>
      <c r="EN153" s="964">
        <f>VLOOKUP(WWWW[[#This Row],[Site Name]],SiteDB6[[Site Name]:[Lat]],12,FALSE)</f>
        <v>22.97711</v>
      </c>
      <c r="EO153" s="964">
        <f>VLOOKUP(WWWW[[#This Row],[Site Name]],SiteDB6[[Site Name]:[Long]],13,FALSE)</f>
        <v>97.699299999999994</v>
      </c>
      <c r="EP153" s="964" t="str">
        <f>VLOOKUP(WWWW[[#This Row],[Site Name]],SiteDB6[[Site Name]:[Pcode]],3,FALSE)</f>
        <v>MMR015CMP086</v>
      </c>
      <c r="EQ153" s="969" t="str">
        <f t="shared" ref="EQ153:EQ184" si="5">IF(C153="none","Notcovered","Covered")</f>
        <v>Notcovered</v>
      </c>
      <c r="ER153" s="969"/>
      <c r="ES153" s="964">
        <f>VLOOKUP(WWWW[[#This Row],[Site Name]],SiteDB6[[Site Name]:[Pop
(Kachin/Shan-CCCM as of March 2023)]],16,FALSE)</f>
        <v>19</v>
      </c>
      <c r="ET153" s="964">
        <f>VLOOKUP(WWWW[[#This Row],[Site Name]],SiteDB6[[Site Name]:[Pop
(Kachin/Shan-CCCM as of March 2023)]],17,FALSE)</f>
        <v>82</v>
      </c>
    </row>
    <row r="154" spans="1:150" hidden="1">
      <c r="A154" s="962" t="s">
        <v>2977</v>
      </c>
      <c r="B154" s="962" t="s">
        <v>309</v>
      </c>
      <c r="C154" s="963" t="s">
        <v>309</v>
      </c>
      <c r="D154" s="963"/>
      <c r="E154" s="963" t="s">
        <v>515</v>
      </c>
      <c r="F154" s="963" t="s">
        <v>961</v>
      </c>
      <c r="G154" s="964" t="str">
        <f>VLOOKUP(WWWW[[#This Row],[Site Name]],SiteDB6[[Site Name]:[Location Type]],8,FALSE)</f>
        <v>Camp</v>
      </c>
      <c r="H154" s="963" t="s">
        <v>2991</v>
      </c>
      <c r="I154" s="965">
        <v>26</v>
      </c>
      <c r="J154" s="965">
        <v>135</v>
      </c>
      <c r="K154" s="966"/>
      <c r="L154" s="967"/>
      <c r="M154" s="965"/>
      <c r="N154" s="965"/>
      <c r="O154" s="965"/>
      <c r="P154" s="965"/>
      <c r="Q154" s="968"/>
      <c r="R154" s="965"/>
      <c r="S154" s="965"/>
      <c r="T154" s="445"/>
      <c r="U154" s="965"/>
      <c r="V154" s="965"/>
      <c r="W154" s="965"/>
      <c r="X154" s="965"/>
      <c r="Y154" s="965"/>
      <c r="Z154" s="965"/>
      <c r="AA154" s="965"/>
      <c r="AB154" s="965"/>
      <c r="AC154" s="965"/>
      <c r="AD154" s="965"/>
      <c r="AE154" s="965"/>
      <c r="AF154" s="965"/>
      <c r="AG154" s="965"/>
      <c r="AH154" s="965"/>
      <c r="AI154" s="965"/>
      <c r="AJ154" s="965"/>
      <c r="AK154" s="965"/>
      <c r="AL154" s="965"/>
      <c r="AM154" s="965"/>
      <c r="AN154" s="965"/>
      <c r="AO154" s="445"/>
      <c r="AP154" s="969"/>
      <c r="AQ154" s="965"/>
      <c r="AR154" s="965"/>
      <c r="AS154" s="970"/>
      <c r="AT154" s="965"/>
      <c r="AU154" s="965"/>
      <c r="AV154" s="965"/>
      <c r="AW154" s="965"/>
      <c r="AX154" s="965"/>
      <c r="AY154" s="964"/>
      <c r="AZ154" s="969"/>
      <c r="BA154" s="965"/>
      <c r="BB154" s="965"/>
      <c r="BC154" s="965"/>
      <c r="BD154" s="445"/>
      <c r="BE154" s="445"/>
      <c r="BF154" s="964"/>
      <c r="BG154" s="965"/>
      <c r="BH154" s="965"/>
      <c r="BI154" s="965"/>
      <c r="BJ154" s="965"/>
      <c r="BK154" s="965"/>
      <c r="BL154" s="965"/>
      <c r="BM154" s="965"/>
      <c r="BN154" s="965"/>
      <c r="BO154" s="965"/>
      <c r="BP154" s="964"/>
      <c r="BQ154" s="971"/>
      <c r="BR154" s="970"/>
      <c r="BS154" s="964"/>
      <c r="BT154" s="420"/>
      <c r="BU154" s="420"/>
      <c r="BV154" s="422"/>
      <c r="BW154" s="420"/>
      <c r="BX154" s="445"/>
      <c r="BY154" s="445"/>
      <c r="BZ154" s="445"/>
      <c r="CA154" s="445"/>
      <c r="CB154" s="445"/>
      <c r="CC154" s="702"/>
      <c r="CD154" s="445"/>
      <c r="CE154" s="972" t="str">
        <f>IFERROR(WWWW[[#This Row],['#_Water sources passed]]/WWWW[[#This Row],['#_Water sources tested for fecal coliform ]],"no test")</f>
        <v>no test</v>
      </c>
      <c r="CF154" s="970" t="str">
        <f>IFERROR(WWWW[[#This Row],['#_Household passed]]/WWWW[[#This Row],['#_Household water samples tested for fecal coliform]],"no test")</f>
        <v>no test</v>
      </c>
      <c r="CG154" s="971" t="str">
        <f>IF(AND(WWWW[[#This Row],[% of water sources passed]]="no test",WWWW[[#This Row],[% Household passed]]="no test"),"No Test","Tested")</f>
        <v>No Test</v>
      </c>
      <c r="CH154" s="971">
        <f>WWWW[[#This Row],['#_Constructed/existing protected hand dug well]]-WWWW[[#This Row],['#_Non-functional protected hand dug well]]</f>
        <v>0</v>
      </c>
      <c r="CI154" s="971">
        <f>(WWWW[[#This Row],['#_Constructed/Existing tube wells/boreholes/handpumps_WASH_agency]]+WWWW[[#This Row],['#_Non-Cluster partner water tube-wells/boreholes/handpumps]])-WWWW[[#This Row],['#_Non-functional tube wells/boreholes/handpumps]]</f>
        <v>0</v>
      </c>
      <c r="CJ154" s="971">
        <f>WWWW[[#This Row],['#_Constructed/Existingwater storage tank with gravity fed reticulation system]]-WWWW[[#This Row],['#_Non-functional storage tank gravity fed reticulation system]]</f>
        <v>0</v>
      </c>
      <c r="CK154" s="971">
        <f>(WWWW[[#This Row],['#_Water_Liters_supplied_by_Water boating or water trucking]]/90)/15</f>
        <v>0</v>
      </c>
      <c r="CL154" s="971">
        <f>WWWW[[#This Row],['#_Water_Liters_from_Constructed/Existing water distribution system from river or natural spring]]/90/15</f>
        <v>0</v>
      </c>
      <c r="CM154" s="421">
        <f>IF(WWWW[[#This Row],['#_of water points in TLS/CFS]]*500&gt;WWWW[[#This Row],[Total PoP ]],WWWW[[#This Row],[Total PoP ]],WWWW[[#This Row],['#_of water points in TLS/CFS]]*500)</f>
        <v>0</v>
      </c>
      <c r="CN154" s="421">
        <f>IF(WWWW[[#This Row],['#_of water points in THF]]*500&gt;WWWW[[#This Row],[Total PoP ]],WWWW[[#This Row],[Total PoP ]],WWWW[[#This Row],['#_of water points in THF]]*500)</f>
        <v>0</v>
      </c>
      <c r="CO154" s="421"/>
      <c r="CP15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4" s="970">
        <f>IF(WWWW[[#This Row],[Location Type 1]]="Village",WWWW[[#This Row],[Access to safe drinking water for Village]],WWWW[[#This Row],[Access to safe drinking water for Camp]])</f>
        <v>0</v>
      </c>
      <c r="CS154" s="968">
        <f>WWWW[[#This Row],[%Equitable and continuous access to sufficient quantity of safe drinking water]]*WWWW[[#This Row],[Total PoP ]]</f>
        <v>0</v>
      </c>
      <c r="CT154" s="970">
        <f>IF((WWWW[[#This Row],['#_Constructed/Existing protected/fenced ponds]]*250)/WWWW[[#This Row],[Total PoP ]]&gt;1,1,(WWWW[[#This Row],['#_Constructed/Existing protected/fenced ponds]]*250)/WWWW[[#This Row],[Total PoP ]])</f>
        <v>0</v>
      </c>
      <c r="CU154" s="968">
        <f>WWWW[[#This Row],[% Access to unimproved water points]]*WWWW[[#This Row],[Total PoP ]]</f>
        <v>0</v>
      </c>
      <c r="CV15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4" s="968">
        <f>WWWW[[#This Row],[HRP1]]/500</f>
        <v>0</v>
      </c>
      <c r="CY154" s="973">
        <f>1-WWWW[[#This Row],[% Equitable and continuous access to sufficient quantity of domestic water]]</f>
        <v>1</v>
      </c>
      <c r="CZ154" s="968">
        <f>WWWW[[#This Row],[%equitable and continuous access to sufficient quantity of safe drinking and domestic water''s GAP]]*WWWW[[#This Row],[Total PoP ]]</f>
        <v>135</v>
      </c>
      <c r="DA154" s="971">
        <f>IF(WWWW[[#This Row],[Total required water points]]-WWWW[[#This Row],['#Water points coverage]]&lt;0,0,WWWW[[#This Row],[Total required water points]]-WWWW[[#This Row],['#Water points coverage]])</f>
        <v>1</v>
      </c>
      <c r="DB154" s="971">
        <f>ROUND(IF(WWWW[[#This Row],[Total PoP ]]&lt;500,1,WWWW[[#This Row],[Total PoP ]]/500),0)</f>
        <v>1</v>
      </c>
      <c r="DC154" s="971">
        <f>(WWWW[[#This Row],['#_Constructed latrines_by_WASHAgencies]]+WWWW[[#This Row],['#_Non Cluster partner latrines]])-WWWW[[#This Row],['#_Non-functional latrines]]</f>
        <v>0</v>
      </c>
      <c r="DD154" s="619">
        <f>WWWW[[#This Row],[HRP2]]/WWWW[[#This Row],[Total PoP ]]</f>
        <v>0</v>
      </c>
      <c r="DE15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4" s="421">
        <f>IF(WWWW[[#This Row],['# of functional latrines in THF supported by WASH partners during the reporting period2]]="",0,WWWW[[#This Row],['# of functional latrines in THF supported by WASH partners during the reporting period2]]*50)</f>
        <v>0</v>
      </c>
      <c r="DI154" s="971">
        <f>ROUND(IF(WWWW[[#This Row],[Location Type 1]]="camp",WWWW[[#This Row],[Total PoP ]]/20,IF(WWWW[[#This Row],[Location Type 1]]="Temporary Location",WWWW[[#This Row],[Total PoP ]]/50,(WWWW[[#This Row],[Total PoP ]]/6))),0)</f>
        <v>7</v>
      </c>
      <c r="DJ154" s="971">
        <f>IF(WWWW[[#This Row],[Total required Latrines]]-(WWWW[[#This Row],['#_Constructed latrines_by_WASHAgencies]]+WWWW[[#This Row],['#_Non Cluster partner latrines]])&lt;0,0,WWWW[[#This Row],[Total required Latrines]]-(WWWW[[#This Row],['#_Constructed latrines_by_WASHAgencies]]+WWWW[[#This Row],['#_Non Cluster partner latrines]]))</f>
        <v>7</v>
      </c>
      <c r="DK154" s="973">
        <f>1-WWWW[[#This Row],[% people access to functioning Latrine]]</f>
        <v>1</v>
      </c>
      <c r="DL154" s="972">
        <f>IF(OR(WWWW[[#This Row],['#_Non-functional latrines]]="",WWWW[[#This Row],['#_Non-functional latrines]]=0),0,WWWW[[#This Row],['#_Non-functional latrines]]/(WWWW[[#This Row],['#_Constructed latrines_by_WASHAgencies]]+WWWW[[#This Row],['#_Non Cluster partner latrines]]))</f>
        <v>0</v>
      </c>
      <c r="DM154" s="968">
        <f>IF(500*(WWWW[[#This Row],['#_male hygiene promoters]]+WWWW[[#This Row],['#_female hygiene promoters]])&gt;WWWW[[#This Row],[Total PoP ]],WWWW[[#This Row],[Total PoP ]],500*(WWWW[[#This Row],['#_male hygiene promoters]]+WWWW[[#This Row],['#_female hygiene promoters]]))</f>
        <v>0</v>
      </c>
      <c r="DN15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4" s="971">
        <f>IF(WWWW[[#This Row],['# People with access to soap]]&gt;WWWW[[#This Row],['# People with access to Sanity Pads]],WWWW[[#This Row],['# People with access to soap]],WWWW[[#This Row],['# People with access to Sanity Pads]])</f>
        <v>0</v>
      </c>
      <c r="DQ15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4" s="973">
        <f>IF(WWWW[[#This Row],[HRP3]]/WWWW[[#This Row],[Total PoP ]]&gt;1,1,WWWW[[#This Row],[HRP3]]/WWWW[[#This Row],[Total PoP ]])</f>
        <v>0</v>
      </c>
      <c r="DS154" s="972">
        <f>1-WWWW[[#This Row],[Hygiene Coverage%]]</f>
        <v>1</v>
      </c>
      <c r="DT154" s="970">
        <f>WWWW[[#This Row],['# people reached by regular dedicated hygiene promotion_5]]/WWWW[[#This Row],[Total PoP ]]</f>
        <v>0</v>
      </c>
      <c r="DU15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4" s="971">
        <f>WWWW[[#This Row],['#_Constructed/Existing hand washing stations]]-WWWW[[#This Row],['#_Non-Functional_hand_washing_stations]]</f>
        <v>0</v>
      </c>
      <c r="DX154" s="968">
        <f>IF(WWWW[[#This Row],['# Functional hand washing stations during reporting period]]*20&gt;WWWW[[#This Row],[Total HH]],WWWW[[#This Row],[Total HH]],WWWW[[#This Row],['# Functional hand washing stations during reporting period]]*20)</f>
        <v>0</v>
      </c>
      <c r="DY154" s="968">
        <f>IF(WWWW[[#This Row],[Is sufficient soap available for TLS? (Yes/No)]]="yes",WWWW[[#This Row],['#_Constructed/Existing hand washing stations at TLS/CFS/THF]],0)</f>
        <v>0</v>
      </c>
      <c r="DZ154" s="425">
        <f>IF(WWWW[[#This Row],['# Functional hand washing stations during reporting period]]*100&gt;WWWW[[#This Row],[Total PoP ]],WWWW[[#This Row],[Total PoP ]],WWWW[[#This Row],['# Functional hand washing stations during reporting period]]*100)</f>
        <v>0</v>
      </c>
      <c r="EA154" s="425" t="str">
        <f>IF(OR(WWWW[[#This Row],['#_students at TLS_CFS]]="",WWWW[[#This Row],['#_students at TLS_CFS]]=0),"No","Yes")</f>
        <v>No</v>
      </c>
      <c r="EB15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4" s="570">
        <f>WWWW[[#This Row],[%_of_affected_people_surveyed_who_report_feeling_satistfied_with_the_latrine_design_and_sanitation_service]]*WWWW[[#This Row],[Total PoP ]]</f>
        <v>0</v>
      </c>
      <c r="ED154" s="570">
        <f>WWWW[[#This Row],[%_of_affected_people_surveyed_who_report_feeling_satistfied_with_the_water_point_design_and_water_service]]*WWWW[[#This Row],[Total PoP ]]</f>
        <v>0</v>
      </c>
      <c r="EE154" s="570">
        <f>WWWW[[#This Row],[%_of_complaints_received_that_result_in_timely_corrective_action_and_feedback_to_the_community]]*WWWW[[#This Row],[Total PoP ]]</f>
        <v>0</v>
      </c>
      <c r="EF15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4" s="964">
        <f>VLOOKUP(WWWW[[#This Row],[Site Name]],SiteDB6[[Site Name]:[CCCM Management]],6,FALSE)</f>
        <v>0</v>
      </c>
      <c r="EJ154" s="964" t="str">
        <f>VLOOKUP(WWWW[[#This Row],[Site Name]],SiteDB6[[Site Name]:[CCCM Focal Agency]],7,FALSE)</f>
        <v>Uncovered</v>
      </c>
      <c r="EK154" s="964" t="str">
        <f>VLOOKUP(WWWW[[#This Row],[Site Name]],SiteDB6[[Site Name]:[Location Type 1]],9,FALSE)</f>
        <v>Camp</v>
      </c>
      <c r="EL154" s="964" t="str">
        <f>VLOOKUP(WWWW[[#This Row],[Site Name]],SiteDB6[[Site Name]:[Type of Accommodation]],10,FALSE)</f>
        <v>Camp like setting</v>
      </c>
      <c r="EM154" s="964" t="str">
        <f>VLOOKUP(WWWW[[#This Row],[Site Name]],SiteDB6[[Site Name]:[Ethnic or GCA/NGCA]],11,FALSE)</f>
        <v>GCA</v>
      </c>
      <c r="EN154" s="964">
        <f>VLOOKUP(WWWW[[#This Row],[Site Name]],SiteDB6[[Site Name]:[Lat]],12,FALSE)</f>
        <v>0</v>
      </c>
      <c r="EO154" s="964" t="str">
        <f>VLOOKUP(WWWW[[#This Row],[Site Name]],SiteDB6[[Site Name]:[Long]],13,FALSE)</f>
        <v>not available</v>
      </c>
      <c r="EP154" s="964" t="str">
        <f>VLOOKUP(WWWW[[#This Row],[Site Name]],SiteDB6[[Site Name]:[Pcode]],3,FALSE)</f>
        <v>MMR015CMP087</v>
      </c>
      <c r="EQ154" s="969" t="str">
        <f t="shared" si="5"/>
        <v>Notcovered</v>
      </c>
      <c r="ER154" s="969"/>
      <c r="ES154" s="964">
        <f>VLOOKUP(WWWW[[#This Row],[Site Name]],SiteDB6[[Site Name]:[Pop
(Kachin/Shan-CCCM as of March 2023)]],16,FALSE)</f>
        <v>26</v>
      </c>
      <c r="ET154" s="964">
        <f>VLOOKUP(WWWW[[#This Row],[Site Name]],SiteDB6[[Site Name]:[Pop
(Kachin/Shan-CCCM as of March 2023)]],17,FALSE)</f>
        <v>135</v>
      </c>
    </row>
    <row r="155" spans="1:150" hidden="1">
      <c r="A155" s="962" t="s">
        <v>2977</v>
      </c>
      <c r="B155" s="962" t="s">
        <v>309</v>
      </c>
      <c r="C155" s="963" t="s">
        <v>309</v>
      </c>
      <c r="D155" s="963"/>
      <c r="E155" s="963" t="s">
        <v>515</v>
      </c>
      <c r="F155" s="963" t="s">
        <v>961</v>
      </c>
      <c r="G155" s="964" t="str">
        <f>VLOOKUP(WWWW[[#This Row],[Site Name]],SiteDB6[[Site Name]:[Location Type]],8,FALSE)</f>
        <v>Camp</v>
      </c>
      <c r="H155" s="963" t="s">
        <v>2992</v>
      </c>
      <c r="I155" s="965">
        <v>18</v>
      </c>
      <c r="J155" s="965">
        <v>123</v>
      </c>
      <c r="K155" s="966"/>
      <c r="L155" s="967"/>
      <c r="M155" s="965"/>
      <c r="N155" s="965"/>
      <c r="O155" s="965"/>
      <c r="P155" s="965"/>
      <c r="Q155" s="968"/>
      <c r="R155" s="965"/>
      <c r="S155" s="965"/>
      <c r="T155" s="445"/>
      <c r="U155" s="965"/>
      <c r="V155" s="965"/>
      <c r="W155" s="965"/>
      <c r="X155" s="965"/>
      <c r="Y155" s="965"/>
      <c r="Z155" s="965"/>
      <c r="AA155" s="965"/>
      <c r="AB155" s="965"/>
      <c r="AC155" s="965"/>
      <c r="AD155" s="965"/>
      <c r="AE155" s="965"/>
      <c r="AF155" s="965"/>
      <c r="AG155" s="965"/>
      <c r="AH155" s="965"/>
      <c r="AI155" s="965"/>
      <c r="AJ155" s="965"/>
      <c r="AK155" s="965"/>
      <c r="AL155" s="965"/>
      <c r="AM155" s="965"/>
      <c r="AN155" s="965"/>
      <c r="AO155" s="445"/>
      <c r="AP155" s="969"/>
      <c r="AQ155" s="965"/>
      <c r="AR155" s="965"/>
      <c r="AS155" s="970"/>
      <c r="AT155" s="965"/>
      <c r="AU155" s="965"/>
      <c r="AV155" s="965"/>
      <c r="AW155" s="965"/>
      <c r="AX155" s="965"/>
      <c r="AY155" s="964"/>
      <c r="AZ155" s="969"/>
      <c r="BA155" s="965"/>
      <c r="BB155" s="965"/>
      <c r="BC155" s="965"/>
      <c r="BD155" s="445"/>
      <c r="BE155" s="445"/>
      <c r="BF155" s="964"/>
      <c r="BG155" s="965"/>
      <c r="BH155" s="965"/>
      <c r="BI155" s="965"/>
      <c r="BJ155" s="965"/>
      <c r="BK155" s="965"/>
      <c r="BL155" s="965"/>
      <c r="BM155" s="965"/>
      <c r="BN155" s="965"/>
      <c r="BO155" s="965"/>
      <c r="BP155" s="964"/>
      <c r="BQ155" s="971"/>
      <c r="BR155" s="970"/>
      <c r="BS155" s="964"/>
      <c r="BT155" s="420"/>
      <c r="BU155" s="420"/>
      <c r="BV155" s="422"/>
      <c r="BW155" s="420"/>
      <c r="BX155" s="445"/>
      <c r="BY155" s="445"/>
      <c r="BZ155" s="445"/>
      <c r="CA155" s="445"/>
      <c r="CB155" s="445"/>
      <c r="CC155" s="702"/>
      <c r="CD155" s="445"/>
      <c r="CE155" s="972" t="str">
        <f>IFERROR(WWWW[[#This Row],['#_Water sources passed]]/WWWW[[#This Row],['#_Water sources tested for fecal coliform ]],"no test")</f>
        <v>no test</v>
      </c>
      <c r="CF155" s="970" t="str">
        <f>IFERROR(WWWW[[#This Row],['#_Household passed]]/WWWW[[#This Row],['#_Household water samples tested for fecal coliform]],"no test")</f>
        <v>no test</v>
      </c>
      <c r="CG155" s="971" t="str">
        <f>IF(AND(WWWW[[#This Row],[% of water sources passed]]="no test",WWWW[[#This Row],[% Household passed]]="no test"),"No Test","Tested")</f>
        <v>No Test</v>
      </c>
      <c r="CH155" s="971">
        <f>WWWW[[#This Row],['#_Constructed/existing protected hand dug well]]-WWWW[[#This Row],['#_Non-functional protected hand dug well]]</f>
        <v>0</v>
      </c>
      <c r="CI155" s="971">
        <f>(WWWW[[#This Row],['#_Constructed/Existing tube wells/boreholes/handpumps_WASH_agency]]+WWWW[[#This Row],['#_Non-Cluster partner water tube-wells/boreholes/handpumps]])-WWWW[[#This Row],['#_Non-functional tube wells/boreholes/handpumps]]</f>
        <v>0</v>
      </c>
      <c r="CJ155" s="971">
        <f>WWWW[[#This Row],['#_Constructed/Existingwater storage tank with gravity fed reticulation system]]-WWWW[[#This Row],['#_Non-functional storage tank gravity fed reticulation system]]</f>
        <v>0</v>
      </c>
      <c r="CK155" s="971">
        <f>(WWWW[[#This Row],['#_Water_Liters_supplied_by_Water boating or water trucking]]/90)/15</f>
        <v>0</v>
      </c>
      <c r="CL155" s="971">
        <f>WWWW[[#This Row],['#_Water_Liters_from_Constructed/Existing water distribution system from river or natural spring]]/90/15</f>
        <v>0</v>
      </c>
      <c r="CM155" s="421">
        <f>IF(WWWW[[#This Row],['#_of water points in TLS/CFS]]*500&gt;WWWW[[#This Row],[Total PoP ]],WWWW[[#This Row],[Total PoP ]],WWWW[[#This Row],['#_of water points in TLS/CFS]]*500)</f>
        <v>0</v>
      </c>
      <c r="CN155" s="421">
        <f>IF(WWWW[[#This Row],['#_of water points in THF]]*500&gt;WWWW[[#This Row],[Total PoP ]],WWWW[[#This Row],[Total PoP ]],WWWW[[#This Row],['#_of water points in THF]]*500)</f>
        <v>0</v>
      </c>
      <c r="CO155" s="421"/>
      <c r="CP15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5" s="970">
        <f>IF(WWWW[[#This Row],[Location Type 1]]="Village",WWWW[[#This Row],[Access to safe drinking water for Village]],WWWW[[#This Row],[Access to safe drinking water for Camp]])</f>
        <v>0</v>
      </c>
      <c r="CS155" s="968">
        <f>WWWW[[#This Row],[%Equitable and continuous access to sufficient quantity of safe drinking water]]*WWWW[[#This Row],[Total PoP ]]</f>
        <v>0</v>
      </c>
      <c r="CT155" s="970">
        <f>IF((WWWW[[#This Row],['#_Constructed/Existing protected/fenced ponds]]*250)/WWWW[[#This Row],[Total PoP ]]&gt;1,1,(WWWW[[#This Row],['#_Constructed/Existing protected/fenced ponds]]*250)/WWWW[[#This Row],[Total PoP ]])</f>
        <v>0</v>
      </c>
      <c r="CU155" s="968">
        <f>WWWW[[#This Row],[% Access to unimproved water points]]*WWWW[[#This Row],[Total PoP ]]</f>
        <v>0</v>
      </c>
      <c r="CV15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5" s="968">
        <f>WWWW[[#This Row],[HRP1]]/500</f>
        <v>0</v>
      </c>
      <c r="CY155" s="973">
        <f>1-WWWW[[#This Row],[% Equitable and continuous access to sufficient quantity of domestic water]]</f>
        <v>1</v>
      </c>
      <c r="CZ155" s="968">
        <f>WWWW[[#This Row],[%equitable and continuous access to sufficient quantity of safe drinking and domestic water''s GAP]]*WWWW[[#This Row],[Total PoP ]]</f>
        <v>123</v>
      </c>
      <c r="DA155" s="971">
        <f>IF(WWWW[[#This Row],[Total required water points]]-WWWW[[#This Row],['#Water points coverage]]&lt;0,0,WWWW[[#This Row],[Total required water points]]-WWWW[[#This Row],['#Water points coverage]])</f>
        <v>1</v>
      </c>
      <c r="DB155" s="971">
        <f>ROUND(IF(WWWW[[#This Row],[Total PoP ]]&lt;500,1,WWWW[[#This Row],[Total PoP ]]/500),0)</f>
        <v>1</v>
      </c>
      <c r="DC155" s="971">
        <f>(WWWW[[#This Row],['#_Constructed latrines_by_WASHAgencies]]+WWWW[[#This Row],['#_Non Cluster partner latrines]])-WWWW[[#This Row],['#_Non-functional latrines]]</f>
        <v>0</v>
      </c>
      <c r="DD155" s="619">
        <f>WWWW[[#This Row],[HRP2]]/WWWW[[#This Row],[Total PoP ]]</f>
        <v>0</v>
      </c>
      <c r="DE15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5" s="421">
        <f>IF(WWWW[[#This Row],['# of functional latrines in THF supported by WASH partners during the reporting period2]]="",0,WWWW[[#This Row],['# of functional latrines in THF supported by WASH partners during the reporting period2]]*50)</f>
        <v>0</v>
      </c>
      <c r="DI155" s="971">
        <f>ROUND(IF(WWWW[[#This Row],[Location Type 1]]="camp",WWWW[[#This Row],[Total PoP ]]/20,IF(WWWW[[#This Row],[Location Type 1]]="Temporary Location",WWWW[[#This Row],[Total PoP ]]/50,(WWWW[[#This Row],[Total PoP ]]/6))),0)</f>
        <v>6</v>
      </c>
      <c r="DJ155" s="971">
        <f>IF(WWWW[[#This Row],[Total required Latrines]]-(WWWW[[#This Row],['#_Constructed latrines_by_WASHAgencies]]+WWWW[[#This Row],['#_Non Cluster partner latrines]])&lt;0,0,WWWW[[#This Row],[Total required Latrines]]-(WWWW[[#This Row],['#_Constructed latrines_by_WASHAgencies]]+WWWW[[#This Row],['#_Non Cluster partner latrines]]))</f>
        <v>6</v>
      </c>
      <c r="DK155" s="973">
        <f>1-WWWW[[#This Row],[% people access to functioning Latrine]]</f>
        <v>1</v>
      </c>
      <c r="DL155" s="972">
        <f>IF(OR(WWWW[[#This Row],['#_Non-functional latrines]]="",WWWW[[#This Row],['#_Non-functional latrines]]=0),0,WWWW[[#This Row],['#_Non-functional latrines]]/(WWWW[[#This Row],['#_Constructed latrines_by_WASHAgencies]]+WWWW[[#This Row],['#_Non Cluster partner latrines]]))</f>
        <v>0</v>
      </c>
      <c r="DM155" s="968">
        <f>IF(500*(WWWW[[#This Row],['#_male hygiene promoters]]+WWWW[[#This Row],['#_female hygiene promoters]])&gt;WWWW[[#This Row],[Total PoP ]],WWWW[[#This Row],[Total PoP ]],500*(WWWW[[#This Row],['#_male hygiene promoters]]+WWWW[[#This Row],['#_female hygiene promoters]]))</f>
        <v>0</v>
      </c>
      <c r="DN15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5" s="971">
        <f>IF(WWWW[[#This Row],['# People with access to soap]]&gt;WWWW[[#This Row],['# People with access to Sanity Pads]],WWWW[[#This Row],['# People with access to soap]],WWWW[[#This Row],['# People with access to Sanity Pads]])</f>
        <v>0</v>
      </c>
      <c r="DQ15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5" s="973">
        <f>IF(WWWW[[#This Row],[HRP3]]/WWWW[[#This Row],[Total PoP ]]&gt;1,1,WWWW[[#This Row],[HRP3]]/WWWW[[#This Row],[Total PoP ]])</f>
        <v>0</v>
      </c>
      <c r="DS155" s="972">
        <f>1-WWWW[[#This Row],[Hygiene Coverage%]]</f>
        <v>1</v>
      </c>
      <c r="DT155" s="970">
        <f>WWWW[[#This Row],['# people reached by regular dedicated hygiene promotion_5]]/WWWW[[#This Row],[Total PoP ]]</f>
        <v>0</v>
      </c>
      <c r="DU15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5" s="971">
        <f>WWWW[[#This Row],['#_Constructed/Existing hand washing stations]]-WWWW[[#This Row],['#_Non-Functional_hand_washing_stations]]</f>
        <v>0</v>
      </c>
      <c r="DX155" s="968">
        <f>IF(WWWW[[#This Row],['# Functional hand washing stations during reporting period]]*20&gt;WWWW[[#This Row],[Total HH]],WWWW[[#This Row],[Total HH]],WWWW[[#This Row],['# Functional hand washing stations during reporting period]]*20)</f>
        <v>0</v>
      </c>
      <c r="DY155" s="968">
        <f>IF(WWWW[[#This Row],[Is sufficient soap available for TLS? (Yes/No)]]="yes",WWWW[[#This Row],['#_Constructed/Existing hand washing stations at TLS/CFS/THF]],0)</f>
        <v>0</v>
      </c>
      <c r="DZ155" s="425">
        <f>IF(WWWW[[#This Row],['# Functional hand washing stations during reporting period]]*100&gt;WWWW[[#This Row],[Total PoP ]],WWWW[[#This Row],[Total PoP ]],WWWW[[#This Row],['# Functional hand washing stations during reporting period]]*100)</f>
        <v>0</v>
      </c>
      <c r="EA155" s="425" t="str">
        <f>IF(OR(WWWW[[#This Row],['#_students at TLS_CFS]]="",WWWW[[#This Row],['#_students at TLS_CFS]]=0),"No","Yes")</f>
        <v>No</v>
      </c>
      <c r="EB15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5" s="570">
        <f>WWWW[[#This Row],[%_of_affected_people_surveyed_who_report_feeling_satistfied_with_the_latrine_design_and_sanitation_service]]*WWWW[[#This Row],[Total PoP ]]</f>
        <v>0</v>
      </c>
      <c r="ED155" s="570">
        <f>WWWW[[#This Row],[%_of_affected_people_surveyed_who_report_feeling_satistfied_with_the_water_point_design_and_water_service]]*WWWW[[#This Row],[Total PoP ]]</f>
        <v>0</v>
      </c>
      <c r="EE155" s="570">
        <f>WWWW[[#This Row],[%_of_complaints_received_that_result_in_timely_corrective_action_and_feedback_to_the_community]]*WWWW[[#This Row],[Total PoP ]]</f>
        <v>0</v>
      </c>
      <c r="EF15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5" s="964">
        <f>VLOOKUP(WWWW[[#This Row],[Site Name]],SiteDB6[[Site Name]:[CCCM Management]],6,FALSE)</f>
        <v>0</v>
      </c>
      <c r="EJ155" s="964" t="str">
        <f>VLOOKUP(WWWW[[#This Row],[Site Name]],SiteDB6[[Site Name]:[CCCM Focal Agency]],7,FALSE)</f>
        <v>Uncovered</v>
      </c>
      <c r="EK155" s="964" t="str">
        <f>VLOOKUP(WWWW[[#This Row],[Site Name]],SiteDB6[[Site Name]:[Location Type 1]],9,FALSE)</f>
        <v>Camp</v>
      </c>
      <c r="EL155" s="964" t="str">
        <f>VLOOKUP(WWWW[[#This Row],[Site Name]],SiteDB6[[Site Name]:[Type of Accommodation]],10,FALSE)</f>
        <v>Camp like setting</v>
      </c>
      <c r="EM155" s="964" t="str">
        <f>VLOOKUP(WWWW[[#This Row],[Site Name]],SiteDB6[[Site Name]:[Ethnic or GCA/NGCA]],11,FALSE)</f>
        <v>GCA</v>
      </c>
      <c r="EN155" s="964">
        <f>VLOOKUP(WWWW[[#This Row],[Site Name]],SiteDB6[[Site Name]:[Lat]],12,FALSE)</f>
        <v>0</v>
      </c>
      <c r="EO155" s="964" t="str">
        <f>VLOOKUP(WWWW[[#This Row],[Site Name]],SiteDB6[[Site Name]:[Long]],13,FALSE)</f>
        <v>not available</v>
      </c>
      <c r="EP155" s="964" t="str">
        <f>VLOOKUP(WWWW[[#This Row],[Site Name]],SiteDB6[[Site Name]:[Pcode]],3,FALSE)</f>
        <v>MMR015CMP088</v>
      </c>
      <c r="EQ155" s="969" t="str">
        <f t="shared" si="5"/>
        <v>Notcovered</v>
      </c>
      <c r="ER155" s="969"/>
      <c r="ES155" s="964">
        <f>VLOOKUP(WWWW[[#This Row],[Site Name]],SiteDB6[[Site Name]:[Pop
(Kachin/Shan-CCCM as of March 2023)]],16,FALSE)</f>
        <v>18</v>
      </c>
      <c r="ET155" s="964">
        <f>VLOOKUP(WWWW[[#This Row],[Site Name]],SiteDB6[[Site Name]:[Pop
(Kachin/Shan-CCCM as of March 2023)]],17,FALSE)</f>
        <v>123</v>
      </c>
    </row>
    <row r="156" spans="1:150" hidden="1">
      <c r="A156" s="962" t="s">
        <v>2977</v>
      </c>
      <c r="B156" s="962" t="s">
        <v>309</v>
      </c>
      <c r="C156" s="963" t="s">
        <v>309</v>
      </c>
      <c r="D156" s="963"/>
      <c r="E156" s="963" t="s">
        <v>515</v>
      </c>
      <c r="F156" s="963" t="s">
        <v>525</v>
      </c>
      <c r="G156" s="964" t="str">
        <f>VLOOKUP(WWWW[[#This Row],[Site Name]],SiteDB6[[Site Name]:[Location Type]],8,FALSE)</f>
        <v>Camp</v>
      </c>
      <c r="H156" s="963" t="s">
        <v>2994</v>
      </c>
      <c r="I156" s="965">
        <v>33</v>
      </c>
      <c r="J156" s="965">
        <v>130</v>
      </c>
      <c r="K156" s="966"/>
      <c r="L156" s="967"/>
      <c r="M156" s="965"/>
      <c r="N156" s="965"/>
      <c r="O156" s="965"/>
      <c r="P156" s="965"/>
      <c r="Q156" s="968"/>
      <c r="R156" s="965"/>
      <c r="S156" s="965"/>
      <c r="T156" s="445"/>
      <c r="U156" s="965"/>
      <c r="V156" s="965"/>
      <c r="W156" s="965"/>
      <c r="X156" s="965"/>
      <c r="Y156" s="965"/>
      <c r="Z156" s="965"/>
      <c r="AA156" s="965"/>
      <c r="AB156" s="965"/>
      <c r="AC156" s="965"/>
      <c r="AD156" s="965"/>
      <c r="AE156" s="965"/>
      <c r="AF156" s="965"/>
      <c r="AG156" s="965"/>
      <c r="AH156" s="965"/>
      <c r="AI156" s="965"/>
      <c r="AJ156" s="965"/>
      <c r="AK156" s="965"/>
      <c r="AL156" s="965"/>
      <c r="AM156" s="965"/>
      <c r="AN156" s="965"/>
      <c r="AO156" s="445"/>
      <c r="AP156" s="969"/>
      <c r="AQ156" s="965"/>
      <c r="AR156" s="965"/>
      <c r="AS156" s="970"/>
      <c r="AT156" s="965"/>
      <c r="AU156" s="965"/>
      <c r="AV156" s="965"/>
      <c r="AW156" s="965"/>
      <c r="AX156" s="965"/>
      <c r="AY156" s="964"/>
      <c r="AZ156" s="969"/>
      <c r="BA156" s="965"/>
      <c r="BB156" s="965"/>
      <c r="BC156" s="965"/>
      <c r="BD156" s="445"/>
      <c r="BE156" s="445"/>
      <c r="BF156" s="964"/>
      <c r="BG156" s="965"/>
      <c r="BH156" s="965"/>
      <c r="BI156" s="965"/>
      <c r="BJ156" s="965"/>
      <c r="BK156" s="965"/>
      <c r="BL156" s="965"/>
      <c r="BM156" s="965"/>
      <c r="BN156" s="965"/>
      <c r="BO156" s="965"/>
      <c r="BP156" s="964"/>
      <c r="BQ156" s="971"/>
      <c r="BR156" s="970"/>
      <c r="BS156" s="964"/>
      <c r="BT156" s="420"/>
      <c r="BU156" s="420"/>
      <c r="BV156" s="422"/>
      <c r="BW156" s="420"/>
      <c r="BX156" s="445"/>
      <c r="BY156" s="445"/>
      <c r="BZ156" s="445"/>
      <c r="CA156" s="445"/>
      <c r="CB156" s="445"/>
      <c r="CC156" s="702"/>
      <c r="CD156" s="445"/>
      <c r="CE156" s="972" t="str">
        <f>IFERROR(WWWW[[#This Row],['#_Water sources passed]]/WWWW[[#This Row],['#_Water sources tested for fecal coliform ]],"no test")</f>
        <v>no test</v>
      </c>
      <c r="CF156" s="970" t="str">
        <f>IFERROR(WWWW[[#This Row],['#_Household passed]]/WWWW[[#This Row],['#_Household water samples tested for fecal coliform]],"no test")</f>
        <v>no test</v>
      </c>
      <c r="CG156" s="971" t="str">
        <f>IF(AND(WWWW[[#This Row],[% of water sources passed]]="no test",WWWW[[#This Row],[% Household passed]]="no test"),"No Test","Tested")</f>
        <v>No Test</v>
      </c>
      <c r="CH156" s="971">
        <f>WWWW[[#This Row],['#_Constructed/existing protected hand dug well]]-WWWW[[#This Row],['#_Non-functional protected hand dug well]]</f>
        <v>0</v>
      </c>
      <c r="CI156" s="971">
        <f>(WWWW[[#This Row],['#_Constructed/Existing tube wells/boreholes/handpumps_WASH_agency]]+WWWW[[#This Row],['#_Non-Cluster partner water tube-wells/boreholes/handpumps]])-WWWW[[#This Row],['#_Non-functional tube wells/boreholes/handpumps]]</f>
        <v>0</v>
      </c>
      <c r="CJ156" s="971">
        <f>WWWW[[#This Row],['#_Constructed/Existingwater storage tank with gravity fed reticulation system]]-WWWW[[#This Row],['#_Non-functional storage tank gravity fed reticulation system]]</f>
        <v>0</v>
      </c>
      <c r="CK156" s="971">
        <f>(WWWW[[#This Row],['#_Water_Liters_supplied_by_Water boating or water trucking]]/90)/15</f>
        <v>0</v>
      </c>
      <c r="CL156" s="971">
        <f>WWWW[[#This Row],['#_Water_Liters_from_Constructed/Existing water distribution system from river or natural spring]]/90/15</f>
        <v>0</v>
      </c>
      <c r="CM156" s="421">
        <f>IF(WWWW[[#This Row],['#_of water points in TLS/CFS]]*500&gt;WWWW[[#This Row],[Total PoP ]],WWWW[[#This Row],[Total PoP ]],WWWW[[#This Row],['#_of water points in TLS/CFS]]*500)</f>
        <v>0</v>
      </c>
      <c r="CN156" s="421">
        <f>IF(WWWW[[#This Row],['#_of water points in THF]]*500&gt;WWWW[[#This Row],[Total PoP ]],WWWW[[#This Row],[Total PoP ]],WWWW[[#This Row],['#_of water points in THF]]*500)</f>
        <v>0</v>
      </c>
      <c r="CO156" s="421"/>
      <c r="CP15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6" s="970">
        <f>IF(WWWW[[#This Row],[Location Type 1]]="Village",WWWW[[#This Row],[Access to safe drinking water for Village]],WWWW[[#This Row],[Access to safe drinking water for Camp]])</f>
        <v>0</v>
      </c>
      <c r="CS156" s="968">
        <f>WWWW[[#This Row],[%Equitable and continuous access to sufficient quantity of safe drinking water]]*WWWW[[#This Row],[Total PoP ]]</f>
        <v>0</v>
      </c>
      <c r="CT156" s="970">
        <f>IF((WWWW[[#This Row],['#_Constructed/Existing protected/fenced ponds]]*250)/WWWW[[#This Row],[Total PoP ]]&gt;1,1,(WWWW[[#This Row],['#_Constructed/Existing protected/fenced ponds]]*250)/WWWW[[#This Row],[Total PoP ]])</f>
        <v>0</v>
      </c>
      <c r="CU156" s="968">
        <f>WWWW[[#This Row],[% Access to unimproved water points]]*WWWW[[#This Row],[Total PoP ]]</f>
        <v>0</v>
      </c>
      <c r="CV15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6" s="968">
        <f>WWWW[[#This Row],[HRP1]]/500</f>
        <v>0</v>
      </c>
      <c r="CY156" s="973">
        <f>1-WWWW[[#This Row],[% Equitable and continuous access to sufficient quantity of domestic water]]</f>
        <v>1</v>
      </c>
      <c r="CZ156" s="968">
        <f>WWWW[[#This Row],[%equitable and continuous access to sufficient quantity of safe drinking and domestic water''s GAP]]*WWWW[[#This Row],[Total PoP ]]</f>
        <v>130</v>
      </c>
      <c r="DA156" s="971">
        <f>IF(WWWW[[#This Row],[Total required water points]]-WWWW[[#This Row],['#Water points coverage]]&lt;0,0,WWWW[[#This Row],[Total required water points]]-WWWW[[#This Row],['#Water points coverage]])</f>
        <v>1</v>
      </c>
      <c r="DB156" s="971">
        <f>ROUND(IF(WWWW[[#This Row],[Total PoP ]]&lt;500,1,WWWW[[#This Row],[Total PoP ]]/500),0)</f>
        <v>1</v>
      </c>
      <c r="DC156" s="971">
        <f>(WWWW[[#This Row],['#_Constructed latrines_by_WASHAgencies]]+WWWW[[#This Row],['#_Non Cluster partner latrines]])-WWWW[[#This Row],['#_Non-functional latrines]]</f>
        <v>0</v>
      </c>
      <c r="DD156" s="619">
        <f>WWWW[[#This Row],[HRP2]]/WWWW[[#This Row],[Total PoP ]]</f>
        <v>0</v>
      </c>
      <c r="DE15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6" s="421">
        <f>IF(WWWW[[#This Row],['# of functional latrines in THF supported by WASH partners during the reporting period2]]="",0,WWWW[[#This Row],['# of functional latrines in THF supported by WASH partners during the reporting period2]]*50)</f>
        <v>0</v>
      </c>
      <c r="DI156" s="971">
        <f>ROUND(IF(WWWW[[#This Row],[Location Type 1]]="camp",WWWW[[#This Row],[Total PoP ]]/20,IF(WWWW[[#This Row],[Location Type 1]]="Temporary Location",WWWW[[#This Row],[Total PoP ]]/50,(WWWW[[#This Row],[Total PoP ]]/6))),0)</f>
        <v>7</v>
      </c>
      <c r="DJ156" s="971">
        <f>IF(WWWW[[#This Row],[Total required Latrines]]-(WWWW[[#This Row],['#_Constructed latrines_by_WASHAgencies]]+WWWW[[#This Row],['#_Non Cluster partner latrines]])&lt;0,0,WWWW[[#This Row],[Total required Latrines]]-(WWWW[[#This Row],['#_Constructed latrines_by_WASHAgencies]]+WWWW[[#This Row],['#_Non Cluster partner latrines]]))</f>
        <v>7</v>
      </c>
      <c r="DK156" s="973">
        <f>1-WWWW[[#This Row],[% people access to functioning Latrine]]</f>
        <v>1</v>
      </c>
      <c r="DL156" s="972">
        <f>IF(OR(WWWW[[#This Row],['#_Non-functional latrines]]="",WWWW[[#This Row],['#_Non-functional latrines]]=0),0,WWWW[[#This Row],['#_Non-functional latrines]]/(WWWW[[#This Row],['#_Constructed latrines_by_WASHAgencies]]+WWWW[[#This Row],['#_Non Cluster partner latrines]]))</f>
        <v>0</v>
      </c>
      <c r="DM156" s="968">
        <f>IF(500*(WWWW[[#This Row],['#_male hygiene promoters]]+WWWW[[#This Row],['#_female hygiene promoters]])&gt;WWWW[[#This Row],[Total PoP ]],WWWW[[#This Row],[Total PoP ]],500*(WWWW[[#This Row],['#_male hygiene promoters]]+WWWW[[#This Row],['#_female hygiene promoters]]))</f>
        <v>0</v>
      </c>
      <c r="DN15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6" s="971">
        <f>IF(WWWW[[#This Row],['# People with access to soap]]&gt;WWWW[[#This Row],['# People with access to Sanity Pads]],WWWW[[#This Row],['# People with access to soap]],WWWW[[#This Row],['# People with access to Sanity Pads]])</f>
        <v>0</v>
      </c>
      <c r="DQ15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6" s="973">
        <f>IF(WWWW[[#This Row],[HRP3]]/WWWW[[#This Row],[Total PoP ]]&gt;1,1,WWWW[[#This Row],[HRP3]]/WWWW[[#This Row],[Total PoP ]])</f>
        <v>0</v>
      </c>
      <c r="DS156" s="972">
        <f>1-WWWW[[#This Row],[Hygiene Coverage%]]</f>
        <v>1</v>
      </c>
      <c r="DT156" s="970">
        <f>WWWW[[#This Row],['# people reached by regular dedicated hygiene promotion_5]]/WWWW[[#This Row],[Total PoP ]]</f>
        <v>0</v>
      </c>
      <c r="DU15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6" s="971">
        <f>WWWW[[#This Row],['#_Constructed/Existing hand washing stations]]-WWWW[[#This Row],['#_Non-Functional_hand_washing_stations]]</f>
        <v>0</v>
      </c>
      <c r="DX156" s="968">
        <f>IF(WWWW[[#This Row],['# Functional hand washing stations during reporting period]]*20&gt;WWWW[[#This Row],[Total HH]],WWWW[[#This Row],[Total HH]],WWWW[[#This Row],['# Functional hand washing stations during reporting period]]*20)</f>
        <v>0</v>
      </c>
      <c r="DY156" s="968">
        <f>IF(WWWW[[#This Row],[Is sufficient soap available for TLS? (Yes/No)]]="yes",WWWW[[#This Row],['#_Constructed/Existing hand washing stations at TLS/CFS/THF]],0)</f>
        <v>0</v>
      </c>
      <c r="DZ156" s="425">
        <f>IF(WWWW[[#This Row],['# Functional hand washing stations during reporting period]]*100&gt;WWWW[[#This Row],[Total PoP ]],WWWW[[#This Row],[Total PoP ]],WWWW[[#This Row],['# Functional hand washing stations during reporting period]]*100)</f>
        <v>0</v>
      </c>
      <c r="EA156" s="425" t="str">
        <f>IF(OR(WWWW[[#This Row],['#_students at TLS_CFS]]="",WWWW[[#This Row],['#_students at TLS_CFS]]=0),"No","Yes")</f>
        <v>No</v>
      </c>
      <c r="EB15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6" s="570">
        <f>WWWW[[#This Row],[%_of_affected_people_surveyed_who_report_feeling_satistfied_with_the_latrine_design_and_sanitation_service]]*WWWW[[#This Row],[Total PoP ]]</f>
        <v>0</v>
      </c>
      <c r="ED156" s="570">
        <f>WWWW[[#This Row],[%_of_affected_people_surveyed_who_report_feeling_satistfied_with_the_water_point_design_and_water_service]]*WWWW[[#This Row],[Total PoP ]]</f>
        <v>0</v>
      </c>
      <c r="EE156" s="570">
        <f>WWWW[[#This Row],[%_of_complaints_received_that_result_in_timely_corrective_action_and_feedback_to_the_community]]*WWWW[[#This Row],[Total PoP ]]</f>
        <v>0</v>
      </c>
      <c r="EF15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6" s="964">
        <f>VLOOKUP(WWWW[[#This Row],[Site Name]],SiteDB6[[Site Name]:[CCCM Management]],6,FALSE)</f>
        <v>0</v>
      </c>
      <c r="EJ156" s="964" t="str">
        <f>VLOOKUP(WWWW[[#This Row],[Site Name]],SiteDB6[[Site Name]:[CCCM Focal Agency]],7,FALSE)</f>
        <v>Uncovered</v>
      </c>
      <c r="EK156" s="964" t="str">
        <f>VLOOKUP(WWWW[[#This Row],[Site Name]],SiteDB6[[Site Name]:[Location Type 1]],9,FALSE)</f>
        <v>Camp</v>
      </c>
      <c r="EL156" s="964" t="str">
        <f>VLOOKUP(WWWW[[#This Row],[Site Name]],SiteDB6[[Site Name]:[Type of Accommodation]],10,FALSE)</f>
        <v>Camp like setting</v>
      </c>
      <c r="EM156" s="964" t="str">
        <f>VLOOKUP(WWWW[[#This Row],[Site Name]],SiteDB6[[Site Name]:[Ethnic or GCA/NGCA]],11,FALSE)</f>
        <v>GCA</v>
      </c>
      <c r="EN156" s="964">
        <f>VLOOKUP(WWWW[[#This Row],[Site Name]],SiteDB6[[Site Name]:[Lat]],12,FALSE)</f>
        <v>0</v>
      </c>
      <c r="EO156" s="964" t="str">
        <f>VLOOKUP(WWWW[[#This Row],[Site Name]],SiteDB6[[Site Name]:[Long]],13,FALSE)</f>
        <v>not available</v>
      </c>
      <c r="EP156" s="964" t="str">
        <f>VLOOKUP(WWWW[[#This Row],[Site Name]],SiteDB6[[Site Name]:[Pcode]],3,FALSE)</f>
        <v>MMR015CMP090</v>
      </c>
      <c r="EQ156" s="969" t="str">
        <f t="shared" si="5"/>
        <v>Notcovered</v>
      </c>
      <c r="ER156" s="969"/>
      <c r="ES156" s="964">
        <f>VLOOKUP(WWWW[[#This Row],[Site Name]],SiteDB6[[Site Name]:[Pop
(Kachin/Shan-CCCM as of March 2023)]],16,FALSE)</f>
        <v>33</v>
      </c>
      <c r="ET156" s="964">
        <f>VLOOKUP(WWWW[[#This Row],[Site Name]],SiteDB6[[Site Name]:[Pop
(Kachin/Shan-CCCM as of March 2023)]],17,FALSE)</f>
        <v>130</v>
      </c>
    </row>
    <row r="157" spans="1:150" hidden="1">
      <c r="A157" s="962" t="s">
        <v>2977</v>
      </c>
      <c r="B157" s="962" t="s">
        <v>309</v>
      </c>
      <c r="C157" s="963" t="s">
        <v>309</v>
      </c>
      <c r="D157" s="963"/>
      <c r="E157" s="963" t="s">
        <v>515</v>
      </c>
      <c r="F157" s="963" t="s">
        <v>961</v>
      </c>
      <c r="G157" s="964" t="str">
        <f>VLOOKUP(WWWW[[#This Row],[Site Name]],SiteDB6[[Site Name]:[Location Type]],8,FALSE)</f>
        <v>Camp</v>
      </c>
      <c r="H157" s="963" t="s">
        <v>2997</v>
      </c>
      <c r="I157" s="965">
        <v>62</v>
      </c>
      <c r="J157" s="965">
        <v>144</v>
      </c>
      <c r="K157" s="966"/>
      <c r="L157" s="967"/>
      <c r="M157" s="965"/>
      <c r="N157" s="965"/>
      <c r="O157" s="965"/>
      <c r="P157" s="965"/>
      <c r="Q157" s="968"/>
      <c r="R157" s="965"/>
      <c r="S157" s="965"/>
      <c r="T157" s="445"/>
      <c r="U157" s="965"/>
      <c r="V157" s="965"/>
      <c r="W157" s="965"/>
      <c r="X157" s="965"/>
      <c r="Y157" s="965"/>
      <c r="Z157" s="965"/>
      <c r="AA157" s="965"/>
      <c r="AB157" s="965"/>
      <c r="AC157" s="965"/>
      <c r="AD157" s="965"/>
      <c r="AE157" s="965"/>
      <c r="AF157" s="965"/>
      <c r="AG157" s="965"/>
      <c r="AH157" s="965"/>
      <c r="AI157" s="965"/>
      <c r="AJ157" s="965"/>
      <c r="AK157" s="965"/>
      <c r="AL157" s="965"/>
      <c r="AM157" s="965"/>
      <c r="AN157" s="965"/>
      <c r="AO157" s="445"/>
      <c r="AP157" s="969"/>
      <c r="AQ157" s="965"/>
      <c r="AR157" s="965"/>
      <c r="AS157" s="970"/>
      <c r="AT157" s="965"/>
      <c r="AU157" s="965"/>
      <c r="AV157" s="965"/>
      <c r="AW157" s="965"/>
      <c r="AX157" s="965"/>
      <c r="AY157" s="964"/>
      <c r="AZ157" s="969"/>
      <c r="BA157" s="965"/>
      <c r="BB157" s="965"/>
      <c r="BC157" s="965"/>
      <c r="BD157" s="445"/>
      <c r="BE157" s="445"/>
      <c r="BF157" s="964"/>
      <c r="BG157" s="965"/>
      <c r="BH157" s="965"/>
      <c r="BI157" s="965"/>
      <c r="BJ157" s="965"/>
      <c r="BK157" s="965"/>
      <c r="BL157" s="965"/>
      <c r="BM157" s="965"/>
      <c r="BN157" s="965"/>
      <c r="BO157" s="965"/>
      <c r="BP157" s="964"/>
      <c r="BQ157" s="971"/>
      <c r="BR157" s="970"/>
      <c r="BS157" s="964"/>
      <c r="BT157" s="420"/>
      <c r="BU157" s="420"/>
      <c r="BV157" s="422"/>
      <c r="BW157" s="420"/>
      <c r="BX157" s="445"/>
      <c r="BY157" s="445"/>
      <c r="BZ157" s="445"/>
      <c r="CA157" s="445"/>
      <c r="CB157" s="445"/>
      <c r="CC157" s="702"/>
      <c r="CD157" s="445"/>
      <c r="CE157" s="972" t="str">
        <f>IFERROR(WWWW[[#This Row],['#_Water sources passed]]/WWWW[[#This Row],['#_Water sources tested for fecal coliform ]],"no test")</f>
        <v>no test</v>
      </c>
      <c r="CF157" s="970" t="str">
        <f>IFERROR(WWWW[[#This Row],['#_Household passed]]/WWWW[[#This Row],['#_Household water samples tested for fecal coliform]],"no test")</f>
        <v>no test</v>
      </c>
      <c r="CG157" s="971" t="str">
        <f>IF(AND(WWWW[[#This Row],[% of water sources passed]]="no test",WWWW[[#This Row],[% Household passed]]="no test"),"No Test","Tested")</f>
        <v>No Test</v>
      </c>
      <c r="CH157" s="971">
        <f>WWWW[[#This Row],['#_Constructed/existing protected hand dug well]]-WWWW[[#This Row],['#_Non-functional protected hand dug well]]</f>
        <v>0</v>
      </c>
      <c r="CI157" s="971">
        <f>(WWWW[[#This Row],['#_Constructed/Existing tube wells/boreholes/handpumps_WASH_agency]]+WWWW[[#This Row],['#_Non-Cluster partner water tube-wells/boreholes/handpumps]])-WWWW[[#This Row],['#_Non-functional tube wells/boreholes/handpumps]]</f>
        <v>0</v>
      </c>
      <c r="CJ157" s="971">
        <f>WWWW[[#This Row],['#_Constructed/Existingwater storage tank with gravity fed reticulation system]]-WWWW[[#This Row],['#_Non-functional storage tank gravity fed reticulation system]]</f>
        <v>0</v>
      </c>
      <c r="CK157" s="971">
        <f>(WWWW[[#This Row],['#_Water_Liters_supplied_by_Water boating or water trucking]]/90)/15</f>
        <v>0</v>
      </c>
      <c r="CL157" s="971">
        <f>WWWW[[#This Row],['#_Water_Liters_from_Constructed/Existing water distribution system from river or natural spring]]/90/15</f>
        <v>0</v>
      </c>
      <c r="CM157" s="421">
        <f>IF(WWWW[[#This Row],['#_of water points in TLS/CFS]]*500&gt;WWWW[[#This Row],[Total PoP ]],WWWW[[#This Row],[Total PoP ]],WWWW[[#This Row],['#_of water points in TLS/CFS]]*500)</f>
        <v>0</v>
      </c>
      <c r="CN157" s="421">
        <f>IF(WWWW[[#This Row],['#_of water points in THF]]*500&gt;WWWW[[#This Row],[Total PoP ]],WWWW[[#This Row],[Total PoP ]],WWWW[[#This Row],['#_of water points in THF]]*500)</f>
        <v>0</v>
      </c>
      <c r="CO157" s="421"/>
      <c r="CP15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7" s="970">
        <f>IF(WWWW[[#This Row],[Location Type 1]]="Village",WWWW[[#This Row],[Access to safe drinking water for Village]],WWWW[[#This Row],[Access to safe drinking water for Camp]])</f>
        <v>0</v>
      </c>
      <c r="CS157" s="968">
        <f>WWWW[[#This Row],[%Equitable and continuous access to sufficient quantity of safe drinking water]]*WWWW[[#This Row],[Total PoP ]]</f>
        <v>0</v>
      </c>
      <c r="CT157" s="970">
        <f>IF((WWWW[[#This Row],['#_Constructed/Existing protected/fenced ponds]]*250)/WWWW[[#This Row],[Total PoP ]]&gt;1,1,(WWWW[[#This Row],['#_Constructed/Existing protected/fenced ponds]]*250)/WWWW[[#This Row],[Total PoP ]])</f>
        <v>0</v>
      </c>
      <c r="CU157" s="968">
        <f>WWWW[[#This Row],[% Access to unimproved water points]]*WWWW[[#This Row],[Total PoP ]]</f>
        <v>0</v>
      </c>
      <c r="CV15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7" s="968">
        <f>WWWW[[#This Row],[HRP1]]/500</f>
        <v>0</v>
      </c>
      <c r="CY157" s="973">
        <f>1-WWWW[[#This Row],[% Equitable and continuous access to sufficient quantity of domestic water]]</f>
        <v>1</v>
      </c>
      <c r="CZ157" s="968">
        <f>WWWW[[#This Row],[%equitable and continuous access to sufficient quantity of safe drinking and domestic water''s GAP]]*WWWW[[#This Row],[Total PoP ]]</f>
        <v>144</v>
      </c>
      <c r="DA157" s="971">
        <f>IF(WWWW[[#This Row],[Total required water points]]-WWWW[[#This Row],['#Water points coverage]]&lt;0,0,WWWW[[#This Row],[Total required water points]]-WWWW[[#This Row],['#Water points coverage]])</f>
        <v>1</v>
      </c>
      <c r="DB157" s="971">
        <f>ROUND(IF(WWWW[[#This Row],[Total PoP ]]&lt;500,1,WWWW[[#This Row],[Total PoP ]]/500),0)</f>
        <v>1</v>
      </c>
      <c r="DC157" s="971">
        <f>(WWWW[[#This Row],['#_Constructed latrines_by_WASHAgencies]]+WWWW[[#This Row],['#_Non Cluster partner latrines]])-WWWW[[#This Row],['#_Non-functional latrines]]</f>
        <v>0</v>
      </c>
      <c r="DD157" s="619">
        <f>WWWW[[#This Row],[HRP2]]/WWWW[[#This Row],[Total PoP ]]</f>
        <v>0</v>
      </c>
      <c r="DE15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7" s="421">
        <f>IF(WWWW[[#This Row],['# of functional latrines in THF supported by WASH partners during the reporting period2]]="",0,WWWW[[#This Row],['# of functional latrines in THF supported by WASH partners during the reporting period2]]*50)</f>
        <v>0</v>
      </c>
      <c r="DI157" s="971">
        <f>ROUND(IF(WWWW[[#This Row],[Location Type 1]]="camp",WWWW[[#This Row],[Total PoP ]]/20,IF(WWWW[[#This Row],[Location Type 1]]="Temporary Location",WWWW[[#This Row],[Total PoP ]]/50,(WWWW[[#This Row],[Total PoP ]]/6))),0)</f>
        <v>7</v>
      </c>
      <c r="DJ157" s="971">
        <f>IF(WWWW[[#This Row],[Total required Latrines]]-(WWWW[[#This Row],['#_Constructed latrines_by_WASHAgencies]]+WWWW[[#This Row],['#_Non Cluster partner latrines]])&lt;0,0,WWWW[[#This Row],[Total required Latrines]]-(WWWW[[#This Row],['#_Constructed latrines_by_WASHAgencies]]+WWWW[[#This Row],['#_Non Cluster partner latrines]]))</f>
        <v>7</v>
      </c>
      <c r="DK157" s="973">
        <f>1-WWWW[[#This Row],[% people access to functioning Latrine]]</f>
        <v>1</v>
      </c>
      <c r="DL157" s="972">
        <f>IF(OR(WWWW[[#This Row],['#_Non-functional latrines]]="",WWWW[[#This Row],['#_Non-functional latrines]]=0),0,WWWW[[#This Row],['#_Non-functional latrines]]/(WWWW[[#This Row],['#_Constructed latrines_by_WASHAgencies]]+WWWW[[#This Row],['#_Non Cluster partner latrines]]))</f>
        <v>0</v>
      </c>
      <c r="DM157" s="968">
        <f>IF(500*(WWWW[[#This Row],['#_male hygiene promoters]]+WWWW[[#This Row],['#_female hygiene promoters]])&gt;WWWW[[#This Row],[Total PoP ]],WWWW[[#This Row],[Total PoP ]],500*(WWWW[[#This Row],['#_male hygiene promoters]]+WWWW[[#This Row],['#_female hygiene promoters]]))</f>
        <v>0</v>
      </c>
      <c r="DN15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7" s="971">
        <f>IF(WWWW[[#This Row],['# People with access to soap]]&gt;WWWW[[#This Row],['# People with access to Sanity Pads]],WWWW[[#This Row],['# People with access to soap]],WWWW[[#This Row],['# People with access to Sanity Pads]])</f>
        <v>0</v>
      </c>
      <c r="DQ15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7" s="973">
        <f>IF(WWWW[[#This Row],[HRP3]]/WWWW[[#This Row],[Total PoP ]]&gt;1,1,WWWW[[#This Row],[HRP3]]/WWWW[[#This Row],[Total PoP ]])</f>
        <v>0</v>
      </c>
      <c r="DS157" s="972">
        <f>1-WWWW[[#This Row],[Hygiene Coverage%]]</f>
        <v>1</v>
      </c>
      <c r="DT157" s="970">
        <f>WWWW[[#This Row],['# people reached by regular dedicated hygiene promotion_5]]/WWWW[[#This Row],[Total PoP ]]</f>
        <v>0</v>
      </c>
      <c r="DU15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7" s="971">
        <f>WWWW[[#This Row],['#_Constructed/Existing hand washing stations]]-WWWW[[#This Row],['#_Non-Functional_hand_washing_stations]]</f>
        <v>0</v>
      </c>
      <c r="DX157" s="968">
        <f>IF(WWWW[[#This Row],['# Functional hand washing stations during reporting period]]*20&gt;WWWW[[#This Row],[Total HH]],WWWW[[#This Row],[Total HH]],WWWW[[#This Row],['# Functional hand washing stations during reporting period]]*20)</f>
        <v>0</v>
      </c>
      <c r="DY157" s="968">
        <f>IF(WWWW[[#This Row],[Is sufficient soap available for TLS? (Yes/No)]]="yes",WWWW[[#This Row],['#_Constructed/Existing hand washing stations at TLS/CFS/THF]],0)</f>
        <v>0</v>
      </c>
      <c r="DZ157" s="425">
        <f>IF(WWWW[[#This Row],['# Functional hand washing stations during reporting period]]*100&gt;WWWW[[#This Row],[Total PoP ]],WWWW[[#This Row],[Total PoP ]],WWWW[[#This Row],['# Functional hand washing stations during reporting period]]*100)</f>
        <v>0</v>
      </c>
      <c r="EA157" s="425" t="str">
        <f>IF(OR(WWWW[[#This Row],['#_students at TLS_CFS]]="",WWWW[[#This Row],['#_students at TLS_CFS]]=0),"No","Yes")</f>
        <v>No</v>
      </c>
      <c r="EB15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7" s="570">
        <f>WWWW[[#This Row],[%_of_affected_people_surveyed_who_report_feeling_satistfied_with_the_latrine_design_and_sanitation_service]]*WWWW[[#This Row],[Total PoP ]]</f>
        <v>0</v>
      </c>
      <c r="ED157" s="570">
        <f>WWWW[[#This Row],[%_of_affected_people_surveyed_who_report_feeling_satistfied_with_the_water_point_design_and_water_service]]*WWWW[[#This Row],[Total PoP ]]</f>
        <v>0</v>
      </c>
      <c r="EE157" s="570">
        <f>WWWW[[#This Row],[%_of_complaints_received_that_result_in_timely_corrective_action_and_feedback_to_the_community]]*WWWW[[#This Row],[Total PoP ]]</f>
        <v>0</v>
      </c>
      <c r="EF15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7" s="964">
        <f>VLOOKUP(WWWW[[#This Row],[Site Name]],SiteDB6[[Site Name]:[CCCM Management]],6,FALSE)</f>
        <v>0</v>
      </c>
      <c r="EJ157" s="964" t="str">
        <f>VLOOKUP(WWWW[[#This Row],[Site Name]],SiteDB6[[Site Name]:[CCCM Focal Agency]],7,FALSE)</f>
        <v>Uncovered</v>
      </c>
      <c r="EK157" s="964" t="str">
        <f>VLOOKUP(WWWW[[#This Row],[Site Name]],SiteDB6[[Site Name]:[Location Type 1]],9,FALSE)</f>
        <v>Camp</v>
      </c>
      <c r="EL157" s="964" t="str">
        <f>VLOOKUP(WWWW[[#This Row],[Site Name]],SiteDB6[[Site Name]:[Type of Accommodation]],10,FALSE)</f>
        <v>Camp like setting</v>
      </c>
      <c r="EM157" s="964" t="str">
        <f>VLOOKUP(WWWW[[#This Row],[Site Name]],SiteDB6[[Site Name]:[Ethnic or GCA/NGCA]],11,FALSE)</f>
        <v>GCA</v>
      </c>
      <c r="EN157" s="964">
        <f>VLOOKUP(WWWW[[#This Row],[Site Name]],SiteDB6[[Site Name]:[Lat]],12,FALSE)</f>
        <v>0</v>
      </c>
      <c r="EO157" s="964" t="str">
        <f>VLOOKUP(WWWW[[#This Row],[Site Name]],SiteDB6[[Site Name]:[Long]],13,FALSE)</f>
        <v>not available</v>
      </c>
      <c r="EP157" s="964" t="str">
        <f>VLOOKUP(WWWW[[#This Row],[Site Name]],SiteDB6[[Site Name]:[Pcode]],3,FALSE)</f>
        <v>MMR015CMP091</v>
      </c>
      <c r="EQ157" s="969" t="str">
        <f t="shared" si="5"/>
        <v>Notcovered</v>
      </c>
      <c r="ER157" s="969"/>
      <c r="ES157" s="964">
        <f>VLOOKUP(WWWW[[#This Row],[Site Name]],SiteDB6[[Site Name]:[Pop
(Kachin/Shan-CCCM as of March 2023)]],16,FALSE)</f>
        <v>62</v>
      </c>
      <c r="ET157" s="964">
        <f>VLOOKUP(WWWW[[#This Row],[Site Name]],SiteDB6[[Site Name]:[Pop
(Kachin/Shan-CCCM as of March 2023)]],17,FALSE)</f>
        <v>144</v>
      </c>
    </row>
    <row r="158" spans="1:150" hidden="1">
      <c r="A158" s="962" t="s">
        <v>2977</v>
      </c>
      <c r="B158" s="962" t="s">
        <v>309</v>
      </c>
      <c r="C158" s="963" t="s">
        <v>309</v>
      </c>
      <c r="D158" s="963"/>
      <c r="E158" s="963" t="s">
        <v>515</v>
      </c>
      <c r="F158" s="963" t="s">
        <v>961</v>
      </c>
      <c r="G158" s="964" t="str">
        <f>VLOOKUP(WWWW[[#This Row],[Site Name]],SiteDB6[[Site Name]:[Location Type]],8,FALSE)</f>
        <v>Camp</v>
      </c>
      <c r="H158" s="963" t="s">
        <v>2998</v>
      </c>
      <c r="I158" s="965">
        <v>20</v>
      </c>
      <c r="J158" s="965">
        <v>61</v>
      </c>
      <c r="K158" s="966"/>
      <c r="L158" s="967"/>
      <c r="M158" s="965"/>
      <c r="N158" s="965"/>
      <c r="O158" s="965"/>
      <c r="P158" s="965"/>
      <c r="Q158" s="968"/>
      <c r="R158" s="965"/>
      <c r="S158" s="965"/>
      <c r="T158" s="445"/>
      <c r="U158" s="965"/>
      <c r="V158" s="965"/>
      <c r="W158" s="965"/>
      <c r="X158" s="965"/>
      <c r="Y158" s="965"/>
      <c r="Z158" s="965"/>
      <c r="AA158" s="965"/>
      <c r="AB158" s="965"/>
      <c r="AC158" s="965"/>
      <c r="AD158" s="965"/>
      <c r="AE158" s="965"/>
      <c r="AF158" s="965"/>
      <c r="AG158" s="965"/>
      <c r="AH158" s="965"/>
      <c r="AI158" s="965"/>
      <c r="AJ158" s="965"/>
      <c r="AK158" s="965"/>
      <c r="AL158" s="965"/>
      <c r="AM158" s="965"/>
      <c r="AN158" s="965"/>
      <c r="AO158" s="445"/>
      <c r="AP158" s="969"/>
      <c r="AQ158" s="965"/>
      <c r="AR158" s="965"/>
      <c r="AS158" s="970"/>
      <c r="AT158" s="965"/>
      <c r="AU158" s="965"/>
      <c r="AV158" s="965"/>
      <c r="AW158" s="965"/>
      <c r="AX158" s="965"/>
      <c r="AY158" s="964"/>
      <c r="AZ158" s="969"/>
      <c r="BA158" s="965"/>
      <c r="BB158" s="965"/>
      <c r="BC158" s="965"/>
      <c r="BD158" s="445"/>
      <c r="BE158" s="445"/>
      <c r="BF158" s="964"/>
      <c r="BG158" s="965"/>
      <c r="BH158" s="965"/>
      <c r="BI158" s="965"/>
      <c r="BJ158" s="965"/>
      <c r="BK158" s="965"/>
      <c r="BL158" s="965"/>
      <c r="BM158" s="965"/>
      <c r="BN158" s="965"/>
      <c r="BO158" s="965"/>
      <c r="BP158" s="964"/>
      <c r="BQ158" s="971"/>
      <c r="BR158" s="970"/>
      <c r="BS158" s="964"/>
      <c r="BT158" s="420"/>
      <c r="BU158" s="420"/>
      <c r="BV158" s="422"/>
      <c r="BW158" s="420"/>
      <c r="BX158" s="445"/>
      <c r="BY158" s="445"/>
      <c r="BZ158" s="445"/>
      <c r="CA158" s="445"/>
      <c r="CB158" s="445"/>
      <c r="CC158" s="702"/>
      <c r="CD158" s="445"/>
      <c r="CE158" s="972" t="str">
        <f>IFERROR(WWWW[[#This Row],['#_Water sources passed]]/WWWW[[#This Row],['#_Water sources tested for fecal coliform ]],"no test")</f>
        <v>no test</v>
      </c>
      <c r="CF158" s="970" t="str">
        <f>IFERROR(WWWW[[#This Row],['#_Household passed]]/WWWW[[#This Row],['#_Household water samples tested for fecal coliform]],"no test")</f>
        <v>no test</v>
      </c>
      <c r="CG158" s="971" t="str">
        <f>IF(AND(WWWW[[#This Row],[% of water sources passed]]="no test",WWWW[[#This Row],[% Household passed]]="no test"),"No Test","Tested")</f>
        <v>No Test</v>
      </c>
      <c r="CH158" s="971">
        <f>WWWW[[#This Row],['#_Constructed/existing protected hand dug well]]-WWWW[[#This Row],['#_Non-functional protected hand dug well]]</f>
        <v>0</v>
      </c>
      <c r="CI158" s="971">
        <f>(WWWW[[#This Row],['#_Constructed/Existing tube wells/boreholes/handpumps_WASH_agency]]+WWWW[[#This Row],['#_Non-Cluster partner water tube-wells/boreholes/handpumps]])-WWWW[[#This Row],['#_Non-functional tube wells/boreholes/handpumps]]</f>
        <v>0</v>
      </c>
      <c r="CJ158" s="971">
        <f>WWWW[[#This Row],['#_Constructed/Existingwater storage tank with gravity fed reticulation system]]-WWWW[[#This Row],['#_Non-functional storage tank gravity fed reticulation system]]</f>
        <v>0</v>
      </c>
      <c r="CK158" s="971">
        <f>(WWWW[[#This Row],['#_Water_Liters_supplied_by_Water boating or water trucking]]/90)/15</f>
        <v>0</v>
      </c>
      <c r="CL158" s="971">
        <f>WWWW[[#This Row],['#_Water_Liters_from_Constructed/Existing water distribution system from river or natural spring]]/90/15</f>
        <v>0</v>
      </c>
      <c r="CM158" s="421">
        <f>IF(WWWW[[#This Row],['#_of water points in TLS/CFS]]*500&gt;WWWW[[#This Row],[Total PoP ]],WWWW[[#This Row],[Total PoP ]],WWWW[[#This Row],['#_of water points in TLS/CFS]]*500)</f>
        <v>0</v>
      </c>
      <c r="CN158" s="421">
        <f>IF(WWWW[[#This Row],['#_of water points in THF]]*500&gt;WWWW[[#This Row],[Total PoP ]],WWWW[[#This Row],[Total PoP ]],WWWW[[#This Row],['#_of water points in THF]]*500)</f>
        <v>0</v>
      </c>
      <c r="CO158" s="421"/>
      <c r="CP15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8" s="970">
        <f>IF(WWWW[[#This Row],[Location Type 1]]="Village",WWWW[[#This Row],[Access to safe drinking water for Village]],WWWW[[#This Row],[Access to safe drinking water for Camp]])</f>
        <v>0</v>
      </c>
      <c r="CS158" s="968">
        <f>WWWW[[#This Row],[%Equitable and continuous access to sufficient quantity of safe drinking water]]*WWWW[[#This Row],[Total PoP ]]</f>
        <v>0</v>
      </c>
      <c r="CT158" s="970">
        <f>IF((WWWW[[#This Row],['#_Constructed/Existing protected/fenced ponds]]*250)/WWWW[[#This Row],[Total PoP ]]&gt;1,1,(WWWW[[#This Row],['#_Constructed/Existing protected/fenced ponds]]*250)/WWWW[[#This Row],[Total PoP ]])</f>
        <v>0</v>
      </c>
      <c r="CU158" s="968">
        <f>WWWW[[#This Row],[% Access to unimproved water points]]*WWWW[[#This Row],[Total PoP ]]</f>
        <v>0</v>
      </c>
      <c r="CV15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8" s="968">
        <f>WWWW[[#This Row],[HRP1]]/500</f>
        <v>0</v>
      </c>
      <c r="CY158" s="973">
        <f>1-WWWW[[#This Row],[% Equitable and continuous access to sufficient quantity of domestic water]]</f>
        <v>1</v>
      </c>
      <c r="CZ158" s="968">
        <f>WWWW[[#This Row],[%equitable and continuous access to sufficient quantity of safe drinking and domestic water''s GAP]]*WWWW[[#This Row],[Total PoP ]]</f>
        <v>61</v>
      </c>
      <c r="DA158" s="971">
        <f>IF(WWWW[[#This Row],[Total required water points]]-WWWW[[#This Row],['#Water points coverage]]&lt;0,0,WWWW[[#This Row],[Total required water points]]-WWWW[[#This Row],['#Water points coverage]])</f>
        <v>1</v>
      </c>
      <c r="DB158" s="971">
        <f>ROUND(IF(WWWW[[#This Row],[Total PoP ]]&lt;500,1,WWWW[[#This Row],[Total PoP ]]/500),0)</f>
        <v>1</v>
      </c>
      <c r="DC158" s="971">
        <f>(WWWW[[#This Row],['#_Constructed latrines_by_WASHAgencies]]+WWWW[[#This Row],['#_Non Cluster partner latrines]])-WWWW[[#This Row],['#_Non-functional latrines]]</f>
        <v>0</v>
      </c>
      <c r="DD158" s="619">
        <f>WWWW[[#This Row],[HRP2]]/WWWW[[#This Row],[Total PoP ]]</f>
        <v>0</v>
      </c>
      <c r="DE15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8" s="421">
        <f>IF(WWWW[[#This Row],['# of functional latrines in THF supported by WASH partners during the reporting period2]]="",0,WWWW[[#This Row],['# of functional latrines in THF supported by WASH partners during the reporting period2]]*50)</f>
        <v>0</v>
      </c>
      <c r="DI158" s="971">
        <f>ROUND(IF(WWWW[[#This Row],[Location Type 1]]="camp",WWWW[[#This Row],[Total PoP ]]/20,IF(WWWW[[#This Row],[Location Type 1]]="Temporary Location",WWWW[[#This Row],[Total PoP ]]/50,(WWWW[[#This Row],[Total PoP ]]/6))),0)</f>
        <v>3</v>
      </c>
      <c r="DJ158" s="971">
        <f>IF(WWWW[[#This Row],[Total required Latrines]]-(WWWW[[#This Row],['#_Constructed latrines_by_WASHAgencies]]+WWWW[[#This Row],['#_Non Cluster partner latrines]])&lt;0,0,WWWW[[#This Row],[Total required Latrines]]-(WWWW[[#This Row],['#_Constructed latrines_by_WASHAgencies]]+WWWW[[#This Row],['#_Non Cluster partner latrines]]))</f>
        <v>3</v>
      </c>
      <c r="DK158" s="973">
        <f>1-WWWW[[#This Row],[% people access to functioning Latrine]]</f>
        <v>1</v>
      </c>
      <c r="DL158" s="972">
        <f>IF(OR(WWWW[[#This Row],['#_Non-functional latrines]]="",WWWW[[#This Row],['#_Non-functional latrines]]=0),0,WWWW[[#This Row],['#_Non-functional latrines]]/(WWWW[[#This Row],['#_Constructed latrines_by_WASHAgencies]]+WWWW[[#This Row],['#_Non Cluster partner latrines]]))</f>
        <v>0</v>
      </c>
      <c r="DM158" s="968">
        <f>IF(500*(WWWW[[#This Row],['#_male hygiene promoters]]+WWWW[[#This Row],['#_female hygiene promoters]])&gt;WWWW[[#This Row],[Total PoP ]],WWWW[[#This Row],[Total PoP ]],500*(WWWW[[#This Row],['#_male hygiene promoters]]+WWWW[[#This Row],['#_female hygiene promoters]]))</f>
        <v>0</v>
      </c>
      <c r="DN15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8" s="971">
        <f>IF(WWWW[[#This Row],['# People with access to soap]]&gt;WWWW[[#This Row],['# People with access to Sanity Pads]],WWWW[[#This Row],['# People with access to soap]],WWWW[[#This Row],['# People with access to Sanity Pads]])</f>
        <v>0</v>
      </c>
      <c r="DQ158"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8" s="973">
        <f>IF(WWWW[[#This Row],[HRP3]]/WWWW[[#This Row],[Total PoP ]]&gt;1,1,WWWW[[#This Row],[HRP3]]/WWWW[[#This Row],[Total PoP ]])</f>
        <v>0</v>
      </c>
      <c r="DS158" s="972">
        <f>1-WWWW[[#This Row],[Hygiene Coverage%]]</f>
        <v>1</v>
      </c>
      <c r="DT158" s="970">
        <f>WWWW[[#This Row],['# people reached by regular dedicated hygiene promotion_5]]/WWWW[[#This Row],[Total PoP ]]</f>
        <v>0</v>
      </c>
      <c r="DU15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8" s="971">
        <f>WWWW[[#This Row],['#_Constructed/Existing hand washing stations]]-WWWW[[#This Row],['#_Non-Functional_hand_washing_stations]]</f>
        <v>0</v>
      </c>
      <c r="DX158" s="968">
        <f>IF(WWWW[[#This Row],['# Functional hand washing stations during reporting period]]*20&gt;WWWW[[#This Row],[Total HH]],WWWW[[#This Row],[Total HH]],WWWW[[#This Row],['# Functional hand washing stations during reporting period]]*20)</f>
        <v>0</v>
      </c>
      <c r="DY158" s="968">
        <f>IF(WWWW[[#This Row],[Is sufficient soap available for TLS? (Yes/No)]]="yes",WWWW[[#This Row],['#_Constructed/Existing hand washing stations at TLS/CFS/THF]],0)</f>
        <v>0</v>
      </c>
      <c r="DZ158" s="425">
        <f>IF(WWWW[[#This Row],['# Functional hand washing stations during reporting period]]*100&gt;WWWW[[#This Row],[Total PoP ]],WWWW[[#This Row],[Total PoP ]],WWWW[[#This Row],['# Functional hand washing stations during reporting period]]*100)</f>
        <v>0</v>
      </c>
      <c r="EA158" s="425" t="str">
        <f>IF(OR(WWWW[[#This Row],['#_students at TLS_CFS]]="",WWWW[[#This Row],['#_students at TLS_CFS]]=0),"No","Yes")</f>
        <v>No</v>
      </c>
      <c r="EB15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8" s="570">
        <f>WWWW[[#This Row],[%_of_affected_people_surveyed_who_report_feeling_satistfied_with_the_latrine_design_and_sanitation_service]]*WWWW[[#This Row],[Total PoP ]]</f>
        <v>0</v>
      </c>
      <c r="ED158" s="570">
        <f>WWWW[[#This Row],[%_of_affected_people_surveyed_who_report_feeling_satistfied_with_the_water_point_design_and_water_service]]*WWWW[[#This Row],[Total PoP ]]</f>
        <v>0</v>
      </c>
      <c r="EE158" s="570">
        <f>WWWW[[#This Row],[%_of_complaints_received_that_result_in_timely_corrective_action_and_feedback_to_the_community]]*WWWW[[#This Row],[Total PoP ]]</f>
        <v>0</v>
      </c>
      <c r="EF15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8" s="964">
        <f>VLOOKUP(WWWW[[#This Row],[Site Name]],SiteDB6[[Site Name]:[CCCM Management]],6,FALSE)</f>
        <v>0</v>
      </c>
      <c r="EJ158" s="964" t="str">
        <f>VLOOKUP(WWWW[[#This Row],[Site Name]],SiteDB6[[Site Name]:[CCCM Focal Agency]],7,FALSE)</f>
        <v>Uncovered</v>
      </c>
      <c r="EK158" s="964" t="str">
        <f>VLOOKUP(WWWW[[#This Row],[Site Name]],SiteDB6[[Site Name]:[Location Type 1]],9,FALSE)</f>
        <v>Camp</v>
      </c>
      <c r="EL158" s="964" t="str">
        <f>VLOOKUP(WWWW[[#This Row],[Site Name]],SiteDB6[[Site Name]:[Type of Accommodation]],10,FALSE)</f>
        <v>Camp like setting</v>
      </c>
      <c r="EM158" s="964" t="str">
        <f>VLOOKUP(WWWW[[#This Row],[Site Name]],SiteDB6[[Site Name]:[Ethnic or GCA/NGCA]],11,FALSE)</f>
        <v>GCA</v>
      </c>
      <c r="EN158" s="964">
        <f>VLOOKUP(WWWW[[#This Row],[Site Name]],SiteDB6[[Site Name]:[Lat]],12,FALSE)</f>
        <v>0</v>
      </c>
      <c r="EO158" s="964" t="str">
        <f>VLOOKUP(WWWW[[#This Row],[Site Name]],SiteDB6[[Site Name]:[Long]],13,FALSE)</f>
        <v>not available</v>
      </c>
      <c r="EP158" s="964" t="str">
        <f>VLOOKUP(WWWW[[#This Row],[Site Name]],SiteDB6[[Site Name]:[Pcode]],3,FALSE)</f>
        <v>MMR015CMP092</v>
      </c>
      <c r="EQ158" s="969" t="str">
        <f t="shared" si="5"/>
        <v>Notcovered</v>
      </c>
      <c r="ER158" s="969"/>
      <c r="ES158" s="964">
        <f>VLOOKUP(WWWW[[#This Row],[Site Name]],SiteDB6[[Site Name]:[Pop
(Kachin/Shan-CCCM as of March 2023)]],16,FALSE)</f>
        <v>20</v>
      </c>
      <c r="ET158" s="964">
        <f>VLOOKUP(WWWW[[#This Row],[Site Name]],SiteDB6[[Site Name]:[Pop
(Kachin/Shan-CCCM as of March 2023)]],17,FALSE)</f>
        <v>61</v>
      </c>
    </row>
    <row r="159" spans="1:150" hidden="1">
      <c r="A159" s="962" t="s">
        <v>2977</v>
      </c>
      <c r="B159" s="962" t="s">
        <v>311</v>
      </c>
      <c r="C159" s="963" t="s">
        <v>2687</v>
      </c>
      <c r="D159" s="963" t="s">
        <v>3118</v>
      </c>
      <c r="E159" s="963" t="s">
        <v>515</v>
      </c>
      <c r="F159" s="963" t="s">
        <v>525</v>
      </c>
      <c r="G159" s="964" t="s">
        <v>43</v>
      </c>
      <c r="H159" s="963" t="s">
        <v>555</v>
      </c>
      <c r="I159" s="965">
        <v>270</v>
      </c>
      <c r="J159" s="965">
        <v>1414</v>
      </c>
      <c r="K159" s="966">
        <v>44774</v>
      </c>
      <c r="L159" s="967">
        <v>45046</v>
      </c>
      <c r="M159" s="965"/>
      <c r="N159" s="965"/>
      <c r="O159" s="965"/>
      <c r="P159" s="965"/>
      <c r="Q159" s="968"/>
      <c r="R159" s="965"/>
      <c r="S159" s="965"/>
      <c r="T159" s="445"/>
      <c r="U159" s="965"/>
      <c r="V159" s="965"/>
      <c r="W159" s="965"/>
      <c r="X159" s="965"/>
      <c r="Y159" s="965"/>
      <c r="Z159" s="965"/>
      <c r="AA159" s="965">
        <v>18</v>
      </c>
      <c r="AB159" s="965"/>
      <c r="AC159" s="965"/>
      <c r="AD159" s="965"/>
      <c r="AE159" s="965"/>
      <c r="AF159" s="965"/>
      <c r="AG159" s="965"/>
      <c r="AH159" s="965"/>
      <c r="AI159" s="965"/>
      <c r="AJ159" s="965"/>
      <c r="AK159" s="965"/>
      <c r="AL159" s="965"/>
      <c r="AM159" s="965"/>
      <c r="AN159" s="965"/>
      <c r="AO159" s="445"/>
      <c r="AP159" s="969"/>
      <c r="AQ159" s="965"/>
      <c r="AR159" s="965"/>
      <c r="AS159" s="970"/>
      <c r="AT159" s="965"/>
      <c r="AU159" s="965"/>
      <c r="AV159" s="965"/>
      <c r="AW159" s="965"/>
      <c r="AX159" s="965"/>
      <c r="AY159" s="964" t="s">
        <v>136</v>
      </c>
      <c r="AZ159" s="964" t="s">
        <v>136</v>
      </c>
      <c r="BA159" s="965"/>
      <c r="BB159" s="965"/>
      <c r="BC159" s="965"/>
      <c r="BD159" s="445"/>
      <c r="BE159" s="445"/>
      <c r="BF159" s="964"/>
      <c r="BG159" s="965"/>
      <c r="BH159" s="965"/>
      <c r="BI159" s="965"/>
      <c r="BJ159" s="965"/>
      <c r="BK159" s="965"/>
      <c r="BL159" s="965"/>
      <c r="BM159" s="965"/>
      <c r="BN159" s="965"/>
      <c r="BO159" s="965"/>
      <c r="BP159" s="964"/>
      <c r="BQ159" s="971"/>
      <c r="BR159" s="970"/>
      <c r="BS159" s="964"/>
      <c r="BT159" s="420"/>
      <c r="BU159" s="420"/>
      <c r="BV159" s="422"/>
      <c r="BW159" s="420"/>
      <c r="BX159" s="445"/>
      <c r="BY159" s="445"/>
      <c r="BZ159" s="445"/>
      <c r="CA159" s="445"/>
      <c r="CB159" s="445"/>
      <c r="CC159" s="702"/>
      <c r="CD159" s="445"/>
      <c r="CE159" s="972" t="str">
        <f>IFERROR(WWWW[[#This Row],['#_Water sources passed]]/WWWW[[#This Row],['#_Water sources tested for fecal coliform ]],"no test")</f>
        <v>no test</v>
      </c>
      <c r="CF159" s="970" t="str">
        <f>IFERROR(WWWW[[#This Row],['#_Household passed]]/WWWW[[#This Row],['#_Household water samples tested for fecal coliform]],"no test")</f>
        <v>no test</v>
      </c>
      <c r="CG159" s="971" t="str">
        <f>IF(AND(WWWW[[#This Row],[% of water sources passed]]="no test",WWWW[[#This Row],[% Household passed]]="no test"),"No Test","Tested")</f>
        <v>No Test</v>
      </c>
      <c r="CH159" s="971">
        <f>WWWW[[#This Row],['#_Constructed/existing protected hand dug well]]-WWWW[[#This Row],['#_Non-functional protected hand dug well]]</f>
        <v>0</v>
      </c>
      <c r="CI159" s="971">
        <f>(WWWW[[#This Row],['#_Constructed/Existing tube wells/boreholes/handpumps_WASH_agency]]+WWWW[[#This Row],['#_Non-Cluster partner water tube-wells/boreholes/handpumps]])-WWWW[[#This Row],['#_Non-functional tube wells/boreholes/handpumps]]</f>
        <v>0</v>
      </c>
      <c r="CJ159" s="971">
        <f>WWWW[[#This Row],['#_Constructed/Existingwater storage tank with gravity fed reticulation system]]-WWWW[[#This Row],['#_Non-functional storage tank gravity fed reticulation system]]</f>
        <v>18</v>
      </c>
      <c r="CK159" s="971">
        <f>(WWWW[[#This Row],['#_Water_Liters_supplied_by_Water boating or water trucking]]/90)/15</f>
        <v>0</v>
      </c>
      <c r="CL159" s="971">
        <f>WWWW[[#This Row],['#_Water_Liters_from_Constructed/Existing water distribution system from river or natural spring]]/90/15</f>
        <v>0</v>
      </c>
      <c r="CM159" s="421">
        <f>IF(WWWW[[#This Row],['#_of water points in TLS/CFS]]*500&gt;WWWW[[#This Row],[Total PoP ]],WWWW[[#This Row],[Total PoP ]],WWWW[[#This Row],['#_of water points in TLS/CFS]]*500)</f>
        <v>0</v>
      </c>
      <c r="CN159" s="421">
        <f>IF(WWWW[[#This Row],['#_of water points in THF]]*500&gt;WWWW[[#This Row],[Total PoP ]],WWWW[[#This Row],[Total PoP ]],WWWW[[#This Row],['#_of water points in THF]]*500)</f>
        <v>0</v>
      </c>
      <c r="CO159" s="421"/>
      <c r="CP15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0.84865629420084865</v>
      </c>
      <c r="CQ15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0.84865629420084865</v>
      </c>
      <c r="CR159" s="970">
        <f>IF(WWWW[[#This Row],[Location Type 1]]="Village",WWWW[[#This Row],[Access to safe drinking water for Village]],WWWW[[#This Row],[Access to safe drinking water for Camp]])</f>
        <v>0.84865629420084865</v>
      </c>
      <c r="CS159" s="968">
        <f>WWWW[[#This Row],[%Equitable and continuous access to sufficient quantity of safe drinking water]]*WWWW[[#This Row],[Total PoP ]]</f>
        <v>1200</v>
      </c>
      <c r="CT159" s="970">
        <f>IF((WWWW[[#This Row],['#_Constructed/Existing protected/fenced ponds]]*250)/WWWW[[#This Row],[Total PoP ]]&gt;1,1,(WWWW[[#This Row],['#_Constructed/Existing protected/fenced ponds]]*250)/WWWW[[#This Row],[Total PoP ]])</f>
        <v>0</v>
      </c>
      <c r="CU159" s="968">
        <f>WWWW[[#This Row],[% Access to unimproved water points]]*WWWW[[#This Row],[Total PoP ]]</f>
        <v>0</v>
      </c>
      <c r="CV15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0.84865629420084865</v>
      </c>
      <c r="CW15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X159" s="968">
        <f>WWWW[[#This Row],[HRP1]]/500</f>
        <v>2.4</v>
      </c>
      <c r="CY159" s="973">
        <f>1-WWWW[[#This Row],[% Equitable and continuous access to sufficient quantity of domestic water]]</f>
        <v>0.15134370579915135</v>
      </c>
      <c r="CZ159" s="968">
        <f>WWWW[[#This Row],[%equitable and continuous access to sufficient quantity of safe drinking and domestic water''s GAP]]*WWWW[[#This Row],[Total PoP ]]</f>
        <v>214</v>
      </c>
      <c r="DA159" s="971">
        <f>IF(WWWW[[#This Row],[Total required water points]]-WWWW[[#This Row],['#Water points coverage]]&lt;0,0,WWWW[[#This Row],[Total required water points]]-WWWW[[#This Row],['#Water points coverage]])</f>
        <v>0.60000000000000009</v>
      </c>
      <c r="DB159" s="971">
        <f>ROUND(IF(WWWW[[#This Row],[Total PoP ]]&lt;500,1,WWWW[[#This Row],[Total PoP ]]/500),0)</f>
        <v>3</v>
      </c>
      <c r="DC159" s="971">
        <f>(WWWW[[#This Row],['#_Constructed latrines_by_WASHAgencies]]+WWWW[[#This Row],['#_Non Cluster partner latrines]])-WWWW[[#This Row],['#_Non-functional latrines]]</f>
        <v>0</v>
      </c>
      <c r="DD159" s="619">
        <f>WWWW[[#This Row],[HRP2]]/WWWW[[#This Row],[Total PoP ]]</f>
        <v>0</v>
      </c>
      <c r="DE15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9" s="421">
        <f>IF(WWWW[[#This Row],['# of functional latrines in THF supported by WASH partners during the reporting period2]]="",0,WWWW[[#This Row],['# of functional latrines in THF supported by WASH partners during the reporting period2]]*50)</f>
        <v>0</v>
      </c>
      <c r="DI159" s="971">
        <f>ROUND(IF(WWWW[[#This Row],[Location Type 1]]="camp",WWWW[[#This Row],[Total PoP ]]/20,IF(WWWW[[#This Row],[Location Type 1]]="Temporary Location",WWWW[[#This Row],[Total PoP ]]/50,(WWWW[[#This Row],[Total PoP ]]/6))),0)</f>
        <v>71</v>
      </c>
      <c r="DJ159" s="971">
        <f>IF(WWWW[[#This Row],[Total required Latrines]]-(WWWW[[#This Row],['#_Constructed latrines_by_WASHAgencies]]+WWWW[[#This Row],['#_Non Cluster partner latrines]])&lt;0,0,WWWW[[#This Row],[Total required Latrines]]-(WWWW[[#This Row],['#_Constructed latrines_by_WASHAgencies]]+WWWW[[#This Row],['#_Non Cluster partner latrines]]))</f>
        <v>71</v>
      </c>
      <c r="DK159" s="973">
        <f>1-WWWW[[#This Row],[% people access to functioning Latrine]]</f>
        <v>1</v>
      </c>
      <c r="DL159" s="972">
        <f>IF(OR(WWWW[[#This Row],['#_Non-functional latrines]]="",WWWW[[#This Row],['#_Non-functional latrines]]=0),0,WWWW[[#This Row],['#_Non-functional latrines]]/(WWWW[[#This Row],['#_Constructed latrines_by_WASHAgencies]]+WWWW[[#This Row],['#_Non Cluster partner latrines]]))</f>
        <v>0</v>
      </c>
      <c r="DM159" s="968">
        <f>IF(500*(WWWW[[#This Row],['#_male hygiene promoters]]+WWWW[[#This Row],['#_female hygiene promoters]])&gt;WWWW[[#This Row],[Total PoP ]],WWWW[[#This Row],[Total PoP ]],500*(WWWW[[#This Row],['#_male hygiene promoters]]+WWWW[[#This Row],['#_female hygiene promoters]]))</f>
        <v>0</v>
      </c>
      <c r="DN15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9" s="971">
        <f>IF(WWWW[[#This Row],['# People with access to soap]]&gt;WWWW[[#This Row],['# People with access to Sanity Pads]],WWWW[[#This Row],['# People with access to soap]],WWWW[[#This Row],['# People with access to Sanity Pads]])</f>
        <v>0</v>
      </c>
      <c r="DQ15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9" s="973">
        <f>IF(WWWW[[#This Row],[HRP3]]/WWWW[[#This Row],[Total PoP ]]&gt;1,1,WWWW[[#This Row],[HRP3]]/WWWW[[#This Row],[Total PoP ]])</f>
        <v>0</v>
      </c>
      <c r="DS159" s="972">
        <f>1-WWWW[[#This Row],[Hygiene Coverage%]]</f>
        <v>1</v>
      </c>
      <c r="DT159" s="970">
        <f>WWWW[[#This Row],['# people reached by regular dedicated hygiene promotion_5]]/WWWW[[#This Row],[Total PoP ]]</f>
        <v>0</v>
      </c>
      <c r="DU15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9" s="971">
        <f>WWWW[[#This Row],['#_Constructed/Existing hand washing stations]]-WWWW[[#This Row],['#_Non-Functional_hand_washing_stations]]</f>
        <v>0</v>
      </c>
      <c r="DX159" s="968">
        <f>IF(WWWW[[#This Row],['# Functional hand washing stations during reporting period]]*20&gt;WWWW[[#This Row],[Total HH]],WWWW[[#This Row],[Total HH]],WWWW[[#This Row],['# Functional hand washing stations during reporting period]]*20)</f>
        <v>0</v>
      </c>
      <c r="DY159" s="968">
        <f>IF(WWWW[[#This Row],[Is sufficient soap available for TLS? (Yes/No)]]="yes",WWWW[[#This Row],['#_Constructed/Existing hand washing stations at TLS/CFS/THF]],0)</f>
        <v>0</v>
      </c>
      <c r="DZ159" s="425">
        <f>IF(WWWW[[#This Row],['# Functional hand washing stations during reporting period]]*100&gt;WWWW[[#This Row],[Total PoP ]],WWWW[[#This Row],[Total PoP ]],WWWW[[#This Row],['# Functional hand washing stations during reporting period]]*100)</f>
        <v>0</v>
      </c>
      <c r="EA159" s="425" t="str">
        <f>IF(OR(WWWW[[#This Row],['#_students at TLS_CFS]]="",WWWW[[#This Row],['#_students at TLS_CFS]]=0),"No","Yes")</f>
        <v>No</v>
      </c>
      <c r="EB15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9" s="570">
        <f>WWWW[[#This Row],[%_of_affected_people_surveyed_who_report_feeling_satistfied_with_the_latrine_design_and_sanitation_service]]*WWWW[[#This Row],[Total PoP ]]</f>
        <v>0</v>
      </c>
      <c r="ED159" s="570">
        <f>WWWW[[#This Row],[%_of_affected_people_surveyed_who_report_feeling_satistfied_with_the_water_point_design_and_water_service]]*WWWW[[#This Row],[Total PoP ]]</f>
        <v>0</v>
      </c>
      <c r="EE159" s="570">
        <f>WWWW[[#This Row],[%_of_complaints_received_that_result_in_timely_corrective_action_and_feedback_to_the_community]]*WWWW[[#This Row],[Total PoP ]]</f>
        <v>0</v>
      </c>
      <c r="EF15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9" s="964" t="str">
        <f>VLOOKUP(WWWW[[#This Row],[Site Name]],SiteDB6[[Site Name]:[CCCM Management]],6,FALSE)</f>
        <v>Yes</v>
      </c>
      <c r="EJ159" s="964" t="str">
        <f>VLOOKUP(WWWW[[#This Row],[Site Name]],SiteDB6[[Site Name]:[CCCM Focal Agency]],7,FALSE)</f>
        <v>KBC-NSS</v>
      </c>
      <c r="EK159" s="964" t="str">
        <f>VLOOKUP(WWWW[[#This Row],[Site Name]],SiteDB6[[Site Name]:[Location Type 1]],9,FALSE)</f>
        <v>Camp</v>
      </c>
      <c r="EL159" s="964" t="str">
        <f>VLOOKUP(WWWW[[#This Row],[Site Name]],SiteDB6[[Site Name]:[Type of Accommodation]],10,FALSE)</f>
        <v>Camp</v>
      </c>
      <c r="EM159" s="964" t="str">
        <f>VLOOKUP(WWWW[[#This Row],[Site Name]],SiteDB6[[Site Name]:[Ethnic or GCA/NGCA]],11,FALSE)</f>
        <v>GCA</v>
      </c>
      <c r="EN159" s="964">
        <f>VLOOKUP(WWWW[[#This Row],[Site Name]],SiteDB6[[Site Name]:[Lat]],12,FALSE)</f>
        <v>24.08738</v>
      </c>
      <c r="EO159" s="964">
        <f>VLOOKUP(WWWW[[#This Row],[Site Name]],SiteDB6[[Site Name]:[Long]],13,FALSE)</f>
        <v>98.115809999999996</v>
      </c>
      <c r="EP159" s="964" t="str">
        <f>VLOOKUP(WWWW[[#This Row],[Site Name]],SiteDB6[[Site Name]:[Pcode]],3,FALSE)</f>
        <v>MMR015CMP065</v>
      </c>
      <c r="EQ159" s="969" t="str">
        <f t="shared" si="5"/>
        <v>Covered</v>
      </c>
      <c r="ER159" s="969" t="s">
        <v>3147</v>
      </c>
      <c r="ES159" s="964">
        <f>VLOOKUP(WWWW[[#This Row],[Site Name]],SiteDB6[[Site Name]:[Pop
(Kachin/Shan-CCCM as of March 2023)]],16,FALSE)</f>
        <v>307</v>
      </c>
      <c r="ET159" s="964">
        <f>VLOOKUP(WWWW[[#This Row],[Site Name]],SiteDB6[[Site Name]:[Pop
(Kachin/Shan-CCCM as of March 2023)]],17,FALSE)</f>
        <v>1581</v>
      </c>
    </row>
    <row r="160" spans="1:150" hidden="1">
      <c r="A160" s="962" t="s">
        <v>2977</v>
      </c>
      <c r="B160" s="962" t="s">
        <v>309</v>
      </c>
      <c r="C160" s="963" t="s">
        <v>309</v>
      </c>
      <c r="D160" s="963"/>
      <c r="E160" s="963" t="s">
        <v>515</v>
      </c>
      <c r="F160" s="963" t="s">
        <v>2988</v>
      </c>
      <c r="G160" s="964" t="str">
        <f>VLOOKUP(WWWW[[#This Row],[Site Name]],SiteDB6[[Site Name]:[Location Type]],8,FALSE)</f>
        <v>Camp</v>
      </c>
      <c r="H160" s="963" t="s">
        <v>3000</v>
      </c>
      <c r="I160" s="965">
        <v>43</v>
      </c>
      <c r="J160" s="965">
        <v>157</v>
      </c>
      <c r="K160" s="966"/>
      <c r="L160" s="967"/>
      <c r="M160" s="965"/>
      <c r="N160" s="965"/>
      <c r="O160" s="965"/>
      <c r="P160" s="965"/>
      <c r="Q160" s="968"/>
      <c r="R160" s="965"/>
      <c r="S160" s="965"/>
      <c r="T160" s="445"/>
      <c r="U160" s="965"/>
      <c r="V160" s="965"/>
      <c r="W160" s="965"/>
      <c r="X160" s="965"/>
      <c r="Y160" s="965"/>
      <c r="Z160" s="965"/>
      <c r="AA160" s="965"/>
      <c r="AB160" s="965"/>
      <c r="AC160" s="965"/>
      <c r="AD160" s="965"/>
      <c r="AE160" s="965"/>
      <c r="AF160" s="965"/>
      <c r="AG160" s="965"/>
      <c r="AH160" s="965"/>
      <c r="AI160" s="965"/>
      <c r="AJ160" s="965"/>
      <c r="AK160" s="965"/>
      <c r="AL160" s="965"/>
      <c r="AM160" s="965"/>
      <c r="AN160" s="965"/>
      <c r="AO160" s="445"/>
      <c r="AP160" s="969"/>
      <c r="AQ160" s="965"/>
      <c r="AR160" s="965"/>
      <c r="AS160" s="970"/>
      <c r="AT160" s="965"/>
      <c r="AU160" s="965"/>
      <c r="AV160" s="965"/>
      <c r="AW160" s="965"/>
      <c r="AX160" s="965"/>
      <c r="AY160" s="964"/>
      <c r="AZ160" s="969"/>
      <c r="BA160" s="965"/>
      <c r="BB160" s="965"/>
      <c r="BC160" s="965"/>
      <c r="BD160" s="445"/>
      <c r="BE160" s="445"/>
      <c r="BF160" s="964"/>
      <c r="BG160" s="965"/>
      <c r="BH160" s="965"/>
      <c r="BI160" s="965"/>
      <c r="BJ160" s="965"/>
      <c r="BK160" s="965"/>
      <c r="BL160" s="965"/>
      <c r="BM160" s="965"/>
      <c r="BN160" s="965"/>
      <c r="BO160" s="965"/>
      <c r="BP160" s="964"/>
      <c r="BQ160" s="971"/>
      <c r="BR160" s="970"/>
      <c r="BS160" s="964"/>
      <c r="BT160" s="420"/>
      <c r="BU160" s="420"/>
      <c r="BV160" s="422"/>
      <c r="BW160" s="420"/>
      <c r="BX160" s="445"/>
      <c r="BY160" s="445"/>
      <c r="BZ160" s="445"/>
      <c r="CA160" s="445"/>
      <c r="CB160" s="445"/>
      <c r="CC160" s="702"/>
      <c r="CD160" s="445"/>
      <c r="CE160" s="972" t="str">
        <f>IFERROR(WWWW[[#This Row],['#_Water sources passed]]/WWWW[[#This Row],['#_Water sources tested for fecal coliform ]],"no test")</f>
        <v>no test</v>
      </c>
      <c r="CF160" s="970" t="str">
        <f>IFERROR(WWWW[[#This Row],['#_Household passed]]/WWWW[[#This Row],['#_Household water samples tested for fecal coliform]],"no test")</f>
        <v>no test</v>
      </c>
      <c r="CG160" s="971" t="str">
        <f>IF(AND(WWWW[[#This Row],[% of water sources passed]]="no test",WWWW[[#This Row],[% Household passed]]="no test"),"No Test","Tested")</f>
        <v>No Test</v>
      </c>
      <c r="CH160" s="971">
        <f>WWWW[[#This Row],['#_Constructed/existing protected hand dug well]]-WWWW[[#This Row],['#_Non-functional protected hand dug well]]</f>
        <v>0</v>
      </c>
      <c r="CI160" s="971">
        <f>(WWWW[[#This Row],['#_Constructed/Existing tube wells/boreholes/handpumps_WASH_agency]]+WWWW[[#This Row],['#_Non-Cluster partner water tube-wells/boreholes/handpumps]])-WWWW[[#This Row],['#_Non-functional tube wells/boreholes/handpumps]]</f>
        <v>0</v>
      </c>
      <c r="CJ160" s="971">
        <f>WWWW[[#This Row],['#_Constructed/Existingwater storage tank with gravity fed reticulation system]]-WWWW[[#This Row],['#_Non-functional storage tank gravity fed reticulation system]]</f>
        <v>0</v>
      </c>
      <c r="CK160" s="971">
        <f>(WWWW[[#This Row],['#_Water_Liters_supplied_by_Water boating or water trucking]]/90)/15</f>
        <v>0</v>
      </c>
      <c r="CL160" s="971">
        <f>WWWW[[#This Row],['#_Water_Liters_from_Constructed/Existing water distribution system from river or natural spring]]/90/15</f>
        <v>0</v>
      </c>
      <c r="CM160" s="421">
        <f>IF(WWWW[[#This Row],['#_of water points in TLS/CFS]]*500&gt;WWWW[[#This Row],[Total PoP ]],WWWW[[#This Row],[Total PoP ]],WWWW[[#This Row],['#_of water points in TLS/CFS]]*500)</f>
        <v>0</v>
      </c>
      <c r="CN160" s="421">
        <f>IF(WWWW[[#This Row],['#_of water points in THF]]*500&gt;WWWW[[#This Row],[Total PoP ]],WWWW[[#This Row],[Total PoP ]],WWWW[[#This Row],['#_of water points in THF]]*500)</f>
        <v>0</v>
      </c>
      <c r="CO160" s="421"/>
      <c r="CP16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0" s="970">
        <f>IF(WWWW[[#This Row],[Location Type 1]]="Village",WWWW[[#This Row],[Access to safe drinking water for Village]],WWWW[[#This Row],[Access to safe drinking water for Camp]])</f>
        <v>0</v>
      </c>
      <c r="CS160" s="968">
        <f>WWWW[[#This Row],[%Equitable and continuous access to sufficient quantity of safe drinking water]]*WWWW[[#This Row],[Total PoP ]]</f>
        <v>0</v>
      </c>
      <c r="CT160" s="970">
        <f>IF((WWWW[[#This Row],['#_Constructed/Existing protected/fenced ponds]]*250)/WWWW[[#This Row],[Total PoP ]]&gt;1,1,(WWWW[[#This Row],['#_Constructed/Existing protected/fenced ponds]]*250)/WWWW[[#This Row],[Total PoP ]])</f>
        <v>0</v>
      </c>
      <c r="CU160" s="968">
        <f>WWWW[[#This Row],[% Access to unimproved water points]]*WWWW[[#This Row],[Total PoP ]]</f>
        <v>0</v>
      </c>
      <c r="CV16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0" s="968">
        <f>WWWW[[#This Row],[HRP1]]/500</f>
        <v>0</v>
      </c>
      <c r="CY160" s="973">
        <f>1-WWWW[[#This Row],[% Equitable and continuous access to sufficient quantity of domestic water]]</f>
        <v>1</v>
      </c>
      <c r="CZ160" s="968">
        <f>WWWW[[#This Row],[%equitable and continuous access to sufficient quantity of safe drinking and domestic water''s GAP]]*WWWW[[#This Row],[Total PoP ]]</f>
        <v>157</v>
      </c>
      <c r="DA160" s="971">
        <f>IF(WWWW[[#This Row],[Total required water points]]-WWWW[[#This Row],['#Water points coverage]]&lt;0,0,WWWW[[#This Row],[Total required water points]]-WWWW[[#This Row],['#Water points coverage]])</f>
        <v>1</v>
      </c>
      <c r="DB160" s="971">
        <f>ROUND(IF(WWWW[[#This Row],[Total PoP ]]&lt;500,1,WWWW[[#This Row],[Total PoP ]]/500),0)</f>
        <v>1</v>
      </c>
      <c r="DC160" s="971">
        <f>(WWWW[[#This Row],['#_Constructed latrines_by_WASHAgencies]]+WWWW[[#This Row],['#_Non Cluster partner latrines]])-WWWW[[#This Row],['#_Non-functional latrines]]</f>
        <v>0</v>
      </c>
      <c r="DD160" s="619">
        <f>WWWW[[#This Row],[HRP2]]/WWWW[[#This Row],[Total PoP ]]</f>
        <v>0</v>
      </c>
      <c r="DE16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0" s="421">
        <f>IF(WWWW[[#This Row],['# of functional latrines in THF supported by WASH partners during the reporting period2]]="",0,WWWW[[#This Row],['# of functional latrines in THF supported by WASH partners during the reporting period2]]*50)</f>
        <v>0</v>
      </c>
      <c r="DI160" s="971">
        <f>ROUND(IF(WWWW[[#This Row],[Location Type 1]]="camp",WWWW[[#This Row],[Total PoP ]]/20,IF(WWWW[[#This Row],[Location Type 1]]="Temporary Location",WWWW[[#This Row],[Total PoP ]]/50,(WWWW[[#This Row],[Total PoP ]]/6))),0)</f>
        <v>8</v>
      </c>
      <c r="DJ160" s="971">
        <f>IF(WWWW[[#This Row],[Total required Latrines]]-(WWWW[[#This Row],['#_Constructed latrines_by_WASHAgencies]]+WWWW[[#This Row],['#_Non Cluster partner latrines]])&lt;0,0,WWWW[[#This Row],[Total required Latrines]]-(WWWW[[#This Row],['#_Constructed latrines_by_WASHAgencies]]+WWWW[[#This Row],['#_Non Cluster partner latrines]]))</f>
        <v>8</v>
      </c>
      <c r="DK160" s="973">
        <f>1-WWWW[[#This Row],[% people access to functioning Latrine]]</f>
        <v>1</v>
      </c>
      <c r="DL160" s="972">
        <f>IF(OR(WWWW[[#This Row],['#_Non-functional latrines]]="",WWWW[[#This Row],['#_Non-functional latrines]]=0),0,WWWW[[#This Row],['#_Non-functional latrines]]/(WWWW[[#This Row],['#_Constructed latrines_by_WASHAgencies]]+WWWW[[#This Row],['#_Non Cluster partner latrines]]))</f>
        <v>0</v>
      </c>
      <c r="DM160" s="968">
        <f>IF(500*(WWWW[[#This Row],['#_male hygiene promoters]]+WWWW[[#This Row],['#_female hygiene promoters]])&gt;WWWW[[#This Row],[Total PoP ]],WWWW[[#This Row],[Total PoP ]],500*(WWWW[[#This Row],['#_male hygiene promoters]]+WWWW[[#This Row],['#_female hygiene promoters]]))</f>
        <v>0</v>
      </c>
      <c r="DN16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0" s="971">
        <f>IF(WWWW[[#This Row],['# People with access to soap]]&gt;WWWW[[#This Row],['# People with access to Sanity Pads]],WWWW[[#This Row],['# People with access to soap]],WWWW[[#This Row],['# People with access to Sanity Pads]])</f>
        <v>0</v>
      </c>
      <c r="DQ160"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0" s="973">
        <f>IF(WWWW[[#This Row],[HRP3]]/WWWW[[#This Row],[Total PoP ]]&gt;1,1,WWWW[[#This Row],[HRP3]]/WWWW[[#This Row],[Total PoP ]])</f>
        <v>0</v>
      </c>
      <c r="DS160" s="972">
        <f>1-WWWW[[#This Row],[Hygiene Coverage%]]</f>
        <v>1</v>
      </c>
      <c r="DT160" s="970">
        <f>WWWW[[#This Row],['# people reached by regular dedicated hygiene promotion_5]]/WWWW[[#This Row],[Total PoP ]]</f>
        <v>0</v>
      </c>
      <c r="DU16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0" s="971">
        <f>WWWW[[#This Row],['#_Constructed/Existing hand washing stations]]-WWWW[[#This Row],['#_Non-Functional_hand_washing_stations]]</f>
        <v>0</v>
      </c>
      <c r="DX160" s="968">
        <f>IF(WWWW[[#This Row],['# Functional hand washing stations during reporting period]]*20&gt;WWWW[[#This Row],[Total HH]],WWWW[[#This Row],[Total HH]],WWWW[[#This Row],['# Functional hand washing stations during reporting period]]*20)</f>
        <v>0</v>
      </c>
      <c r="DY160" s="968">
        <f>IF(WWWW[[#This Row],[Is sufficient soap available for TLS? (Yes/No)]]="yes",WWWW[[#This Row],['#_Constructed/Existing hand washing stations at TLS/CFS/THF]],0)</f>
        <v>0</v>
      </c>
      <c r="DZ160" s="425">
        <f>IF(WWWW[[#This Row],['# Functional hand washing stations during reporting period]]*100&gt;WWWW[[#This Row],[Total PoP ]],WWWW[[#This Row],[Total PoP ]],WWWW[[#This Row],['# Functional hand washing stations during reporting period]]*100)</f>
        <v>0</v>
      </c>
      <c r="EA160" s="425" t="str">
        <f>IF(OR(WWWW[[#This Row],['#_students at TLS_CFS]]="",WWWW[[#This Row],['#_students at TLS_CFS]]=0),"No","Yes")</f>
        <v>No</v>
      </c>
      <c r="EB16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0" s="570">
        <f>WWWW[[#This Row],[%_of_affected_people_surveyed_who_report_feeling_satistfied_with_the_latrine_design_and_sanitation_service]]*WWWW[[#This Row],[Total PoP ]]</f>
        <v>0</v>
      </c>
      <c r="ED160" s="570">
        <f>WWWW[[#This Row],[%_of_affected_people_surveyed_who_report_feeling_satistfied_with_the_water_point_design_and_water_service]]*WWWW[[#This Row],[Total PoP ]]</f>
        <v>0</v>
      </c>
      <c r="EE160" s="570">
        <f>WWWW[[#This Row],[%_of_complaints_received_that_result_in_timely_corrective_action_and_feedback_to_the_community]]*WWWW[[#This Row],[Total PoP ]]</f>
        <v>0</v>
      </c>
      <c r="EF16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0" s="964">
        <f>VLOOKUP(WWWW[[#This Row],[Site Name]],SiteDB6[[Site Name]:[CCCM Management]],6,FALSE)</f>
        <v>0</v>
      </c>
      <c r="EJ160" s="964" t="str">
        <f>VLOOKUP(WWWW[[#This Row],[Site Name]],SiteDB6[[Site Name]:[CCCM Focal Agency]],7,FALSE)</f>
        <v>Uncovered</v>
      </c>
      <c r="EK160" s="964" t="str">
        <f>VLOOKUP(WWWW[[#This Row],[Site Name]],SiteDB6[[Site Name]:[Location Type 1]],9,FALSE)</f>
        <v>Camp</v>
      </c>
      <c r="EL160" s="964" t="str">
        <f>VLOOKUP(WWWW[[#This Row],[Site Name]],SiteDB6[[Site Name]:[Type of Accommodation]],10,FALSE)</f>
        <v>Camp like setting</v>
      </c>
      <c r="EM160" s="964" t="str">
        <f>VLOOKUP(WWWW[[#This Row],[Site Name]],SiteDB6[[Site Name]:[Ethnic or GCA/NGCA]],11,FALSE)</f>
        <v>GCA</v>
      </c>
      <c r="EN160" s="964">
        <f>VLOOKUP(WWWW[[#This Row],[Site Name]],SiteDB6[[Site Name]:[Lat]],12,FALSE)</f>
        <v>0</v>
      </c>
      <c r="EO160" s="964" t="str">
        <f>VLOOKUP(WWWW[[#This Row],[Site Name]],SiteDB6[[Site Name]:[Long]],13,FALSE)</f>
        <v>not available</v>
      </c>
      <c r="EP160" s="964" t="str">
        <f>VLOOKUP(WWWW[[#This Row],[Site Name]],SiteDB6[[Site Name]:[Pcode]],3,FALSE)</f>
        <v>MMR015CMP094</v>
      </c>
      <c r="EQ160" s="969" t="str">
        <f t="shared" si="5"/>
        <v>Notcovered</v>
      </c>
      <c r="ER160" s="969"/>
      <c r="ES160" s="964">
        <f>VLOOKUP(WWWW[[#This Row],[Site Name]],SiteDB6[[Site Name]:[Pop
(Kachin/Shan-CCCM as of March 2023)]],16,FALSE)</f>
        <v>43</v>
      </c>
      <c r="ET160" s="964">
        <f>VLOOKUP(WWWW[[#This Row],[Site Name]],SiteDB6[[Site Name]:[Pop
(Kachin/Shan-CCCM as of March 2023)]],17,FALSE)</f>
        <v>157</v>
      </c>
    </row>
    <row r="161" spans="1:150" hidden="1">
      <c r="A161" s="962" t="s">
        <v>2977</v>
      </c>
      <c r="B161" s="962" t="s">
        <v>309</v>
      </c>
      <c r="C161" s="963" t="s">
        <v>309</v>
      </c>
      <c r="D161" s="963"/>
      <c r="E161" s="963" t="s">
        <v>515</v>
      </c>
      <c r="F161" s="963" t="s">
        <v>961</v>
      </c>
      <c r="G161" s="964" t="str">
        <f>VLOOKUP(WWWW[[#This Row],[Site Name]],SiteDB6[[Site Name]:[Location Type]],8,FALSE)</f>
        <v>Camp</v>
      </c>
      <c r="H161" s="963" t="s">
        <v>3001</v>
      </c>
      <c r="I161" s="965">
        <v>18</v>
      </c>
      <c r="J161" s="965">
        <v>92</v>
      </c>
      <c r="K161" s="966"/>
      <c r="L161" s="967"/>
      <c r="M161" s="965"/>
      <c r="N161" s="965"/>
      <c r="O161" s="965"/>
      <c r="P161" s="965"/>
      <c r="Q161" s="968"/>
      <c r="R161" s="965"/>
      <c r="S161" s="965"/>
      <c r="T161" s="445"/>
      <c r="U161" s="965"/>
      <c r="V161" s="965"/>
      <c r="W161" s="965"/>
      <c r="X161" s="965"/>
      <c r="Y161" s="965"/>
      <c r="Z161" s="965"/>
      <c r="AA161" s="965"/>
      <c r="AB161" s="965"/>
      <c r="AC161" s="965"/>
      <c r="AD161" s="965"/>
      <c r="AE161" s="965"/>
      <c r="AF161" s="965"/>
      <c r="AG161" s="965"/>
      <c r="AH161" s="965"/>
      <c r="AI161" s="965"/>
      <c r="AJ161" s="965"/>
      <c r="AK161" s="965"/>
      <c r="AL161" s="965"/>
      <c r="AM161" s="965"/>
      <c r="AN161" s="965"/>
      <c r="AO161" s="445"/>
      <c r="AP161" s="969"/>
      <c r="AQ161" s="965"/>
      <c r="AR161" s="965"/>
      <c r="AS161" s="970"/>
      <c r="AT161" s="965"/>
      <c r="AU161" s="965"/>
      <c r="AV161" s="965"/>
      <c r="AW161" s="965"/>
      <c r="AX161" s="965"/>
      <c r="AY161" s="964"/>
      <c r="AZ161" s="969"/>
      <c r="BA161" s="965"/>
      <c r="BB161" s="965"/>
      <c r="BC161" s="965"/>
      <c r="BD161" s="445"/>
      <c r="BE161" s="445"/>
      <c r="BF161" s="964"/>
      <c r="BG161" s="965"/>
      <c r="BH161" s="965"/>
      <c r="BI161" s="965"/>
      <c r="BJ161" s="965"/>
      <c r="BK161" s="965"/>
      <c r="BL161" s="965"/>
      <c r="BM161" s="965"/>
      <c r="BN161" s="965"/>
      <c r="BO161" s="965"/>
      <c r="BP161" s="964"/>
      <c r="BQ161" s="971"/>
      <c r="BR161" s="970"/>
      <c r="BS161" s="964"/>
      <c r="BT161" s="420"/>
      <c r="BU161" s="420"/>
      <c r="BV161" s="422"/>
      <c r="BW161" s="420"/>
      <c r="BX161" s="445"/>
      <c r="BY161" s="445"/>
      <c r="BZ161" s="445"/>
      <c r="CA161" s="445"/>
      <c r="CB161" s="445"/>
      <c r="CC161" s="702"/>
      <c r="CD161" s="445"/>
      <c r="CE161" s="972" t="str">
        <f>IFERROR(WWWW[[#This Row],['#_Water sources passed]]/WWWW[[#This Row],['#_Water sources tested for fecal coliform ]],"no test")</f>
        <v>no test</v>
      </c>
      <c r="CF161" s="970" t="str">
        <f>IFERROR(WWWW[[#This Row],['#_Household passed]]/WWWW[[#This Row],['#_Household water samples tested for fecal coliform]],"no test")</f>
        <v>no test</v>
      </c>
      <c r="CG161" s="971" t="str">
        <f>IF(AND(WWWW[[#This Row],[% of water sources passed]]="no test",WWWW[[#This Row],[% Household passed]]="no test"),"No Test","Tested")</f>
        <v>No Test</v>
      </c>
      <c r="CH161" s="971">
        <f>WWWW[[#This Row],['#_Constructed/existing protected hand dug well]]-WWWW[[#This Row],['#_Non-functional protected hand dug well]]</f>
        <v>0</v>
      </c>
      <c r="CI161" s="971">
        <f>(WWWW[[#This Row],['#_Constructed/Existing tube wells/boreholes/handpumps_WASH_agency]]+WWWW[[#This Row],['#_Non-Cluster partner water tube-wells/boreholes/handpumps]])-WWWW[[#This Row],['#_Non-functional tube wells/boreholes/handpumps]]</f>
        <v>0</v>
      </c>
      <c r="CJ161" s="971">
        <f>WWWW[[#This Row],['#_Constructed/Existingwater storage tank with gravity fed reticulation system]]-WWWW[[#This Row],['#_Non-functional storage tank gravity fed reticulation system]]</f>
        <v>0</v>
      </c>
      <c r="CK161" s="971">
        <f>(WWWW[[#This Row],['#_Water_Liters_supplied_by_Water boating or water trucking]]/90)/15</f>
        <v>0</v>
      </c>
      <c r="CL161" s="971">
        <f>WWWW[[#This Row],['#_Water_Liters_from_Constructed/Existing water distribution system from river or natural spring]]/90/15</f>
        <v>0</v>
      </c>
      <c r="CM161" s="421">
        <f>IF(WWWW[[#This Row],['#_of water points in TLS/CFS]]*500&gt;WWWW[[#This Row],[Total PoP ]],WWWW[[#This Row],[Total PoP ]],WWWW[[#This Row],['#_of water points in TLS/CFS]]*500)</f>
        <v>0</v>
      </c>
      <c r="CN161" s="421">
        <f>IF(WWWW[[#This Row],['#_of water points in THF]]*500&gt;WWWW[[#This Row],[Total PoP ]],WWWW[[#This Row],[Total PoP ]],WWWW[[#This Row],['#_of water points in THF]]*500)</f>
        <v>0</v>
      </c>
      <c r="CO161" s="421"/>
      <c r="CP16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1" s="970">
        <f>IF(WWWW[[#This Row],[Location Type 1]]="Village",WWWW[[#This Row],[Access to safe drinking water for Village]],WWWW[[#This Row],[Access to safe drinking water for Camp]])</f>
        <v>0</v>
      </c>
      <c r="CS161" s="968">
        <f>WWWW[[#This Row],[%Equitable and continuous access to sufficient quantity of safe drinking water]]*WWWW[[#This Row],[Total PoP ]]</f>
        <v>0</v>
      </c>
      <c r="CT161" s="970">
        <f>IF((WWWW[[#This Row],['#_Constructed/Existing protected/fenced ponds]]*250)/WWWW[[#This Row],[Total PoP ]]&gt;1,1,(WWWW[[#This Row],['#_Constructed/Existing protected/fenced ponds]]*250)/WWWW[[#This Row],[Total PoP ]])</f>
        <v>0</v>
      </c>
      <c r="CU161" s="968">
        <f>WWWW[[#This Row],[% Access to unimproved water points]]*WWWW[[#This Row],[Total PoP ]]</f>
        <v>0</v>
      </c>
      <c r="CV16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1" s="968">
        <f>WWWW[[#This Row],[HRP1]]/500</f>
        <v>0</v>
      </c>
      <c r="CY161" s="973">
        <f>1-WWWW[[#This Row],[% Equitable and continuous access to sufficient quantity of domestic water]]</f>
        <v>1</v>
      </c>
      <c r="CZ161" s="968">
        <f>WWWW[[#This Row],[%equitable and continuous access to sufficient quantity of safe drinking and domestic water''s GAP]]*WWWW[[#This Row],[Total PoP ]]</f>
        <v>92</v>
      </c>
      <c r="DA161" s="971">
        <f>IF(WWWW[[#This Row],[Total required water points]]-WWWW[[#This Row],['#Water points coverage]]&lt;0,0,WWWW[[#This Row],[Total required water points]]-WWWW[[#This Row],['#Water points coverage]])</f>
        <v>1</v>
      </c>
      <c r="DB161" s="971">
        <f>ROUND(IF(WWWW[[#This Row],[Total PoP ]]&lt;500,1,WWWW[[#This Row],[Total PoP ]]/500),0)</f>
        <v>1</v>
      </c>
      <c r="DC161" s="971">
        <f>(WWWW[[#This Row],['#_Constructed latrines_by_WASHAgencies]]+WWWW[[#This Row],['#_Non Cluster partner latrines]])-WWWW[[#This Row],['#_Non-functional latrines]]</f>
        <v>0</v>
      </c>
      <c r="DD161" s="619">
        <f>WWWW[[#This Row],[HRP2]]/WWWW[[#This Row],[Total PoP ]]</f>
        <v>0</v>
      </c>
      <c r="DE16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1" s="421">
        <f>IF(WWWW[[#This Row],['# of functional latrines in THF supported by WASH partners during the reporting period2]]="",0,WWWW[[#This Row],['# of functional latrines in THF supported by WASH partners during the reporting period2]]*50)</f>
        <v>0</v>
      </c>
      <c r="DI161" s="971">
        <f>ROUND(IF(WWWW[[#This Row],[Location Type 1]]="camp",WWWW[[#This Row],[Total PoP ]]/20,IF(WWWW[[#This Row],[Location Type 1]]="Temporary Location",WWWW[[#This Row],[Total PoP ]]/50,(WWWW[[#This Row],[Total PoP ]]/6))),0)</f>
        <v>5</v>
      </c>
      <c r="DJ161" s="971">
        <f>IF(WWWW[[#This Row],[Total required Latrines]]-(WWWW[[#This Row],['#_Constructed latrines_by_WASHAgencies]]+WWWW[[#This Row],['#_Non Cluster partner latrines]])&lt;0,0,WWWW[[#This Row],[Total required Latrines]]-(WWWW[[#This Row],['#_Constructed latrines_by_WASHAgencies]]+WWWW[[#This Row],['#_Non Cluster partner latrines]]))</f>
        <v>5</v>
      </c>
      <c r="DK161" s="973">
        <f>1-WWWW[[#This Row],[% people access to functioning Latrine]]</f>
        <v>1</v>
      </c>
      <c r="DL161" s="972">
        <f>IF(OR(WWWW[[#This Row],['#_Non-functional latrines]]="",WWWW[[#This Row],['#_Non-functional latrines]]=0),0,WWWW[[#This Row],['#_Non-functional latrines]]/(WWWW[[#This Row],['#_Constructed latrines_by_WASHAgencies]]+WWWW[[#This Row],['#_Non Cluster partner latrines]]))</f>
        <v>0</v>
      </c>
      <c r="DM161" s="968">
        <f>IF(500*(WWWW[[#This Row],['#_male hygiene promoters]]+WWWW[[#This Row],['#_female hygiene promoters]])&gt;WWWW[[#This Row],[Total PoP ]],WWWW[[#This Row],[Total PoP ]],500*(WWWW[[#This Row],['#_male hygiene promoters]]+WWWW[[#This Row],['#_female hygiene promoters]]))</f>
        <v>0</v>
      </c>
      <c r="DN16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1" s="971">
        <f>IF(WWWW[[#This Row],['# People with access to soap]]&gt;WWWW[[#This Row],['# People with access to Sanity Pads]],WWWW[[#This Row],['# People with access to soap]],WWWW[[#This Row],['# People with access to Sanity Pads]])</f>
        <v>0</v>
      </c>
      <c r="DQ16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1" s="973">
        <f>IF(WWWW[[#This Row],[HRP3]]/WWWW[[#This Row],[Total PoP ]]&gt;1,1,WWWW[[#This Row],[HRP3]]/WWWW[[#This Row],[Total PoP ]])</f>
        <v>0</v>
      </c>
      <c r="DS161" s="972">
        <f>1-WWWW[[#This Row],[Hygiene Coverage%]]</f>
        <v>1</v>
      </c>
      <c r="DT161" s="970">
        <f>WWWW[[#This Row],['# people reached by regular dedicated hygiene promotion_5]]/WWWW[[#This Row],[Total PoP ]]</f>
        <v>0</v>
      </c>
      <c r="DU16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1" s="971">
        <f>WWWW[[#This Row],['#_Constructed/Existing hand washing stations]]-WWWW[[#This Row],['#_Non-Functional_hand_washing_stations]]</f>
        <v>0</v>
      </c>
      <c r="DX161" s="968">
        <f>IF(WWWW[[#This Row],['# Functional hand washing stations during reporting period]]*20&gt;WWWW[[#This Row],[Total HH]],WWWW[[#This Row],[Total HH]],WWWW[[#This Row],['# Functional hand washing stations during reporting period]]*20)</f>
        <v>0</v>
      </c>
      <c r="DY161" s="968">
        <f>IF(WWWW[[#This Row],[Is sufficient soap available for TLS? (Yes/No)]]="yes",WWWW[[#This Row],['#_Constructed/Existing hand washing stations at TLS/CFS/THF]],0)</f>
        <v>0</v>
      </c>
      <c r="DZ161" s="425">
        <f>IF(WWWW[[#This Row],['# Functional hand washing stations during reporting period]]*100&gt;WWWW[[#This Row],[Total PoP ]],WWWW[[#This Row],[Total PoP ]],WWWW[[#This Row],['# Functional hand washing stations during reporting period]]*100)</f>
        <v>0</v>
      </c>
      <c r="EA161" s="425" t="str">
        <f>IF(OR(WWWW[[#This Row],['#_students at TLS_CFS]]="",WWWW[[#This Row],['#_students at TLS_CFS]]=0),"No","Yes")</f>
        <v>No</v>
      </c>
      <c r="EB16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1" s="570">
        <f>WWWW[[#This Row],[%_of_affected_people_surveyed_who_report_feeling_satistfied_with_the_latrine_design_and_sanitation_service]]*WWWW[[#This Row],[Total PoP ]]</f>
        <v>0</v>
      </c>
      <c r="ED161" s="570">
        <f>WWWW[[#This Row],[%_of_affected_people_surveyed_who_report_feeling_satistfied_with_the_water_point_design_and_water_service]]*WWWW[[#This Row],[Total PoP ]]</f>
        <v>0</v>
      </c>
      <c r="EE161" s="570">
        <f>WWWW[[#This Row],[%_of_complaints_received_that_result_in_timely_corrective_action_and_feedback_to_the_community]]*WWWW[[#This Row],[Total PoP ]]</f>
        <v>0</v>
      </c>
      <c r="EF16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1" s="964">
        <f>VLOOKUP(WWWW[[#This Row],[Site Name]],SiteDB6[[Site Name]:[CCCM Management]],6,FALSE)</f>
        <v>0</v>
      </c>
      <c r="EJ161" s="964" t="str">
        <f>VLOOKUP(WWWW[[#This Row],[Site Name]],SiteDB6[[Site Name]:[CCCM Focal Agency]],7,FALSE)</f>
        <v>Uncovered</v>
      </c>
      <c r="EK161" s="964" t="str">
        <f>VLOOKUP(WWWW[[#This Row],[Site Name]],SiteDB6[[Site Name]:[Location Type 1]],9,FALSE)</f>
        <v>Camp</v>
      </c>
      <c r="EL161" s="964" t="str">
        <f>VLOOKUP(WWWW[[#This Row],[Site Name]],SiteDB6[[Site Name]:[Type of Accommodation]],10,FALSE)</f>
        <v>Camp like setting</v>
      </c>
      <c r="EM161" s="964" t="str">
        <f>VLOOKUP(WWWW[[#This Row],[Site Name]],SiteDB6[[Site Name]:[Ethnic or GCA/NGCA]],11,FALSE)</f>
        <v>GCA</v>
      </c>
      <c r="EN161" s="964">
        <f>VLOOKUP(WWWW[[#This Row],[Site Name]],SiteDB6[[Site Name]:[Lat]],12,FALSE)</f>
        <v>0</v>
      </c>
      <c r="EO161" s="964" t="str">
        <f>VLOOKUP(WWWW[[#This Row],[Site Name]],SiteDB6[[Site Name]:[Long]],13,FALSE)</f>
        <v>not available</v>
      </c>
      <c r="EP161" s="964" t="str">
        <f>VLOOKUP(WWWW[[#This Row],[Site Name]],SiteDB6[[Site Name]:[Pcode]],3,FALSE)</f>
        <v>MMR015CMP095</v>
      </c>
      <c r="EQ161" s="969" t="str">
        <f t="shared" si="5"/>
        <v>Notcovered</v>
      </c>
      <c r="ER161" s="969"/>
      <c r="ES161" s="964">
        <f>VLOOKUP(WWWW[[#This Row],[Site Name]],SiteDB6[[Site Name]:[Pop
(Kachin/Shan-CCCM as of March 2023)]],16,FALSE)</f>
        <v>18</v>
      </c>
      <c r="ET161" s="964">
        <f>VLOOKUP(WWWW[[#This Row],[Site Name]],SiteDB6[[Site Name]:[Pop
(Kachin/Shan-CCCM as of March 2023)]],17,FALSE)</f>
        <v>92</v>
      </c>
    </row>
    <row r="162" spans="1:150" hidden="1">
      <c r="A162" s="962" t="s">
        <v>2977</v>
      </c>
      <c r="B162" s="962" t="s">
        <v>309</v>
      </c>
      <c r="C162" s="963" t="s">
        <v>309</v>
      </c>
      <c r="D162" s="963"/>
      <c r="E162" s="963" t="s">
        <v>515</v>
      </c>
      <c r="F162" s="963" t="s">
        <v>961</v>
      </c>
      <c r="G162" s="964" t="str">
        <f>VLOOKUP(WWWW[[#This Row],[Site Name]],SiteDB6[[Site Name]:[Location Type]],8,FALSE)</f>
        <v>Camp</v>
      </c>
      <c r="H162" s="963" t="s">
        <v>3002</v>
      </c>
      <c r="I162" s="965">
        <v>7</v>
      </c>
      <c r="J162" s="965">
        <v>30</v>
      </c>
      <c r="K162" s="966"/>
      <c r="L162" s="967"/>
      <c r="M162" s="965"/>
      <c r="N162" s="965"/>
      <c r="O162" s="965"/>
      <c r="P162" s="965"/>
      <c r="Q162" s="968"/>
      <c r="R162" s="965"/>
      <c r="S162" s="965"/>
      <c r="T162" s="445"/>
      <c r="U162" s="965"/>
      <c r="V162" s="965"/>
      <c r="W162" s="965"/>
      <c r="X162" s="965"/>
      <c r="Y162" s="965"/>
      <c r="Z162" s="965"/>
      <c r="AA162" s="965"/>
      <c r="AB162" s="965"/>
      <c r="AC162" s="965"/>
      <c r="AD162" s="965"/>
      <c r="AE162" s="965"/>
      <c r="AF162" s="965"/>
      <c r="AG162" s="965"/>
      <c r="AH162" s="965"/>
      <c r="AI162" s="965"/>
      <c r="AJ162" s="965"/>
      <c r="AK162" s="965"/>
      <c r="AL162" s="965"/>
      <c r="AM162" s="965"/>
      <c r="AN162" s="965"/>
      <c r="AO162" s="445"/>
      <c r="AP162" s="969"/>
      <c r="AQ162" s="965"/>
      <c r="AR162" s="965"/>
      <c r="AS162" s="970"/>
      <c r="AT162" s="965"/>
      <c r="AU162" s="965"/>
      <c r="AV162" s="965"/>
      <c r="AW162" s="965"/>
      <c r="AX162" s="965"/>
      <c r="AY162" s="964"/>
      <c r="AZ162" s="969"/>
      <c r="BA162" s="965"/>
      <c r="BB162" s="965"/>
      <c r="BC162" s="965"/>
      <c r="BD162" s="445"/>
      <c r="BE162" s="445"/>
      <c r="BF162" s="964"/>
      <c r="BG162" s="965"/>
      <c r="BH162" s="965"/>
      <c r="BI162" s="965"/>
      <c r="BJ162" s="965"/>
      <c r="BK162" s="965"/>
      <c r="BL162" s="965"/>
      <c r="BM162" s="965"/>
      <c r="BN162" s="965"/>
      <c r="BO162" s="965"/>
      <c r="BP162" s="964"/>
      <c r="BQ162" s="971"/>
      <c r="BR162" s="970"/>
      <c r="BS162" s="964"/>
      <c r="BT162" s="420"/>
      <c r="BU162" s="420"/>
      <c r="BV162" s="422"/>
      <c r="BW162" s="420"/>
      <c r="BX162" s="445"/>
      <c r="BY162" s="445"/>
      <c r="BZ162" s="445"/>
      <c r="CA162" s="445"/>
      <c r="CB162" s="445"/>
      <c r="CC162" s="702"/>
      <c r="CD162" s="445"/>
      <c r="CE162" s="972" t="str">
        <f>IFERROR(WWWW[[#This Row],['#_Water sources passed]]/WWWW[[#This Row],['#_Water sources tested for fecal coliform ]],"no test")</f>
        <v>no test</v>
      </c>
      <c r="CF162" s="970" t="str">
        <f>IFERROR(WWWW[[#This Row],['#_Household passed]]/WWWW[[#This Row],['#_Household water samples tested for fecal coliform]],"no test")</f>
        <v>no test</v>
      </c>
      <c r="CG162" s="971" t="str">
        <f>IF(AND(WWWW[[#This Row],[% of water sources passed]]="no test",WWWW[[#This Row],[% Household passed]]="no test"),"No Test","Tested")</f>
        <v>No Test</v>
      </c>
      <c r="CH162" s="971">
        <f>WWWW[[#This Row],['#_Constructed/existing protected hand dug well]]-WWWW[[#This Row],['#_Non-functional protected hand dug well]]</f>
        <v>0</v>
      </c>
      <c r="CI162" s="971">
        <f>(WWWW[[#This Row],['#_Constructed/Existing tube wells/boreholes/handpumps_WASH_agency]]+WWWW[[#This Row],['#_Non-Cluster partner water tube-wells/boreholes/handpumps]])-WWWW[[#This Row],['#_Non-functional tube wells/boreholes/handpumps]]</f>
        <v>0</v>
      </c>
      <c r="CJ162" s="971">
        <f>WWWW[[#This Row],['#_Constructed/Existingwater storage tank with gravity fed reticulation system]]-WWWW[[#This Row],['#_Non-functional storage tank gravity fed reticulation system]]</f>
        <v>0</v>
      </c>
      <c r="CK162" s="971">
        <f>(WWWW[[#This Row],['#_Water_Liters_supplied_by_Water boating or water trucking]]/90)/15</f>
        <v>0</v>
      </c>
      <c r="CL162" s="971">
        <f>WWWW[[#This Row],['#_Water_Liters_from_Constructed/Existing water distribution system from river or natural spring]]/90/15</f>
        <v>0</v>
      </c>
      <c r="CM162" s="421">
        <f>IF(WWWW[[#This Row],['#_of water points in TLS/CFS]]*500&gt;WWWW[[#This Row],[Total PoP ]],WWWW[[#This Row],[Total PoP ]],WWWW[[#This Row],['#_of water points in TLS/CFS]]*500)</f>
        <v>0</v>
      </c>
      <c r="CN162" s="421">
        <f>IF(WWWW[[#This Row],['#_of water points in THF]]*500&gt;WWWW[[#This Row],[Total PoP ]],WWWW[[#This Row],[Total PoP ]],WWWW[[#This Row],['#_of water points in THF]]*500)</f>
        <v>0</v>
      </c>
      <c r="CO162" s="421"/>
      <c r="CP16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2" s="970">
        <f>IF(WWWW[[#This Row],[Location Type 1]]="Village",WWWW[[#This Row],[Access to safe drinking water for Village]],WWWW[[#This Row],[Access to safe drinking water for Camp]])</f>
        <v>0</v>
      </c>
      <c r="CS162" s="968">
        <f>WWWW[[#This Row],[%Equitable and continuous access to sufficient quantity of safe drinking water]]*WWWW[[#This Row],[Total PoP ]]</f>
        <v>0</v>
      </c>
      <c r="CT162" s="970">
        <f>IF((WWWW[[#This Row],['#_Constructed/Existing protected/fenced ponds]]*250)/WWWW[[#This Row],[Total PoP ]]&gt;1,1,(WWWW[[#This Row],['#_Constructed/Existing protected/fenced ponds]]*250)/WWWW[[#This Row],[Total PoP ]])</f>
        <v>0</v>
      </c>
      <c r="CU162" s="968">
        <f>WWWW[[#This Row],[% Access to unimproved water points]]*WWWW[[#This Row],[Total PoP ]]</f>
        <v>0</v>
      </c>
      <c r="CV16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2" s="968">
        <f>WWWW[[#This Row],[HRP1]]/500</f>
        <v>0</v>
      </c>
      <c r="CY162" s="973">
        <f>1-WWWW[[#This Row],[% Equitable and continuous access to sufficient quantity of domestic water]]</f>
        <v>1</v>
      </c>
      <c r="CZ162" s="968">
        <f>WWWW[[#This Row],[%equitable and continuous access to sufficient quantity of safe drinking and domestic water''s GAP]]*WWWW[[#This Row],[Total PoP ]]</f>
        <v>30</v>
      </c>
      <c r="DA162" s="971">
        <f>IF(WWWW[[#This Row],[Total required water points]]-WWWW[[#This Row],['#Water points coverage]]&lt;0,0,WWWW[[#This Row],[Total required water points]]-WWWW[[#This Row],['#Water points coverage]])</f>
        <v>1</v>
      </c>
      <c r="DB162" s="971">
        <f>ROUND(IF(WWWW[[#This Row],[Total PoP ]]&lt;500,1,WWWW[[#This Row],[Total PoP ]]/500),0)</f>
        <v>1</v>
      </c>
      <c r="DC162" s="971">
        <f>(WWWW[[#This Row],['#_Constructed latrines_by_WASHAgencies]]+WWWW[[#This Row],['#_Non Cluster partner latrines]])-WWWW[[#This Row],['#_Non-functional latrines]]</f>
        <v>0</v>
      </c>
      <c r="DD162" s="619">
        <f>WWWW[[#This Row],[HRP2]]/WWWW[[#This Row],[Total PoP ]]</f>
        <v>0</v>
      </c>
      <c r="DE16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2" s="421">
        <f>IF(WWWW[[#This Row],['# of functional latrines in THF supported by WASH partners during the reporting period2]]="",0,WWWW[[#This Row],['# of functional latrines in THF supported by WASH partners during the reporting period2]]*50)</f>
        <v>0</v>
      </c>
      <c r="DI162" s="971">
        <f>ROUND(IF(WWWW[[#This Row],[Location Type 1]]="camp",WWWW[[#This Row],[Total PoP ]]/20,IF(WWWW[[#This Row],[Location Type 1]]="Temporary Location",WWWW[[#This Row],[Total PoP ]]/50,(WWWW[[#This Row],[Total PoP ]]/6))),0)</f>
        <v>2</v>
      </c>
      <c r="DJ162" s="971">
        <f>IF(WWWW[[#This Row],[Total required Latrines]]-(WWWW[[#This Row],['#_Constructed latrines_by_WASHAgencies]]+WWWW[[#This Row],['#_Non Cluster partner latrines]])&lt;0,0,WWWW[[#This Row],[Total required Latrines]]-(WWWW[[#This Row],['#_Constructed latrines_by_WASHAgencies]]+WWWW[[#This Row],['#_Non Cluster partner latrines]]))</f>
        <v>2</v>
      </c>
      <c r="DK162" s="973">
        <f>1-WWWW[[#This Row],[% people access to functioning Latrine]]</f>
        <v>1</v>
      </c>
      <c r="DL162" s="972">
        <f>IF(OR(WWWW[[#This Row],['#_Non-functional latrines]]="",WWWW[[#This Row],['#_Non-functional latrines]]=0),0,WWWW[[#This Row],['#_Non-functional latrines]]/(WWWW[[#This Row],['#_Constructed latrines_by_WASHAgencies]]+WWWW[[#This Row],['#_Non Cluster partner latrines]]))</f>
        <v>0</v>
      </c>
      <c r="DM162" s="968">
        <f>IF(500*(WWWW[[#This Row],['#_male hygiene promoters]]+WWWW[[#This Row],['#_female hygiene promoters]])&gt;WWWW[[#This Row],[Total PoP ]],WWWW[[#This Row],[Total PoP ]],500*(WWWW[[#This Row],['#_male hygiene promoters]]+WWWW[[#This Row],['#_female hygiene promoters]]))</f>
        <v>0</v>
      </c>
      <c r="DN16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2" s="971">
        <f>IF(WWWW[[#This Row],['# People with access to soap]]&gt;WWWW[[#This Row],['# People with access to Sanity Pads]],WWWW[[#This Row],['# People with access to soap]],WWWW[[#This Row],['# People with access to Sanity Pads]])</f>
        <v>0</v>
      </c>
      <c r="DQ16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2" s="973">
        <f>IF(WWWW[[#This Row],[HRP3]]/WWWW[[#This Row],[Total PoP ]]&gt;1,1,WWWW[[#This Row],[HRP3]]/WWWW[[#This Row],[Total PoP ]])</f>
        <v>0</v>
      </c>
      <c r="DS162" s="972">
        <f>1-WWWW[[#This Row],[Hygiene Coverage%]]</f>
        <v>1</v>
      </c>
      <c r="DT162" s="970">
        <f>WWWW[[#This Row],['# people reached by regular dedicated hygiene promotion_5]]/WWWW[[#This Row],[Total PoP ]]</f>
        <v>0</v>
      </c>
      <c r="DU16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2" s="971">
        <f>WWWW[[#This Row],['#_Constructed/Existing hand washing stations]]-WWWW[[#This Row],['#_Non-Functional_hand_washing_stations]]</f>
        <v>0</v>
      </c>
      <c r="DX162" s="968">
        <f>IF(WWWW[[#This Row],['# Functional hand washing stations during reporting period]]*20&gt;WWWW[[#This Row],[Total HH]],WWWW[[#This Row],[Total HH]],WWWW[[#This Row],['# Functional hand washing stations during reporting period]]*20)</f>
        <v>0</v>
      </c>
      <c r="DY162" s="968">
        <f>IF(WWWW[[#This Row],[Is sufficient soap available for TLS? (Yes/No)]]="yes",WWWW[[#This Row],['#_Constructed/Existing hand washing stations at TLS/CFS/THF]],0)</f>
        <v>0</v>
      </c>
      <c r="DZ162" s="425">
        <f>IF(WWWW[[#This Row],['# Functional hand washing stations during reporting period]]*100&gt;WWWW[[#This Row],[Total PoP ]],WWWW[[#This Row],[Total PoP ]],WWWW[[#This Row],['# Functional hand washing stations during reporting period]]*100)</f>
        <v>0</v>
      </c>
      <c r="EA162" s="425" t="str">
        <f>IF(OR(WWWW[[#This Row],['#_students at TLS_CFS]]="",WWWW[[#This Row],['#_students at TLS_CFS]]=0),"No","Yes")</f>
        <v>No</v>
      </c>
      <c r="EB16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2" s="570">
        <f>WWWW[[#This Row],[%_of_affected_people_surveyed_who_report_feeling_satistfied_with_the_latrine_design_and_sanitation_service]]*WWWW[[#This Row],[Total PoP ]]</f>
        <v>0</v>
      </c>
      <c r="ED162" s="570">
        <f>WWWW[[#This Row],[%_of_affected_people_surveyed_who_report_feeling_satistfied_with_the_water_point_design_and_water_service]]*WWWW[[#This Row],[Total PoP ]]</f>
        <v>0</v>
      </c>
      <c r="EE162" s="570">
        <f>WWWW[[#This Row],[%_of_complaints_received_that_result_in_timely_corrective_action_and_feedback_to_the_community]]*WWWW[[#This Row],[Total PoP ]]</f>
        <v>0</v>
      </c>
      <c r="EF16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2" s="964">
        <f>VLOOKUP(WWWW[[#This Row],[Site Name]],SiteDB6[[Site Name]:[CCCM Management]],6,FALSE)</f>
        <v>0</v>
      </c>
      <c r="EJ162" s="964" t="str">
        <f>VLOOKUP(WWWW[[#This Row],[Site Name]],SiteDB6[[Site Name]:[CCCM Focal Agency]],7,FALSE)</f>
        <v>Uncovered</v>
      </c>
      <c r="EK162" s="964" t="str">
        <f>VLOOKUP(WWWW[[#This Row],[Site Name]],SiteDB6[[Site Name]:[Location Type 1]],9,FALSE)</f>
        <v>Camp</v>
      </c>
      <c r="EL162" s="964" t="str">
        <f>VLOOKUP(WWWW[[#This Row],[Site Name]],SiteDB6[[Site Name]:[Type of Accommodation]],10,FALSE)</f>
        <v>Camp like setting</v>
      </c>
      <c r="EM162" s="964" t="str">
        <f>VLOOKUP(WWWW[[#This Row],[Site Name]],SiteDB6[[Site Name]:[Ethnic or GCA/NGCA]],11,FALSE)</f>
        <v>GCA</v>
      </c>
      <c r="EN162" s="964">
        <f>VLOOKUP(WWWW[[#This Row],[Site Name]],SiteDB6[[Site Name]:[Lat]],12,FALSE)</f>
        <v>0</v>
      </c>
      <c r="EO162" s="964" t="str">
        <f>VLOOKUP(WWWW[[#This Row],[Site Name]],SiteDB6[[Site Name]:[Long]],13,FALSE)</f>
        <v>not available</v>
      </c>
      <c r="EP162" s="964" t="str">
        <f>VLOOKUP(WWWW[[#This Row],[Site Name]],SiteDB6[[Site Name]:[Pcode]],3,FALSE)</f>
        <v>MMR015CMP096</v>
      </c>
      <c r="EQ162" s="969" t="str">
        <f t="shared" si="5"/>
        <v>Notcovered</v>
      </c>
      <c r="ER162" s="969"/>
      <c r="ES162" s="964">
        <f>VLOOKUP(WWWW[[#This Row],[Site Name]],SiteDB6[[Site Name]:[Pop
(Kachin/Shan-CCCM as of March 2023)]],16,FALSE)</f>
        <v>7</v>
      </c>
      <c r="ET162" s="964">
        <f>VLOOKUP(WWWW[[#This Row],[Site Name]],SiteDB6[[Site Name]:[Pop
(Kachin/Shan-CCCM as of March 2023)]],17,FALSE)</f>
        <v>30</v>
      </c>
    </row>
    <row r="163" spans="1:150" hidden="1">
      <c r="A163" s="962" t="s">
        <v>2977</v>
      </c>
      <c r="B163" s="962" t="s">
        <v>309</v>
      </c>
      <c r="C163" s="963" t="s">
        <v>309</v>
      </c>
      <c r="D163" s="963"/>
      <c r="E163" s="963" t="s">
        <v>515</v>
      </c>
      <c r="F163" s="963" t="s">
        <v>525</v>
      </c>
      <c r="G163" s="964" t="str">
        <f>VLOOKUP(WWWW[[#This Row],[Site Name]],SiteDB6[[Site Name]:[Location Type]],8,FALSE)</f>
        <v>Camp</v>
      </c>
      <c r="H163" s="963" t="s">
        <v>3078</v>
      </c>
      <c r="I163" s="965">
        <v>102</v>
      </c>
      <c r="J163" s="965">
        <v>328</v>
      </c>
      <c r="K163" s="966"/>
      <c r="L163" s="967"/>
      <c r="M163" s="965"/>
      <c r="N163" s="965"/>
      <c r="O163" s="965"/>
      <c r="P163" s="965"/>
      <c r="Q163" s="968"/>
      <c r="R163" s="965"/>
      <c r="S163" s="965"/>
      <c r="T163" s="445"/>
      <c r="U163" s="965"/>
      <c r="V163" s="965"/>
      <c r="W163" s="965"/>
      <c r="X163" s="965"/>
      <c r="Y163" s="965"/>
      <c r="Z163" s="965"/>
      <c r="AA163" s="965"/>
      <c r="AB163" s="965"/>
      <c r="AC163" s="965"/>
      <c r="AD163" s="965"/>
      <c r="AE163" s="965"/>
      <c r="AF163" s="965"/>
      <c r="AG163" s="965"/>
      <c r="AH163" s="965"/>
      <c r="AI163" s="965"/>
      <c r="AJ163" s="965"/>
      <c r="AK163" s="965"/>
      <c r="AL163" s="965"/>
      <c r="AM163" s="965"/>
      <c r="AN163" s="965"/>
      <c r="AO163" s="445"/>
      <c r="AP163" s="969"/>
      <c r="AQ163" s="965"/>
      <c r="AR163" s="965"/>
      <c r="AS163" s="970"/>
      <c r="AT163" s="965"/>
      <c r="AU163" s="965"/>
      <c r="AV163" s="965"/>
      <c r="AW163" s="965"/>
      <c r="AX163" s="965"/>
      <c r="AY163" s="964"/>
      <c r="AZ163" s="969"/>
      <c r="BA163" s="965"/>
      <c r="BB163" s="965"/>
      <c r="BC163" s="965"/>
      <c r="BD163" s="445"/>
      <c r="BE163" s="445"/>
      <c r="BF163" s="964"/>
      <c r="BG163" s="965"/>
      <c r="BH163" s="965"/>
      <c r="BI163" s="965"/>
      <c r="BJ163" s="965"/>
      <c r="BK163" s="965"/>
      <c r="BL163" s="965"/>
      <c r="BM163" s="965"/>
      <c r="BN163" s="965"/>
      <c r="BO163" s="965"/>
      <c r="BP163" s="964"/>
      <c r="BQ163" s="971"/>
      <c r="BR163" s="970"/>
      <c r="BS163" s="964"/>
      <c r="BT163" s="420"/>
      <c r="BU163" s="420"/>
      <c r="BV163" s="422"/>
      <c r="BW163" s="420"/>
      <c r="BX163" s="445"/>
      <c r="BY163" s="445"/>
      <c r="BZ163" s="445"/>
      <c r="CA163" s="445"/>
      <c r="CB163" s="445"/>
      <c r="CC163" s="702"/>
      <c r="CD163" s="445"/>
      <c r="CE163" s="972" t="str">
        <f>IFERROR(WWWW[[#This Row],['#_Water sources passed]]/WWWW[[#This Row],['#_Water sources tested for fecal coliform ]],"no test")</f>
        <v>no test</v>
      </c>
      <c r="CF163" s="970" t="str">
        <f>IFERROR(WWWW[[#This Row],['#_Household passed]]/WWWW[[#This Row],['#_Household water samples tested for fecal coliform]],"no test")</f>
        <v>no test</v>
      </c>
      <c r="CG163" s="971" t="str">
        <f>IF(AND(WWWW[[#This Row],[% of water sources passed]]="no test",WWWW[[#This Row],[% Household passed]]="no test"),"No Test","Tested")</f>
        <v>No Test</v>
      </c>
      <c r="CH163" s="971">
        <f>WWWW[[#This Row],['#_Constructed/existing protected hand dug well]]-WWWW[[#This Row],['#_Non-functional protected hand dug well]]</f>
        <v>0</v>
      </c>
      <c r="CI163" s="971">
        <f>(WWWW[[#This Row],['#_Constructed/Existing tube wells/boreholes/handpumps_WASH_agency]]+WWWW[[#This Row],['#_Non-Cluster partner water tube-wells/boreholes/handpumps]])-WWWW[[#This Row],['#_Non-functional tube wells/boreholes/handpumps]]</f>
        <v>0</v>
      </c>
      <c r="CJ163" s="971">
        <f>WWWW[[#This Row],['#_Constructed/Existingwater storage tank with gravity fed reticulation system]]-WWWW[[#This Row],['#_Non-functional storage tank gravity fed reticulation system]]</f>
        <v>0</v>
      </c>
      <c r="CK163" s="971">
        <f>(WWWW[[#This Row],['#_Water_Liters_supplied_by_Water boating or water trucking]]/90)/15</f>
        <v>0</v>
      </c>
      <c r="CL163" s="971">
        <f>WWWW[[#This Row],['#_Water_Liters_from_Constructed/Existing water distribution system from river or natural spring]]/90/15</f>
        <v>0</v>
      </c>
      <c r="CM163" s="421">
        <f>IF(WWWW[[#This Row],['#_of water points in TLS/CFS]]*500&gt;WWWW[[#This Row],[Total PoP ]],WWWW[[#This Row],[Total PoP ]],WWWW[[#This Row],['#_of water points in TLS/CFS]]*500)</f>
        <v>0</v>
      </c>
      <c r="CN163" s="421">
        <f>IF(WWWW[[#This Row],['#_of water points in THF]]*500&gt;WWWW[[#This Row],[Total PoP ]],WWWW[[#This Row],[Total PoP ]],WWWW[[#This Row],['#_of water points in THF]]*500)</f>
        <v>0</v>
      </c>
      <c r="CO163" s="421"/>
      <c r="CP16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3" s="970">
        <f>IF(WWWW[[#This Row],[Location Type 1]]="Village",WWWW[[#This Row],[Access to safe drinking water for Village]],WWWW[[#This Row],[Access to safe drinking water for Camp]])</f>
        <v>0</v>
      </c>
      <c r="CS163" s="968">
        <f>WWWW[[#This Row],[%Equitable and continuous access to sufficient quantity of safe drinking water]]*WWWW[[#This Row],[Total PoP ]]</f>
        <v>0</v>
      </c>
      <c r="CT163" s="970">
        <f>IF((WWWW[[#This Row],['#_Constructed/Existing protected/fenced ponds]]*250)/WWWW[[#This Row],[Total PoP ]]&gt;1,1,(WWWW[[#This Row],['#_Constructed/Existing protected/fenced ponds]]*250)/WWWW[[#This Row],[Total PoP ]])</f>
        <v>0</v>
      </c>
      <c r="CU163" s="968">
        <f>WWWW[[#This Row],[% Access to unimproved water points]]*WWWW[[#This Row],[Total PoP ]]</f>
        <v>0</v>
      </c>
      <c r="CV16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3" s="968">
        <f>WWWW[[#This Row],[HRP1]]/500</f>
        <v>0</v>
      </c>
      <c r="CY163" s="973">
        <f>1-WWWW[[#This Row],[% Equitable and continuous access to sufficient quantity of domestic water]]</f>
        <v>1</v>
      </c>
      <c r="CZ163" s="968">
        <f>WWWW[[#This Row],[%equitable and continuous access to sufficient quantity of safe drinking and domestic water''s GAP]]*WWWW[[#This Row],[Total PoP ]]</f>
        <v>328</v>
      </c>
      <c r="DA163" s="971">
        <f>IF(WWWW[[#This Row],[Total required water points]]-WWWW[[#This Row],['#Water points coverage]]&lt;0,0,WWWW[[#This Row],[Total required water points]]-WWWW[[#This Row],['#Water points coverage]])</f>
        <v>1</v>
      </c>
      <c r="DB163" s="971">
        <f>ROUND(IF(WWWW[[#This Row],[Total PoP ]]&lt;500,1,WWWW[[#This Row],[Total PoP ]]/500),0)</f>
        <v>1</v>
      </c>
      <c r="DC163" s="971">
        <f>(WWWW[[#This Row],['#_Constructed latrines_by_WASHAgencies]]+WWWW[[#This Row],['#_Non Cluster partner latrines]])-WWWW[[#This Row],['#_Non-functional latrines]]</f>
        <v>0</v>
      </c>
      <c r="DD163" s="619">
        <f>WWWW[[#This Row],[HRP2]]/WWWW[[#This Row],[Total PoP ]]</f>
        <v>0</v>
      </c>
      <c r="DE16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3" s="421">
        <f>IF(WWWW[[#This Row],['# of functional latrines in THF supported by WASH partners during the reporting period2]]="",0,WWWW[[#This Row],['# of functional latrines in THF supported by WASH partners during the reporting period2]]*50)</f>
        <v>0</v>
      </c>
      <c r="DI163" s="971">
        <f>ROUND(IF(WWWW[[#This Row],[Location Type 1]]="camp",WWWW[[#This Row],[Total PoP ]]/20,IF(WWWW[[#This Row],[Location Type 1]]="Temporary Location",WWWW[[#This Row],[Total PoP ]]/50,(WWWW[[#This Row],[Total PoP ]]/6))),0)</f>
        <v>16</v>
      </c>
      <c r="DJ163" s="971">
        <f>IF(WWWW[[#This Row],[Total required Latrines]]-(WWWW[[#This Row],['#_Constructed latrines_by_WASHAgencies]]+WWWW[[#This Row],['#_Non Cluster partner latrines]])&lt;0,0,WWWW[[#This Row],[Total required Latrines]]-(WWWW[[#This Row],['#_Constructed latrines_by_WASHAgencies]]+WWWW[[#This Row],['#_Non Cluster partner latrines]]))</f>
        <v>16</v>
      </c>
      <c r="DK163" s="973">
        <f>1-WWWW[[#This Row],[% people access to functioning Latrine]]</f>
        <v>1</v>
      </c>
      <c r="DL163" s="972">
        <f>IF(OR(WWWW[[#This Row],['#_Non-functional latrines]]="",WWWW[[#This Row],['#_Non-functional latrines]]=0),0,WWWW[[#This Row],['#_Non-functional latrines]]/(WWWW[[#This Row],['#_Constructed latrines_by_WASHAgencies]]+WWWW[[#This Row],['#_Non Cluster partner latrines]]))</f>
        <v>0</v>
      </c>
      <c r="DM163" s="968">
        <f>IF(500*(WWWW[[#This Row],['#_male hygiene promoters]]+WWWW[[#This Row],['#_female hygiene promoters]])&gt;WWWW[[#This Row],[Total PoP ]],WWWW[[#This Row],[Total PoP ]],500*(WWWW[[#This Row],['#_male hygiene promoters]]+WWWW[[#This Row],['#_female hygiene promoters]]))</f>
        <v>0</v>
      </c>
      <c r="DN16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3" s="971">
        <f>IF(WWWW[[#This Row],['# People with access to soap]]&gt;WWWW[[#This Row],['# People with access to Sanity Pads]],WWWW[[#This Row],['# People with access to soap]],WWWW[[#This Row],['# People with access to Sanity Pads]])</f>
        <v>0</v>
      </c>
      <c r="DQ163"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3" s="973">
        <f>IF(WWWW[[#This Row],[HRP3]]/WWWW[[#This Row],[Total PoP ]]&gt;1,1,WWWW[[#This Row],[HRP3]]/WWWW[[#This Row],[Total PoP ]])</f>
        <v>0</v>
      </c>
      <c r="DS163" s="972">
        <f>1-WWWW[[#This Row],[Hygiene Coverage%]]</f>
        <v>1</v>
      </c>
      <c r="DT163" s="970">
        <f>WWWW[[#This Row],['# people reached by regular dedicated hygiene promotion_5]]/WWWW[[#This Row],[Total PoP ]]</f>
        <v>0</v>
      </c>
      <c r="DU16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3" s="971">
        <f>WWWW[[#This Row],['#_Constructed/Existing hand washing stations]]-WWWW[[#This Row],['#_Non-Functional_hand_washing_stations]]</f>
        <v>0</v>
      </c>
      <c r="DX163" s="968">
        <f>IF(WWWW[[#This Row],['# Functional hand washing stations during reporting period]]*20&gt;WWWW[[#This Row],[Total HH]],WWWW[[#This Row],[Total HH]],WWWW[[#This Row],['# Functional hand washing stations during reporting period]]*20)</f>
        <v>0</v>
      </c>
      <c r="DY163" s="968">
        <f>IF(WWWW[[#This Row],[Is sufficient soap available for TLS? (Yes/No)]]="yes",WWWW[[#This Row],['#_Constructed/Existing hand washing stations at TLS/CFS/THF]],0)</f>
        <v>0</v>
      </c>
      <c r="DZ163" s="425">
        <f>IF(WWWW[[#This Row],['# Functional hand washing stations during reporting period]]*100&gt;WWWW[[#This Row],[Total PoP ]],WWWW[[#This Row],[Total PoP ]],WWWW[[#This Row],['# Functional hand washing stations during reporting period]]*100)</f>
        <v>0</v>
      </c>
      <c r="EA163" s="425" t="str">
        <f>IF(OR(WWWW[[#This Row],['#_students at TLS_CFS]]="",WWWW[[#This Row],['#_students at TLS_CFS]]=0),"No","Yes")</f>
        <v>No</v>
      </c>
      <c r="EB16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3" s="570">
        <f>WWWW[[#This Row],[%_of_affected_people_surveyed_who_report_feeling_satistfied_with_the_latrine_design_and_sanitation_service]]*WWWW[[#This Row],[Total PoP ]]</f>
        <v>0</v>
      </c>
      <c r="ED163" s="570">
        <f>WWWW[[#This Row],[%_of_affected_people_surveyed_who_report_feeling_satistfied_with_the_water_point_design_and_water_service]]*WWWW[[#This Row],[Total PoP ]]</f>
        <v>0</v>
      </c>
      <c r="EE163" s="570">
        <f>WWWW[[#This Row],[%_of_complaints_received_that_result_in_timely_corrective_action_and_feedback_to_the_community]]*WWWW[[#This Row],[Total PoP ]]</f>
        <v>0</v>
      </c>
      <c r="EF16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3" s="964">
        <f>VLOOKUP(WWWW[[#This Row],[Site Name]],SiteDB6[[Site Name]:[CCCM Management]],6,FALSE)</f>
        <v>0</v>
      </c>
      <c r="EJ163" s="964">
        <f>VLOOKUP(WWWW[[#This Row],[Site Name]],SiteDB6[[Site Name]:[CCCM Focal Agency]],7,FALSE)</f>
        <v>0</v>
      </c>
      <c r="EK163" s="964" t="str">
        <f>VLOOKUP(WWWW[[#This Row],[Site Name]],SiteDB6[[Site Name]:[Location Type 1]],9,FALSE)</f>
        <v>Camp</v>
      </c>
      <c r="EL163" s="964" t="str">
        <f>VLOOKUP(WWWW[[#This Row],[Site Name]],SiteDB6[[Site Name]:[Type of Accommodation]],10,FALSE)</f>
        <v>Camp like setting</v>
      </c>
      <c r="EM163" s="964" t="str">
        <f>VLOOKUP(WWWW[[#This Row],[Site Name]],SiteDB6[[Site Name]:[Ethnic or GCA/NGCA]],11,FALSE)</f>
        <v>GCA</v>
      </c>
      <c r="EN163" s="964">
        <f>VLOOKUP(WWWW[[#This Row],[Site Name]],SiteDB6[[Site Name]:[Lat]],12,FALSE)</f>
        <v>0</v>
      </c>
      <c r="EO163" s="964">
        <f>VLOOKUP(WWWW[[#This Row],[Site Name]],SiteDB6[[Site Name]:[Long]],13,FALSE)</f>
        <v>0</v>
      </c>
      <c r="EP163" s="964" t="str">
        <f>VLOOKUP(WWWW[[#This Row],[Site Name]],SiteDB6[[Site Name]:[Pcode]],3,FALSE)</f>
        <v>MMR015CMP084</v>
      </c>
      <c r="EQ163" s="969" t="str">
        <f t="shared" si="5"/>
        <v>Notcovered</v>
      </c>
      <c r="ER163" s="969"/>
      <c r="ES163" s="964">
        <f>VLOOKUP(WWWW[[#This Row],[Site Name]],SiteDB6[[Site Name]:[Pop
(Kachin/Shan-CCCM as of March 2023)]],16,FALSE)</f>
        <v>102</v>
      </c>
      <c r="ET163" s="964">
        <f>VLOOKUP(WWWW[[#This Row],[Site Name]],SiteDB6[[Site Name]:[Pop
(Kachin/Shan-CCCM as of March 2023)]],17,FALSE)</f>
        <v>328</v>
      </c>
    </row>
    <row r="164" spans="1:150" hidden="1">
      <c r="A164" s="962" t="s">
        <v>2977</v>
      </c>
      <c r="B164" s="962" t="s">
        <v>309</v>
      </c>
      <c r="C164" s="963" t="s">
        <v>309</v>
      </c>
      <c r="D164" s="963"/>
      <c r="E164" s="963" t="s">
        <v>37</v>
      </c>
      <c r="F164" s="963" t="s">
        <v>142</v>
      </c>
      <c r="G164" s="964" t="str">
        <f>VLOOKUP(WWWW[[#This Row],[Site Name]],SiteDB6[[Site Name]:[Location Type]],8,FALSE)</f>
        <v>Camp</v>
      </c>
      <c r="H164" s="963" t="s">
        <v>2723</v>
      </c>
      <c r="I164" s="965">
        <v>61</v>
      </c>
      <c r="J164" s="965">
        <v>294</v>
      </c>
      <c r="K164" s="966"/>
      <c r="L164" s="967"/>
      <c r="M164" s="965"/>
      <c r="N164" s="965"/>
      <c r="O164" s="965"/>
      <c r="P164" s="965"/>
      <c r="Q164" s="968"/>
      <c r="R164" s="965"/>
      <c r="S164" s="965"/>
      <c r="T164" s="445"/>
      <c r="U164" s="965"/>
      <c r="V164" s="965"/>
      <c r="W164" s="965"/>
      <c r="X164" s="965"/>
      <c r="Y164" s="965"/>
      <c r="Z164" s="965"/>
      <c r="AA164" s="965"/>
      <c r="AB164" s="965"/>
      <c r="AC164" s="965"/>
      <c r="AD164" s="965"/>
      <c r="AE164" s="965"/>
      <c r="AF164" s="965"/>
      <c r="AG164" s="965"/>
      <c r="AH164" s="965"/>
      <c r="AI164" s="965"/>
      <c r="AJ164" s="965"/>
      <c r="AK164" s="965"/>
      <c r="AL164" s="965"/>
      <c r="AM164" s="965"/>
      <c r="AN164" s="965"/>
      <c r="AO164" s="445"/>
      <c r="AP164" s="969"/>
      <c r="AQ164" s="965"/>
      <c r="AR164" s="965"/>
      <c r="AS164" s="970"/>
      <c r="AT164" s="965"/>
      <c r="AU164" s="965"/>
      <c r="AV164" s="965"/>
      <c r="AW164" s="965"/>
      <c r="AX164" s="965"/>
      <c r="AY164" s="964"/>
      <c r="AZ164" s="969"/>
      <c r="BA164" s="965"/>
      <c r="BB164" s="965"/>
      <c r="BC164" s="965"/>
      <c r="BD164" s="445"/>
      <c r="BE164" s="445"/>
      <c r="BF164" s="964"/>
      <c r="BG164" s="965"/>
      <c r="BH164" s="965"/>
      <c r="BI164" s="965"/>
      <c r="BJ164" s="965"/>
      <c r="BK164" s="965"/>
      <c r="BL164" s="965"/>
      <c r="BM164" s="965"/>
      <c r="BN164" s="965"/>
      <c r="BO164" s="965"/>
      <c r="BP164" s="964"/>
      <c r="BQ164" s="971"/>
      <c r="BR164" s="970"/>
      <c r="BS164" s="964"/>
      <c r="BT164" s="420"/>
      <c r="BU164" s="420"/>
      <c r="BV164" s="422"/>
      <c r="BW164" s="420"/>
      <c r="BX164" s="445"/>
      <c r="BY164" s="445"/>
      <c r="BZ164" s="445"/>
      <c r="CA164" s="445"/>
      <c r="CB164" s="445"/>
      <c r="CC164" s="702"/>
      <c r="CD164" s="445"/>
      <c r="CE164" s="972" t="str">
        <f>IFERROR(WWWW[[#This Row],['#_Water sources passed]]/WWWW[[#This Row],['#_Water sources tested for fecal coliform ]],"no test")</f>
        <v>no test</v>
      </c>
      <c r="CF164" s="970" t="str">
        <f>IFERROR(WWWW[[#This Row],['#_Household passed]]/WWWW[[#This Row],['#_Household water samples tested for fecal coliform]],"no test")</f>
        <v>no test</v>
      </c>
      <c r="CG164" s="971" t="str">
        <f>IF(AND(WWWW[[#This Row],[% of water sources passed]]="no test",WWWW[[#This Row],[% Household passed]]="no test"),"No Test","Tested")</f>
        <v>No Test</v>
      </c>
      <c r="CH164" s="971">
        <f>WWWW[[#This Row],['#_Constructed/existing protected hand dug well]]-WWWW[[#This Row],['#_Non-functional protected hand dug well]]</f>
        <v>0</v>
      </c>
      <c r="CI164" s="971">
        <f>(WWWW[[#This Row],['#_Constructed/Existing tube wells/boreholes/handpumps_WASH_agency]]+WWWW[[#This Row],['#_Non-Cluster partner water tube-wells/boreholes/handpumps]])-WWWW[[#This Row],['#_Non-functional tube wells/boreholes/handpumps]]</f>
        <v>0</v>
      </c>
      <c r="CJ164" s="971">
        <f>WWWW[[#This Row],['#_Constructed/Existingwater storage tank with gravity fed reticulation system]]-WWWW[[#This Row],['#_Non-functional storage tank gravity fed reticulation system]]</f>
        <v>0</v>
      </c>
      <c r="CK164" s="971">
        <f>(WWWW[[#This Row],['#_Water_Liters_supplied_by_Water boating or water trucking]]/90)/15</f>
        <v>0</v>
      </c>
      <c r="CL164" s="971">
        <f>WWWW[[#This Row],['#_Water_Liters_from_Constructed/Existing water distribution system from river or natural spring]]/90/15</f>
        <v>0</v>
      </c>
      <c r="CM164" s="421">
        <f>IF(WWWW[[#This Row],['#_of water points in TLS/CFS]]*500&gt;WWWW[[#This Row],[Total PoP ]],WWWW[[#This Row],[Total PoP ]],WWWW[[#This Row],['#_of water points in TLS/CFS]]*500)</f>
        <v>0</v>
      </c>
      <c r="CN164" s="421">
        <f>IF(WWWW[[#This Row],['#_of water points in THF]]*500&gt;WWWW[[#This Row],[Total PoP ]],WWWW[[#This Row],[Total PoP ]],WWWW[[#This Row],['#_of water points in THF]]*500)</f>
        <v>0</v>
      </c>
      <c r="CO164" s="421"/>
      <c r="CP16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4" s="970">
        <f>IF(WWWW[[#This Row],[Location Type 1]]="Village",WWWW[[#This Row],[Access to safe drinking water for Village]],WWWW[[#This Row],[Access to safe drinking water for Camp]])</f>
        <v>0</v>
      </c>
      <c r="CS164" s="968">
        <f>WWWW[[#This Row],[%Equitable and continuous access to sufficient quantity of safe drinking water]]*WWWW[[#This Row],[Total PoP ]]</f>
        <v>0</v>
      </c>
      <c r="CT164" s="970">
        <f>IF((WWWW[[#This Row],['#_Constructed/Existing protected/fenced ponds]]*250)/WWWW[[#This Row],[Total PoP ]]&gt;1,1,(WWWW[[#This Row],['#_Constructed/Existing protected/fenced ponds]]*250)/WWWW[[#This Row],[Total PoP ]])</f>
        <v>0</v>
      </c>
      <c r="CU164" s="968">
        <f>WWWW[[#This Row],[% Access to unimproved water points]]*WWWW[[#This Row],[Total PoP ]]</f>
        <v>0</v>
      </c>
      <c r="CV16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4" s="968">
        <f>WWWW[[#This Row],[HRP1]]/500</f>
        <v>0</v>
      </c>
      <c r="CY164" s="973">
        <f>1-WWWW[[#This Row],[% Equitable and continuous access to sufficient quantity of domestic water]]</f>
        <v>1</v>
      </c>
      <c r="CZ164" s="968">
        <f>WWWW[[#This Row],[%equitable and continuous access to sufficient quantity of safe drinking and domestic water''s GAP]]*WWWW[[#This Row],[Total PoP ]]</f>
        <v>294</v>
      </c>
      <c r="DA164" s="971">
        <f>IF(WWWW[[#This Row],[Total required water points]]-WWWW[[#This Row],['#Water points coverage]]&lt;0,0,WWWW[[#This Row],[Total required water points]]-WWWW[[#This Row],['#Water points coverage]])</f>
        <v>1</v>
      </c>
      <c r="DB164" s="971">
        <f>ROUND(IF(WWWW[[#This Row],[Total PoP ]]&lt;500,1,WWWW[[#This Row],[Total PoP ]]/500),0)</f>
        <v>1</v>
      </c>
      <c r="DC164" s="971">
        <f>(WWWW[[#This Row],['#_Constructed latrines_by_WASHAgencies]]+WWWW[[#This Row],['#_Non Cluster partner latrines]])-WWWW[[#This Row],['#_Non-functional latrines]]</f>
        <v>0</v>
      </c>
      <c r="DD164" s="619">
        <f>WWWW[[#This Row],[HRP2]]/WWWW[[#This Row],[Total PoP ]]</f>
        <v>0</v>
      </c>
      <c r="DE16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4" s="421">
        <f>IF(WWWW[[#This Row],['# of functional latrines in THF supported by WASH partners during the reporting period2]]="",0,WWWW[[#This Row],['# of functional latrines in THF supported by WASH partners during the reporting period2]]*50)</f>
        <v>0</v>
      </c>
      <c r="DI164" s="971">
        <f>ROUND(IF(WWWW[[#This Row],[Location Type 1]]="camp",WWWW[[#This Row],[Total PoP ]]/20,IF(WWWW[[#This Row],[Location Type 1]]="Temporary Location",WWWW[[#This Row],[Total PoP ]]/50,(WWWW[[#This Row],[Total PoP ]]/6))),0)</f>
        <v>15</v>
      </c>
      <c r="DJ164" s="971">
        <f>IF(WWWW[[#This Row],[Total required Latrines]]-(WWWW[[#This Row],['#_Constructed latrines_by_WASHAgencies]]+WWWW[[#This Row],['#_Non Cluster partner latrines]])&lt;0,0,WWWW[[#This Row],[Total required Latrines]]-(WWWW[[#This Row],['#_Constructed latrines_by_WASHAgencies]]+WWWW[[#This Row],['#_Non Cluster partner latrines]]))</f>
        <v>15</v>
      </c>
      <c r="DK164" s="973">
        <f>1-WWWW[[#This Row],[% people access to functioning Latrine]]</f>
        <v>1</v>
      </c>
      <c r="DL164" s="972">
        <f>IF(OR(WWWW[[#This Row],['#_Non-functional latrines]]="",WWWW[[#This Row],['#_Non-functional latrines]]=0),0,WWWW[[#This Row],['#_Non-functional latrines]]/(WWWW[[#This Row],['#_Constructed latrines_by_WASHAgencies]]+WWWW[[#This Row],['#_Non Cluster partner latrines]]))</f>
        <v>0</v>
      </c>
      <c r="DM164" s="968">
        <f>IF(500*(WWWW[[#This Row],['#_male hygiene promoters]]+WWWW[[#This Row],['#_female hygiene promoters]])&gt;WWWW[[#This Row],[Total PoP ]],WWWW[[#This Row],[Total PoP ]],500*(WWWW[[#This Row],['#_male hygiene promoters]]+WWWW[[#This Row],['#_female hygiene promoters]]))</f>
        <v>0</v>
      </c>
      <c r="DN16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4" s="971">
        <f>IF(WWWW[[#This Row],['# People with access to soap]]&gt;WWWW[[#This Row],['# People with access to Sanity Pads]],WWWW[[#This Row],['# People with access to soap]],WWWW[[#This Row],['# People with access to Sanity Pads]])</f>
        <v>0</v>
      </c>
      <c r="DQ16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4" s="973">
        <f>IF(WWWW[[#This Row],[HRP3]]/WWWW[[#This Row],[Total PoP ]]&gt;1,1,WWWW[[#This Row],[HRP3]]/WWWW[[#This Row],[Total PoP ]])</f>
        <v>0</v>
      </c>
      <c r="DS164" s="972">
        <f>1-WWWW[[#This Row],[Hygiene Coverage%]]</f>
        <v>1</v>
      </c>
      <c r="DT164" s="970">
        <f>WWWW[[#This Row],['# people reached by regular dedicated hygiene promotion_5]]/WWWW[[#This Row],[Total PoP ]]</f>
        <v>0</v>
      </c>
      <c r="DU16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4" s="971">
        <f>WWWW[[#This Row],['#_Constructed/Existing hand washing stations]]-WWWW[[#This Row],['#_Non-Functional_hand_washing_stations]]</f>
        <v>0</v>
      </c>
      <c r="DX164" s="968">
        <f>IF(WWWW[[#This Row],['# Functional hand washing stations during reporting period]]*20&gt;WWWW[[#This Row],[Total HH]],WWWW[[#This Row],[Total HH]],WWWW[[#This Row],['# Functional hand washing stations during reporting period]]*20)</f>
        <v>0</v>
      </c>
      <c r="DY164" s="968">
        <f>IF(WWWW[[#This Row],[Is sufficient soap available for TLS? (Yes/No)]]="yes",WWWW[[#This Row],['#_Constructed/Existing hand washing stations at TLS/CFS/THF]],0)</f>
        <v>0</v>
      </c>
      <c r="DZ164" s="425">
        <f>IF(WWWW[[#This Row],['# Functional hand washing stations during reporting period]]*100&gt;WWWW[[#This Row],[Total PoP ]],WWWW[[#This Row],[Total PoP ]],WWWW[[#This Row],['# Functional hand washing stations during reporting period]]*100)</f>
        <v>0</v>
      </c>
      <c r="EA164" s="425" t="str">
        <f>IF(OR(WWWW[[#This Row],['#_students at TLS_CFS]]="",WWWW[[#This Row],['#_students at TLS_CFS]]=0),"No","Yes")</f>
        <v>No</v>
      </c>
      <c r="EB16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4" s="570">
        <f>WWWW[[#This Row],[%_of_affected_people_surveyed_who_report_feeling_satistfied_with_the_latrine_design_and_sanitation_service]]*WWWW[[#This Row],[Total PoP ]]</f>
        <v>0</v>
      </c>
      <c r="ED164" s="570">
        <f>WWWW[[#This Row],[%_of_affected_people_surveyed_who_report_feeling_satistfied_with_the_water_point_design_and_water_service]]*WWWW[[#This Row],[Total PoP ]]</f>
        <v>0</v>
      </c>
      <c r="EE164" s="570">
        <f>WWWW[[#This Row],[%_of_complaints_received_that_result_in_timely_corrective_action_and_feedback_to_the_community]]*WWWW[[#This Row],[Total PoP ]]</f>
        <v>0</v>
      </c>
      <c r="EF16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4" s="964">
        <f>VLOOKUP(WWWW[[#This Row],[Site Name]],SiteDB6[[Site Name]:[CCCM Management]],6,FALSE)</f>
        <v>0</v>
      </c>
      <c r="EJ164" s="964" t="str">
        <f>VLOOKUP(WWWW[[#This Row],[Site Name]],SiteDB6[[Site Name]:[CCCM Focal Agency]],7,FALSE)</f>
        <v xml:space="preserve">Uncovered  </v>
      </c>
      <c r="EK164" s="964" t="str">
        <f>VLOOKUP(WWWW[[#This Row],[Site Name]],SiteDB6[[Site Name]:[Location Type 1]],9,FALSE)</f>
        <v>Camp</v>
      </c>
      <c r="EL164" s="964" t="str">
        <f>VLOOKUP(WWWW[[#This Row],[Site Name]],SiteDB6[[Site Name]:[Type of Accommodation]],10,FALSE)</f>
        <v>Camp like setting</v>
      </c>
      <c r="EM164" s="964" t="str">
        <f>VLOOKUP(WWWW[[#This Row],[Site Name]],SiteDB6[[Site Name]:[Ethnic or GCA/NGCA]],11,FALSE)</f>
        <v>GCA</v>
      </c>
      <c r="EN164" s="964">
        <f>VLOOKUP(WWWW[[#This Row],[Site Name]],SiteDB6[[Site Name]:[Lat]],12,FALSE)</f>
        <v>25.2057</v>
      </c>
      <c r="EO164" s="964">
        <f>VLOOKUP(WWWW[[#This Row],[Site Name]],SiteDB6[[Site Name]:[Long]],13,FALSE)</f>
        <v>97.262200000000007</v>
      </c>
      <c r="EP164" s="964" t="str">
        <f>VLOOKUP(WWWW[[#This Row],[Site Name]],SiteDB6[[Site Name]:[Pcode]],3,FALSE)</f>
        <v>MMR001CMP290</v>
      </c>
      <c r="EQ164" s="969" t="str">
        <f t="shared" si="5"/>
        <v>Notcovered</v>
      </c>
      <c r="ER164" s="969"/>
      <c r="ES164" s="964">
        <f>VLOOKUP(WWWW[[#This Row],[Site Name]],SiteDB6[[Site Name]:[Pop
(Kachin/Shan-CCCM as of March 2023)]],16,FALSE)</f>
        <v>61</v>
      </c>
      <c r="ET164" s="964">
        <f>VLOOKUP(WWWW[[#This Row],[Site Name]],SiteDB6[[Site Name]:[Pop
(Kachin/Shan-CCCM as of March 2023)]],17,FALSE)</f>
        <v>294</v>
      </c>
    </row>
    <row r="165" spans="1:150" hidden="1">
      <c r="A165" s="962" t="s">
        <v>2977</v>
      </c>
      <c r="B165" s="962" t="s">
        <v>192</v>
      </c>
      <c r="C165" s="962" t="s">
        <v>192</v>
      </c>
      <c r="D165" s="963" t="s">
        <v>2898</v>
      </c>
      <c r="E165" s="963" t="s">
        <v>37</v>
      </c>
      <c r="F165" s="963" t="s">
        <v>205</v>
      </c>
      <c r="G165" s="964" t="s">
        <v>3081</v>
      </c>
      <c r="H165" s="963" t="s">
        <v>209</v>
      </c>
      <c r="I165" s="965">
        <v>46</v>
      </c>
      <c r="J165" s="965">
        <v>263</v>
      </c>
      <c r="K165" s="966" t="s">
        <v>3154</v>
      </c>
      <c r="L165" s="967" t="s">
        <v>3155</v>
      </c>
      <c r="M165" s="965"/>
      <c r="N165" s="965"/>
      <c r="O165" s="965"/>
      <c r="P165" s="965"/>
      <c r="Q165" s="968" t="s">
        <v>41</v>
      </c>
      <c r="R165" s="965">
        <v>4</v>
      </c>
      <c r="S165" s="965"/>
      <c r="T165" s="445">
        <v>1</v>
      </c>
      <c r="U165" s="965"/>
      <c r="V165" s="965"/>
      <c r="W165" s="965">
        <v>2</v>
      </c>
      <c r="X165" s="965"/>
      <c r="Y165" s="965"/>
      <c r="Z165" s="965"/>
      <c r="AA165" s="965"/>
      <c r="AB165" s="965"/>
      <c r="AC165" s="965"/>
      <c r="AD165" s="965"/>
      <c r="AE165" s="965"/>
      <c r="AF165" s="965"/>
      <c r="AG165" s="965">
        <v>1</v>
      </c>
      <c r="AH165" s="965"/>
      <c r="AI165" s="965"/>
      <c r="AJ165" s="965"/>
      <c r="AK165" s="965"/>
      <c r="AL165" s="965"/>
      <c r="AM165" s="965"/>
      <c r="AN165" s="965"/>
      <c r="AO165" s="445"/>
      <c r="AP165" s="969"/>
      <c r="AQ165" s="965">
        <v>5</v>
      </c>
      <c r="AR165" s="965"/>
      <c r="AS165" s="970"/>
      <c r="AT165" s="965"/>
      <c r="AU165" s="965"/>
      <c r="AV165" s="965"/>
      <c r="AW165" s="965"/>
      <c r="AX165" s="965"/>
      <c r="AY165" s="964" t="s">
        <v>41</v>
      </c>
      <c r="AZ165" s="969" t="s">
        <v>137</v>
      </c>
      <c r="BA165" s="965"/>
      <c r="BB165" s="965"/>
      <c r="BC165" s="965"/>
      <c r="BD165" s="445"/>
      <c r="BE165" s="445"/>
      <c r="BF165" s="964"/>
      <c r="BG165" s="965">
        <v>2</v>
      </c>
      <c r="BH165" s="965"/>
      <c r="BI165" s="965"/>
      <c r="BJ165" s="965">
        <v>2</v>
      </c>
      <c r="BK165" s="965"/>
      <c r="BL165" s="965"/>
      <c r="BM165" s="965"/>
      <c r="BN165" s="965"/>
      <c r="BO165" s="965"/>
      <c r="BP165" s="964"/>
      <c r="BQ165" s="971"/>
      <c r="BR165" s="970"/>
      <c r="BS165" s="964"/>
      <c r="BT165" s="420"/>
      <c r="BU165" s="420"/>
      <c r="BV165" s="422"/>
      <c r="BW165" s="420"/>
      <c r="BX165" s="445"/>
      <c r="BY165" s="445"/>
      <c r="BZ165" s="445"/>
      <c r="CA165" s="445"/>
      <c r="CB165" s="445"/>
      <c r="CC165" s="702"/>
      <c r="CD165" s="445"/>
      <c r="CE165" s="972" t="str">
        <f>IFERROR(WWWW[[#This Row],['#_Water sources passed]]/WWWW[[#This Row],['#_Water sources tested for fecal coliform ]],"no test")</f>
        <v>no test</v>
      </c>
      <c r="CF165" s="970" t="str">
        <f>IFERROR(WWWW[[#This Row],['#_Household passed]]/WWWW[[#This Row],['#_Household water samples tested for fecal coliform]],"no test")</f>
        <v>no test</v>
      </c>
      <c r="CG165" s="971" t="str">
        <f>IF(AND(WWWW[[#This Row],[% of water sources passed]]="no test",WWWW[[#This Row],[% Household passed]]="no test"),"No Test","Tested")</f>
        <v>No Test</v>
      </c>
      <c r="CH165" s="971">
        <f>WWWW[[#This Row],['#_Constructed/existing protected hand dug well]]-WWWW[[#This Row],['#_Non-functional protected hand dug well]]</f>
        <v>1</v>
      </c>
      <c r="CI165" s="971">
        <f>(WWWW[[#This Row],['#_Constructed/Existing tube wells/boreholes/handpumps_WASH_agency]]+WWWW[[#This Row],['#_Non-Cluster partner water tube-wells/boreholes/handpumps]])-WWWW[[#This Row],['#_Non-functional tube wells/boreholes/handpumps]]</f>
        <v>2</v>
      </c>
      <c r="CJ165" s="971">
        <f>WWWW[[#This Row],['#_Constructed/Existingwater storage tank with gravity fed reticulation system]]-WWWW[[#This Row],['#_Non-functional storage tank gravity fed reticulation system]]</f>
        <v>0</v>
      </c>
      <c r="CK165" s="971">
        <f>(WWWW[[#This Row],['#_Water_Liters_supplied_by_Water boating or water trucking]]/90)/15</f>
        <v>0</v>
      </c>
      <c r="CL165" s="971">
        <f>WWWW[[#This Row],['#_Water_Liters_from_Constructed/Existing water distribution system from river or natural spring]]/90/15</f>
        <v>0</v>
      </c>
      <c r="CM165" s="421">
        <f>IF(WWWW[[#This Row],['#_of water points in TLS/CFS]]*500&gt;WWWW[[#This Row],[Total PoP ]],WWWW[[#This Row],[Total PoP ]],WWWW[[#This Row],['#_of water points in TLS/CFS]]*500)</f>
        <v>0</v>
      </c>
      <c r="CN165" s="421">
        <f>IF(WWWW[[#This Row],['#_of water points in THF]]*500&gt;WWWW[[#This Row],[Total PoP ]],WWWW[[#This Row],[Total PoP ]],WWWW[[#This Row],['#_of water points in THF]]*500)</f>
        <v>0</v>
      </c>
      <c r="CO165" s="421"/>
      <c r="CP16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6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65" s="970">
        <f>IF(WWWW[[#This Row],[Location Type 1]]="Village",WWWW[[#This Row],[Access to safe drinking water for Village]],WWWW[[#This Row],[Access to safe drinking water for Camp]])</f>
        <v>1</v>
      </c>
      <c r="CS165" s="968">
        <f>WWWW[[#This Row],[%Equitable and continuous access to sufficient quantity of safe drinking water]]*WWWW[[#This Row],[Total PoP ]]</f>
        <v>263</v>
      </c>
      <c r="CT165" s="970">
        <f>IF((WWWW[[#This Row],['#_Constructed/Existing protected/fenced ponds]]*250)/WWWW[[#This Row],[Total PoP ]]&gt;1,1,(WWWW[[#This Row],['#_Constructed/Existing protected/fenced ponds]]*250)/WWWW[[#This Row],[Total PoP ]])</f>
        <v>0</v>
      </c>
      <c r="CU165" s="968">
        <f>WWWW[[#This Row],[% Access to unimproved water points]]*WWWW[[#This Row],[Total PoP ]]</f>
        <v>0</v>
      </c>
      <c r="CV16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6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X165" s="968">
        <f>WWWW[[#This Row],[HRP1]]/500</f>
        <v>0.52600000000000002</v>
      </c>
      <c r="CY165" s="973">
        <f>1-WWWW[[#This Row],[% Equitable and continuous access to sufficient quantity of domestic water]]</f>
        <v>0</v>
      </c>
      <c r="CZ165" s="968">
        <f>WWWW[[#This Row],[%equitable and continuous access to sufficient quantity of safe drinking and domestic water''s GAP]]*WWWW[[#This Row],[Total PoP ]]</f>
        <v>0</v>
      </c>
      <c r="DA165" s="971">
        <f>IF(WWWW[[#This Row],[Total required water points]]-WWWW[[#This Row],['#Water points coverage]]&lt;0,0,WWWW[[#This Row],[Total required water points]]-WWWW[[#This Row],['#Water points coverage]])</f>
        <v>0.47399999999999998</v>
      </c>
      <c r="DB165" s="971">
        <f>ROUND(IF(WWWW[[#This Row],[Total PoP ]]&lt;500,1,WWWW[[#This Row],[Total PoP ]]/500),0)</f>
        <v>1</v>
      </c>
      <c r="DC165" s="971">
        <f>(WWWW[[#This Row],['#_Constructed latrines_by_WASHAgencies]]+WWWW[[#This Row],['#_Non Cluster partner latrines]])-WWWW[[#This Row],['#_Non-functional latrines]]</f>
        <v>5</v>
      </c>
      <c r="DD165" s="619">
        <f>WWWW[[#This Row],[HRP2]]/WWWW[[#This Row],[Total PoP ]]</f>
        <v>0.38022813688212925</v>
      </c>
      <c r="DE16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16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5" s="421">
        <f>IF(WWWW[[#This Row],['# of functional latrines in THF supported by WASH partners during the reporting period2]]="",0,WWWW[[#This Row],['# of functional latrines in THF supported by WASH partners during the reporting period2]]*50)</f>
        <v>0</v>
      </c>
      <c r="DI165" s="971">
        <f>ROUND(IF(WWWW[[#This Row],[Location Type 1]]="camp",WWWW[[#This Row],[Total PoP ]]/20,IF(WWWW[[#This Row],[Location Type 1]]="Temporary Location",WWWW[[#This Row],[Total PoP ]]/50,(WWWW[[#This Row],[Total PoP ]]/6))),0)</f>
        <v>13</v>
      </c>
      <c r="DJ165" s="971">
        <f>IF(WWWW[[#This Row],[Total required Latrines]]-(WWWW[[#This Row],['#_Constructed latrines_by_WASHAgencies]]+WWWW[[#This Row],['#_Non Cluster partner latrines]])&lt;0,0,WWWW[[#This Row],[Total required Latrines]]-(WWWW[[#This Row],['#_Constructed latrines_by_WASHAgencies]]+WWWW[[#This Row],['#_Non Cluster partner latrines]]))</f>
        <v>8</v>
      </c>
      <c r="DK165" s="973">
        <f>1-WWWW[[#This Row],[% people access to functioning Latrine]]</f>
        <v>0.6197718631178708</v>
      </c>
      <c r="DL165" s="972">
        <f>IF(OR(WWWW[[#This Row],['#_Non-functional latrines]]="",WWWW[[#This Row],['#_Non-functional latrines]]=0),0,WWWW[[#This Row],['#_Non-functional latrines]]/(WWWW[[#This Row],['#_Constructed latrines_by_WASHAgencies]]+WWWW[[#This Row],['#_Non Cluster partner latrines]]))</f>
        <v>0</v>
      </c>
      <c r="DM165" s="968">
        <f>IF(500*(WWWW[[#This Row],['#_male hygiene promoters]]+WWWW[[#This Row],['#_female hygiene promoters]])&gt;WWWW[[#This Row],[Total PoP ]],WWWW[[#This Row],[Total PoP ]],500*(WWWW[[#This Row],['#_male hygiene promoters]]+WWWW[[#This Row],['#_female hygiene promoters]]))</f>
        <v>0</v>
      </c>
      <c r="DN16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5" s="971">
        <f>IF(WWWW[[#This Row],['# People with access to soap]]&gt;WWWW[[#This Row],['# People with access to Sanity Pads]],WWWW[[#This Row],['# People with access to soap]],WWWW[[#This Row],['# People with access to Sanity Pads]])</f>
        <v>0</v>
      </c>
      <c r="DQ16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5" s="973">
        <f>IF(WWWW[[#This Row],[HRP3]]/WWWW[[#This Row],[Total PoP ]]&gt;1,1,WWWW[[#This Row],[HRP3]]/WWWW[[#This Row],[Total PoP ]])</f>
        <v>0</v>
      </c>
      <c r="DS165" s="972">
        <f>1-WWWW[[#This Row],[Hygiene Coverage%]]</f>
        <v>1</v>
      </c>
      <c r="DT165" s="970">
        <f>WWWW[[#This Row],['# people reached by regular dedicated hygiene promotion_5]]/WWWW[[#This Row],[Total PoP ]]</f>
        <v>0</v>
      </c>
      <c r="DU16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5" s="971">
        <f>WWWW[[#This Row],['#_Constructed/Existing hand washing stations]]-WWWW[[#This Row],['#_Non-Functional_hand_washing_stations]]</f>
        <v>2</v>
      </c>
      <c r="DX165" s="968">
        <f>IF(WWWW[[#This Row],['# Functional hand washing stations during reporting period]]*20&gt;WWWW[[#This Row],[Total HH]],WWWW[[#This Row],[Total HH]],WWWW[[#This Row],['# Functional hand washing stations during reporting period]]*20)</f>
        <v>40</v>
      </c>
      <c r="DY165" s="968">
        <f>IF(WWWW[[#This Row],[Is sufficient soap available for TLS? (Yes/No)]]="yes",WWWW[[#This Row],['#_Constructed/Existing hand washing stations at TLS/CFS/THF]],0)</f>
        <v>0</v>
      </c>
      <c r="DZ165" s="425">
        <f>IF(WWWW[[#This Row],['# Functional hand washing stations during reporting period]]*100&gt;WWWW[[#This Row],[Total PoP ]],WWWW[[#This Row],[Total PoP ]],WWWW[[#This Row],['# Functional hand washing stations during reporting period]]*100)</f>
        <v>200</v>
      </c>
      <c r="EA165" s="425" t="str">
        <f>IF(OR(WWWW[[#This Row],['#_students at TLS_CFS]]="",WWWW[[#This Row],['#_students at TLS_CFS]]=0),"No","Yes")</f>
        <v>No</v>
      </c>
      <c r="EB16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5" s="570">
        <f>WWWW[[#This Row],[%_of_affected_people_surveyed_who_report_feeling_satistfied_with_the_latrine_design_and_sanitation_service]]*WWWW[[#This Row],[Total PoP ]]</f>
        <v>0</v>
      </c>
      <c r="ED165" s="570">
        <f>WWWW[[#This Row],[%_of_affected_people_surveyed_who_report_feeling_satistfied_with_the_water_point_design_and_water_service]]*WWWW[[#This Row],[Total PoP ]]</f>
        <v>0</v>
      </c>
      <c r="EE165" s="570">
        <f>WWWW[[#This Row],[%_of_complaints_received_that_result_in_timely_corrective_action_and_feedback_to_the_community]]*WWWW[[#This Row],[Total PoP ]]</f>
        <v>0</v>
      </c>
      <c r="EF16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5" s="964">
        <f>VLOOKUP(WWWW[[#This Row],[Site Name]],SiteDB6[[Site Name]:[CCCM Management]],6,FALSE)</f>
        <v>0</v>
      </c>
      <c r="EJ165" s="964">
        <f>VLOOKUP(WWWW[[#This Row],[Site Name]],SiteDB6[[Site Name]:[CCCM Focal Agency]],7,FALSE)</f>
        <v>0</v>
      </c>
      <c r="EK165" s="964" t="str">
        <f>VLOOKUP(WWWW[[#This Row],[Site Name]],SiteDB6[[Site Name]:[Location Type 1]],9,FALSE)</f>
        <v>Camp</v>
      </c>
      <c r="EL165" s="964" t="str">
        <f>VLOOKUP(WWWW[[#This Row],[Site Name]],SiteDB6[[Site Name]:[Type of Accommodation]],10,FALSE)</f>
        <v>Camp</v>
      </c>
      <c r="EM165" s="964" t="str">
        <f>VLOOKUP(WWWW[[#This Row],[Site Name]],SiteDB6[[Site Name]:[Ethnic or GCA/NGCA]],11,FALSE)</f>
        <v>GCA</v>
      </c>
      <c r="EN165" s="964">
        <f>VLOOKUP(WWWW[[#This Row],[Site Name]],SiteDB6[[Site Name]:[Lat]],12,FALSE)</f>
        <v>0</v>
      </c>
      <c r="EO165" s="964">
        <f>VLOOKUP(WWWW[[#This Row],[Site Name]],SiteDB6[[Site Name]:[Long]],13,FALSE)</f>
        <v>0</v>
      </c>
      <c r="EP165" s="964">
        <f>VLOOKUP(WWWW[[#This Row],[Site Name]],SiteDB6[[Site Name]:[Pcode]],3,FALSE)</f>
        <v>0</v>
      </c>
      <c r="EQ165" s="969" t="str">
        <f t="shared" si="5"/>
        <v>Covered</v>
      </c>
      <c r="ER165" s="969" t="s">
        <v>3147</v>
      </c>
      <c r="ES165" s="964">
        <f>VLOOKUP(WWWW[[#This Row],[Site Name]],SiteDB6[[Site Name]:[Pop
(Kachin/Shan-CCCM as of March 2023)]],16,FALSE)</f>
        <v>0</v>
      </c>
      <c r="ET165" s="964">
        <f>VLOOKUP(WWWW[[#This Row],[Site Name]],SiteDB6[[Site Name]:[Pop
(Kachin/Shan-CCCM as of March 2023)]],17,FALSE)</f>
        <v>0</v>
      </c>
    </row>
    <row r="166" spans="1:150" hidden="1">
      <c r="A166" s="962" t="s">
        <v>2977</v>
      </c>
      <c r="B166" s="962" t="s">
        <v>276</v>
      </c>
      <c r="C166" s="963" t="s">
        <v>276</v>
      </c>
      <c r="D166" s="963" t="s">
        <v>2898</v>
      </c>
      <c r="E166" s="963" t="s">
        <v>37</v>
      </c>
      <c r="F166" s="963" t="s">
        <v>205</v>
      </c>
      <c r="G166" s="964" t="s">
        <v>43</v>
      </c>
      <c r="H166" s="963" t="s">
        <v>281</v>
      </c>
      <c r="I166" s="965">
        <v>85</v>
      </c>
      <c r="J166" s="965">
        <v>255</v>
      </c>
      <c r="K166" s="966">
        <v>44652</v>
      </c>
      <c r="L166" s="967">
        <v>45016</v>
      </c>
      <c r="M166" s="965"/>
      <c r="N166" s="965"/>
      <c r="O166" s="965">
        <v>1</v>
      </c>
      <c r="P166" s="965"/>
      <c r="Q166" s="968" t="s">
        <v>41</v>
      </c>
      <c r="R166" s="965">
        <v>3</v>
      </c>
      <c r="S166" s="965">
        <v>3</v>
      </c>
      <c r="T166" s="445">
        <v>1</v>
      </c>
      <c r="U166" s="965"/>
      <c r="V166" s="965"/>
      <c r="W166" s="965"/>
      <c r="X166" s="965"/>
      <c r="Y166" s="965"/>
      <c r="Z166" s="965"/>
      <c r="AA166" s="965">
        <v>1</v>
      </c>
      <c r="AB166" s="965"/>
      <c r="AC166" s="965"/>
      <c r="AD166" s="965"/>
      <c r="AE166" s="965"/>
      <c r="AF166" s="965"/>
      <c r="AG166" s="965">
        <v>2</v>
      </c>
      <c r="AH166" s="965"/>
      <c r="AI166" s="965">
        <v>1</v>
      </c>
      <c r="AJ166" s="965">
        <v>1</v>
      </c>
      <c r="AK166" s="965">
        <v>6</v>
      </c>
      <c r="AL166" s="965">
        <v>5</v>
      </c>
      <c r="AM166" s="965"/>
      <c r="AN166" s="965"/>
      <c r="AO166" s="445"/>
      <c r="AP166" s="969"/>
      <c r="AQ166" s="965">
        <v>9</v>
      </c>
      <c r="AR166" s="965"/>
      <c r="AS166" s="970"/>
      <c r="AT166" s="965"/>
      <c r="AU166" s="965">
        <v>2</v>
      </c>
      <c r="AV166" s="965">
        <v>12</v>
      </c>
      <c r="AW166" s="965">
        <v>16</v>
      </c>
      <c r="AX166" s="965"/>
      <c r="AY166" s="964" t="s">
        <v>41</v>
      </c>
      <c r="AZ166" s="969" t="s">
        <v>137</v>
      </c>
      <c r="BA166" s="965"/>
      <c r="BB166" s="965"/>
      <c r="BC166" s="965"/>
      <c r="BD166" s="445"/>
      <c r="BE166" s="445">
        <v>2</v>
      </c>
      <c r="BF166" s="964"/>
      <c r="BG166" s="965">
        <v>7</v>
      </c>
      <c r="BH166" s="965"/>
      <c r="BI166" s="965"/>
      <c r="BJ166" s="965">
        <v>1</v>
      </c>
      <c r="BK166" s="965"/>
      <c r="BL166" s="965">
        <v>1</v>
      </c>
      <c r="BM166" s="965">
        <v>1</v>
      </c>
      <c r="BN166" s="965"/>
      <c r="BO166" s="965"/>
      <c r="BP166" s="964" t="s">
        <v>136</v>
      </c>
      <c r="BQ166" s="971">
        <v>2</v>
      </c>
      <c r="BR166" s="970">
        <v>0.8</v>
      </c>
      <c r="BS166" s="964"/>
      <c r="BT166" s="420">
        <v>0.66</v>
      </c>
      <c r="BU166" s="420">
        <v>1</v>
      </c>
      <c r="BV166" s="422">
        <v>8</v>
      </c>
      <c r="BW166" s="420">
        <v>1</v>
      </c>
      <c r="BX166" s="445"/>
      <c r="BY166" s="445"/>
      <c r="BZ166" s="445"/>
      <c r="CA166" s="445"/>
      <c r="CB166" s="445"/>
      <c r="CC166" s="702"/>
      <c r="CD166" s="445"/>
      <c r="CE166" s="972">
        <f>IFERROR(WWWW[[#This Row],['#_Water sources passed]]/WWWW[[#This Row],['#_Water sources tested for fecal coliform ]],"no test")</f>
        <v>1</v>
      </c>
      <c r="CF166" s="970">
        <f>IFERROR(WWWW[[#This Row],['#_Household passed]]/WWWW[[#This Row],['#_Household water samples tested for fecal coliform]],"no test")</f>
        <v>0.83333333333333337</v>
      </c>
      <c r="CG166" s="971" t="str">
        <f>IF(AND(WWWW[[#This Row],[% of water sources passed]]="no test",WWWW[[#This Row],[% Household passed]]="no test"),"No Test","Tested")</f>
        <v>Tested</v>
      </c>
      <c r="CH166" s="971">
        <f>WWWW[[#This Row],['#_Constructed/existing protected hand dug well]]-WWWW[[#This Row],['#_Non-functional protected hand dug well]]</f>
        <v>1</v>
      </c>
      <c r="CI166" s="971">
        <f>(WWWW[[#This Row],['#_Constructed/Existing tube wells/boreholes/handpumps_WASH_agency]]+WWWW[[#This Row],['#_Non-Cluster partner water tube-wells/boreholes/handpumps]])-WWWW[[#This Row],['#_Non-functional tube wells/boreholes/handpumps]]</f>
        <v>0</v>
      </c>
      <c r="CJ166" s="971">
        <f>WWWW[[#This Row],['#_Constructed/Existingwater storage tank with gravity fed reticulation system]]-WWWW[[#This Row],['#_Non-functional storage tank gravity fed reticulation system]]</f>
        <v>1</v>
      </c>
      <c r="CK166" s="971">
        <f>(WWWW[[#This Row],['#_Water_Liters_supplied_by_Water boating or water trucking]]/90)/15</f>
        <v>0</v>
      </c>
      <c r="CL166" s="971">
        <f>WWWW[[#This Row],['#_Water_Liters_from_Constructed/Existing water distribution system from river or natural spring]]/90/15</f>
        <v>0</v>
      </c>
      <c r="CM166" s="421">
        <f>IF(WWWW[[#This Row],['#_of water points in TLS/CFS]]*500&gt;WWWW[[#This Row],[Total PoP ]],WWWW[[#This Row],[Total PoP ]],WWWW[[#This Row],['#_of water points in TLS/CFS]]*500)</f>
        <v>0</v>
      </c>
      <c r="CN166" s="421">
        <f>IF(WWWW[[#This Row],['#_of water points in THF]]*500&gt;WWWW[[#This Row],[Total PoP ]],WWWW[[#This Row],[Total PoP ]],WWWW[[#This Row],['#_of water points in THF]]*500)</f>
        <v>0</v>
      </c>
      <c r="CO166" s="421"/>
      <c r="CP16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6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66" s="970">
        <f>IF(WWWW[[#This Row],[Location Type 1]]="Village",WWWW[[#This Row],[Access to safe drinking water for Village]],WWWW[[#This Row],[Access to safe drinking water for Camp]])</f>
        <v>1</v>
      </c>
      <c r="CS166" s="968">
        <f>WWWW[[#This Row],[%Equitable and continuous access to sufficient quantity of safe drinking water]]*WWWW[[#This Row],[Total PoP ]]</f>
        <v>255</v>
      </c>
      <c r="CT166" s="970">
        <f>IF((WWWW[[#This Row],['#_Constructed/Existing protected/fenced ponds]]*250)/WWWW[[#This Row],[Total PoP ]]&gt;1,1,(WWWW[[#This Row],['#_Constructed/Existing protected/fenced ponds]]*250)/WWWW[[#This Row],[Total PoP ]])</f>
        <v>0</v>
      </c>
      <c r="CU166" s="968">
        <f>WWWW[[#This Row],[% Access to unimproved water points]]*WWWW[[#This Row],[Total PoP ]]</f>
        <v>0</v>
      </c>
      <c r="CV16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6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X166" s="968">
        <f>WWWW[[#This Row],[HRP1]]/500</f>
        <v>0.51</v>
      </c>
      <c r="CY166" s="973">
        <f>1-WWWW[[#This Row],[% Equitable and continuous access to sufficient quantity of domestic water]]</f>
        <v>0</v>
      </c>
      <c r="CZ166" s="968">
        <f>WWWW[[#This Row],[%equitable and continuous access to sufficient quantity of safe drinking and domestic water''s GAP]]*WWWW[[#This Row],[Total PoP ]]</f>
        <v>0</v>
      </c>
      <c r="DA166" s="971">
        <f>IF(WWWW[[#This Row],[Total required water points]]-WWWW[[#This Row],['#Water points coverage]]&lt;0,0,WWWW[[#This Row],[Total required water points]]-WWWW[[#This Row],['#Water points coverage]])</f>
        <v>0.49</v>
      </c>
      <c r="DB166" s="971">
        <f>ROUND(IF(WWWW[[#This Row],[Total PoP ]]&lt;500,1,WWWW[[#This Row],[Total PoP ]]/500),0)</f>
        <v>1</v>
      </c>
      <c r="DC166" s="971">
        <f>(WWWW[[#This Row],['#_Constructed latrines_by_WASHAgencies]]+WWWW[[#This Row],['#_Non Cluster partner latrines]])-WWWW[[#This Row],['#_Non-functional latrines]]</f>
        <v>9</v>
      </c>
      <c r="DD166" s="619">
        <f>WWWW[[#This Row],[HRP2]]/WWWW[[#This Row],[Total PoP ]]</f>
        <v>0.71372549019607845</v>
      </c>
      <c r="DE16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16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16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6" s="421">
        <f>IF(WWWW[[#This Row],['# of functional latrines in THF supported by WASH partners during the reporting period2]]="",0,WWWW[[#This Row],['# of functional latrines in THF supported by WASH partners during the reporting period2]]*50)</f>
        <v>0</v>
      </c>
      <c r="DI166" s="971">
        <f>ROUND(IF(WWWW[[#This Row],[Location Type 1]]="camp",WWWW[[#This Row],[Total PoP ]]/20,IF(WWWW[[#This Row],[Location Type 1]]="Temporary Location",WWWW[[#This Row],[Total PoP ]]/50,(WWWW[[#This Row],[Total PoP ]]/6))),0)</f>
        <v>13</v>
      </c>
      <c r="DJ166" s="971">
        <f>IF(WWWW[[#This Row],[Total required Latrines]]-(WWWW[[#This Row],['#_Constructed latrines_by_WASHAgencies]]+WWWW[[#This Row],['#_Non Cluster partner latrines]])&lt;0,0,WWWW[[#This Row],[Total required Latrines]]-(WWWW[[#This Row],['#_Constructed latrines_by_WASHAgencies]]+WWWW[[#This Row],['#_Non Cluster partner latrines]]))</f>
        <v>4</v>
      </c>
      <c r="DK166" s="973">
        <f>1-WWWW[[#This Row],[% people access to functioning Latrine]]</f>
        <v>0.28627450980392155</v>
      </c>
      <c r="DL166" s="972">
        <f>IF(OR(WWWW[[#This Row],['#_Non-functional latrines]]="",WWWW[[#This Row],['#_Non-functional latrines]]=0),0,WWWW[[#This Row],['#_Non-functional latrines]]/(WWWW[[#This Row],['#_Constructed latrines_by_WASHAgencies]]+WWWW[[#This Row],['#_Non Cluster partner latrines]]))</f>
        <v>0</v>
      </c>
      <c r="DM166" s="968">
        <f>IF(500*(WWWW[[#This Row],['#_male hygiene promoters]]+WWWW[[#This Row],['#_female hygiene promoters]])&gt;WWWW[[#This Row],[Total PoP ]],WWWW[[#This Row],[Total PoP ]],500*(WWWW[[#This Row],['#_male hygiene promoters]]+WWWW[[#This Row],['#_female hygiene promoters]]))</f>
        <v>255</v>
      </c>
      <c r="DN16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6" s="971">
        <f>IF(WWWW[[#This Row],['# People with access to soap]]&gt;WWWW[[#This Row],['# People with access to Sanity Pads]],WWWW[[#This Row],['# People with access to soap]],WWWW[[#This Row],['# People with access to Sanity Pads]])</f>
        <v>0</v>
      </c>
      <c r="DQ166" s="971">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R166" s="973">
        <f>IF(WWWW[[#This Row],[HRP3]]/WWWW[[#This Row],[Total PoP ]]&gt;1,1,WWWW[[#This Row],[HRP3]]/WWWW[[#This Row],[Total PoP ]])</f>
        <v>1</v>
      </c>
      <c r="DS166" s="972">
        <f>1-WWWW[[#This Row],[Hygiene Coverage%]]</f>
        <v>0</v>
      </c>
      <c r="DT166" s="970">
        <f>WWWW[[#This Row],['# people reached by regular dedicated hygiene promotion_5]]/WWWW[[#This Row],[Total PoP ]]</f>
        <v>1</v>
      </c>
      <c r="DU16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6" s="971">
        <f>WWWW[[#This Row],['#_Constructed/Existing hand washing stations]]-WWWW[[#This Row],['#_Non-Functional_hand_washing_stations]]</f>
        <v>7</v>
      </c>
      <c r="DX166" s="968">
        <f>IF(WWWW[[#This Row],['# Functional hand washing stations during reporting period]]*20&gt;WWWW[[#This Row],[Total HH]],WWWW[[#This Row],[Total HH]],WWWW[[#This Row],['# Functional hand washing stations during reporting period]]*20)</f>
        <v>85</v>
      </c>
      <c r="DY166" s="968">
        <f>IF(WWWW[[#This Row],[Is sufficient soap available for TLS? (Yes/No)]]="yes",WWWW[[#This Row],['#_Constructed/Existing hand washing stations at TLS/CFS/THF]],0)</f>
        <v>0</v>
      </c>
      <c r="DZ166" s="425">
        <f>IF(WWWW[[#This Row],['# Functional hand washing stations during reporting period]]*100&gt;WWWW[[#This Row],[Total PoP ]],WWWW[[#This Row],[Total PoP ]],WWWW[[#This Row],['# Functional hand washing stations during reporting period]]*100)</f>
        <v>255</v>
      </c>
      <c r="EA166" s="425" t="str">
        <f>IF(OR(WWWW[[#This Row],['#_students at TLS_CFS]]="",WWWW[[#This Row],['#_students at TLS_CFS]]=0),"No","Yes")</f>
        <v>No</v>
      </c>
      <c r="EB166" s="619">
        <f>IF(WWWW[[#This Row],['#_of_affected_people_surveyed_who_report_feeling_informed_about_the_different_WASH_services_available_to_them]]="","",WWWW[[#This Row],['#_of_affected_people_surveyed_who_report_feeling_informed_about_the_different_WASH_services_available_to_them]]/WWWW[[#This Row],[Total PoP ]])</f>
        <v>3.1372549019607843E-2</v>
      </c>
      <c r="EC166" s="570">
        <f>WWWW[[#This Row],[%_of_affected_people_surveyed_who_report_feeling_satistfied_with_the_latrine_design_and_sanitation_service]]*WWWW[[#This Row],[Total PoP ]]</f>
        <v>168.3</v>
      </c>
      <c r="ED166" s="570">
        <f>WWWW[[#This Row],[%_of_affected_people_surveyed_who_report_feeling_satistfied_with_the_water_point_design_and_water_service]]*WWWW[[#This Row],[Total PoP ]]</f>
        <v>255</v>
      </c>
      <c r="EE166" s="570">
        <f>WWWW[[#This Row],[%_of_complaints_received_that_result_in_timely_corrective_action_and_feedback_to_the_community]]*WWWW[[#This Row],[Total PoP ]]</f>
        <v>255</v>
      </c>
      <c r="EF16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255</v>
      </c>
      <c r="EG16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6" s="964" t="str">
        <f>VLOOKUP(WWWW[[#This Row],[Site Name]],SiteDB6[[Site Name]:[CCCM Management]],6,FALSE)</f>
        <v>Yes</v>
      </c>
      <c r="EJ166" s="964" t="str">
        <f>VLOOKUP(WWWW[[#This Row],[Site Name]],SiteDB6[[Site Name]:[CCCM Focal Agency]],7,FALSE)</f>
        <v>KBC-BMO</v>
      </c>
      <c r="EK166" s="964" t="str">
        <f>VLOOKUP(WWWW[[#This Row],[Site Name]],SiteDB6[[Site Name]:[Location Type 1]],9,FALSE)</f>
        <v>Camp</v>
      </c>
      <c r="EL166" s="964" t="str">
        <f>VLOOKUP(WWWW[[#This Row],[Site Name]],SiteDB6[[Site Name]:[Type of Accommodation]],10,FALSE)</f>
        <v>Camp</v>
      </c>
      <c r="EM166" s="964" t="str">
        <f>VLOOKUP(WWWW[[#This Row],[Site Name]],SiteDB6[[Site Name]:[Ethnic or GCA/NGCA]],11,FALSE)</f>
        <v>GCA</v>
      </c>
      <c r="EN166" s="964">
        <f>VLOOKUP(WWWW[[#This Row],[Site Name]],SiteDB6[[Site Name]:[Lat]],12,FALSE)</f>
        <v>24.200972</v>
      </c>
      <c r="EO166" s="964">
        <f>VLOOKUP(WWWW[[#This Row],[Site Name]],SiteDB6[[Site Name]:[Long]],13,FALSE)</f>
        <v>97.718582999999995</v>
      </c>
      <c r="EP166" s="964" t="str">
        <f>VLOOKUP(WWWW[[#This Row],[Site Name]],SiteDB6[[Site Name]:[Pcode]],3,FALSE)</f>
        <v>MMR001CMP071</v>
      </c>
      <c r="EQ166" s="969" t="str">
        <f t="shared" si="5"/>
        <v>Covered</v>
      </c>
      <c r="ER166" s="969" t="s">
        <v>3147</v>
      </c>
      <c r="ES166" s="964">
        <f>VLOOKUP(WWWW[[#This Row],[Site Name]],SiteDB6[[Site Name]:[Pop
(Kachin/Shan-CCCM as of March 2023)]],16,FALSE)</f>
        <v>43</v>
      </c>
      <c r="ET166" s="964">
        <f>VLOOKUP(WWWW[[#This Row],[Site Name]],SiteDB6[[Site Name]:[Pop
(Kachin/Shan-CCCM as of March 2023)]],17,FALSE)</f>
        <v>255</v>
      </c>
    </row>
    <row r="167" spans="1:150" hidden="1">
      <c r="A167" s="962" t="s">
        <v>2977</v>
      </c>
      <c r="B167" s="962" t="s">
        <v>192</v>
      </c>
      <c r="C167" s="962" t="s">
        <v>192</v>
      </c>
      <c r="D167" s="963" t="s">
        <v>2898</v>
      </c>
      <c r="E167" s="963" t="s">
        <v>37</v>
      </c>
      <c r="F167" s="963" t="s">
        <v>205</v>
      </c>
      <c r="G167" s="964" t="str">
        <f>VLOOKUP(WWWW[[#This Row],[Site Name]],SiteDB6[[Site Name]:[Location Type]],8,FALSE)</f>
        <v>Camp</v>
      </c>
      <c r="H167" s="963" t="s">
        <v>282</v>
      </c>
      <c r="I167" s="965">
        <v>68</v>
      </c>
      <c r="J167" s="965">
        <v>426</v>
      </c>
      <c r="K167" s="966"/>
      <c r="L167" s="967"/>
      <c r="M167" s="965"/>
      <c r="N167" s="965"/>
      <c r="O167" s="965">
        <v>1</v>
      </c>
      <c r="P167" s="965"/>
      <c r="Q167" s="968" t="s">
        <v>41</v>
      </c>
      <c r="R167" s="965">
        <v>5</v>
      </c>
      <c r="S167" s="965">
        <v>6</v>
      </c>
      <c r="T167" s="445"/>
      <c r="U167" s="965"/>
      <c r="V167" s="965"/>
      <c r="W167" s="965">
        <v>1</v>
      </c>
      <c r="X167" s="965"/>
      <c r="Y167" s="965"/>
      <c r="Z167" s="965"/>
      <c r="AA167" s="965">
        <v>1</v>
      </c>
      <c r="AB167" s="965"/>
      <c r="AC167" s="965"/>
      <c r="AD167" s="965"/>
      <c r="AE167" s="965"/>
      <c r="AF167" s="965"/>
      <c r="AG167" s="965">
        <v>1</v>
      </c>
      <c r="AH167" s="965"/>
      <c r="AI167" s="965"/>
      <c r="AJ167" s="965"/>
      <c r="AK167" s="965"/>
      <c r="AL167" s="965"/>
      <c r="AM167" s="965"/>
      <c r="AN167" s="965"/>
      <c r="AO167" s="445"/>
      <c r="AP167" s="969"/>
      <c r="AQ167" s="965">
        <v>6</v>
      </c>
      <c r="AR167" s="965"/>
      <c r="AS167" s="970"/>
      <c r="AT167" s="965"/>
      <c r="AU167" s="965"/>
      <c r="AV167" s="965"/>
      <c r="AW167" s="965"/>
      <c r="AX167" s="965"/>
      <c r="AY167" s="964" t="s">
        <v>41</v>
      </c>
      <c r="AZ167" s="969" t="s">
        <v>137</v>
      </c>
      <c r="BA167" s="965"/>
      <c r="BB167" s="965">
        <v>1</v>
      </c>
      <c r="BC167" s="965"/>
      <c r="BD167" s="445"/>
      <c r="BE167" s="445">
        <v>6</v>
      </c>
      <c r="BF167" s="964"/>
      <c r="BG167" s="965">
        <v>3</v>
      </c>
      <c r="BH167" s="965"/>
      <c r="BI167" s="965"/>
      <c r="BJ167" s="965">
        <v>1</v>
      </c>
      <c r="BK167" s="965"/>
      <c r="BL167" s="965"/>
      <c r="BM167" s="965">
        <v>1</v>
      </c>
      <c r="BN167" s="965"/>
      <c r="BO167" s="965"/>
      <c r="BP167" s="964"/>
      <c r="BQ167" s="971"/>
      <c r="BR167" s="970"/>
      <c r="BS167" s="964"/>
      <c r="BT167" s="420">
        <v>0.92</v>
      </c>
      <c r="BU167" s="420">
        <v>0.92</v>
      </c>
      <c r="BV167" s="422"/>
      <c r="BW167" s="420"/>
      <c r="BX167" s="445"/>
      <c r="BY167" s="445"/>
      <c r="BZ167" s="445"/>
      <c r="CA167" s="445"/>
      <c r="CB167" s="445"/>
      <c r="CC167" s="702"/>
      <c r="CD167" s="445"/>
      <c r="CE167" s="972" t="str">
        <f>IFERROR(WWWW[[#This Row],['#_Water sources passed]]/WWWW[[#This Row],['#_Water sources tested for fecal coliform ]],"no test")</f>
        <v>no test</v>
      </c>
      <c r="CF167" s="970" t="str">
        <f>IFERROR(WWWW[[#This Row],['#_Household passed]]/WWWW[[#This Row],['#_Household water samples tested for fecal coliform]],"no test")</f>
        <v>no test</v>
      </c>
      <c r="CG167" s="971" t="str">
        <f>IF(AND(WWWW[[#This Row],[% of water sources passed]]="no test",WWWW[[#This Row],[% Household passed]]="no test"),"No Test","Tested")</f>
        <v>No Test</v>
      </c>
      <c r="CH167" s="971">
        <f>WWWW[[#This Row],['#_Constructed/existing protected hand dug well]]-WWWW[[#This Row],['#_Non-functional protected hand dug well]]</f>
        <v>0</v>
      </c>
      <c r="CI167" s="971">
        <f>(WWWW[[#This Row],['#_Constructed/Existing tube wells/boreholes/handpumps_WASH_agency]]+WWWW[[#This Row],['#_Non-Cluster partner water tube-wells/boreholes/handpumps]])-WWWW[[#This Row],['#_Non-functional tube wells/boreholes/handpumps]]</f>
        <v>1</v>
      </c>
      <c r="CJ167" s="971">
        <f>WWWW[[#This Row],['#_Constructed/Existingwater storage tank with gravity fed reticulation system]]-WWWW[[#This Row],['#_Non-functional storage tank gravity fed reticulation system]]</f>
        <v>1</v>
      </c>
      <c r="CK167" s="971">
        <f>(WWWW[[#This Row],['#_Water_Liters_supplied_by_Water boating or water trucking]]/90)/15</f>
        <v>0</v>
      </c>
      <c r="CL167" s="971">
        <f>WWWW[[#This Row],['#_Water_Liters_from_Constructed/Existing water distribution system from river or natural spring]]/90/15</f>
        <v>0</v>
      </c>
      <c r="CM167" s="421">
        <f>IF(WWWW[[#This Row],['#_of water points in TLS/CFS]]*500&gt;WWWW[[#This Row],[Total PoP ]],WWWW[[#This Row],[Total PoP ]],WWWW[[#This Row],['#_of water points in TLS/CFS]]*500)</f>
        <v>0</v>
      </c>
      <c r="CN167" s="421">
        <f>IF(WWWW[[#This Row],['#_of water points in THF]]*500&gt;WWWW[[#This Row],[Total PoP ]],WWWW[[#This Row],[Total PoP ]],WWWW[[#This Row],['#_of water points in THF]]*500)</f>
        <v>0</v>
      </c>
      <c r="CO167" s="421"/>
      <c r="CP16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6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R167" s="970">
        <f>IF(WWWW[[#This Row],[Location Type 1]]="Village",WWWW[[#This Row],[Access to safe drinking water for Village]],WWWW[[#This Row],[Access to safe drinking water for Camp]])</f>
        <v>1</v>
      </c>
      <c r="CS167" s="968">
        <f>WWWW[[#This Row],[%Equitable and continuous access to sufficient quantity of safe drinking water]]*WWWW[[#This Row],[Total PoP ]]</f>
        <v>426</v>
      </c>
      <c r="CT167" s="970">
        <f>IF((WWWW[[#This Row],['#_Constructed/Existing protected/fenced ponds]]*250)/WWWW[[#This Row],[Total PoP ]]&gt;1,1,(WWWW[[#This Row],['#_Constructed/Existing protected/fenced ponds]]*250)/WWWW[[#This Row],[Total PoP ]])</f>
        <v>0</v>
      </c>
      <c r="CU167" s="968">
        <f>WWWW[[#This Row],[% Access to unimproved water points]]*WWWW[[#This Row],[Total PoP ]]</f>
        <v>0</v>
      </c>
      <c r="CV16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6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X167" s="968">
        <f>WWWW[[#This Row],[HRP1]]/500</f>
        <v>0.85199999999999998</v>
      </c>
      <c r="CY167" s="973">
        <f>1-WWWW[[#This Row],[% Equitable and continuous access to sufficient quantity of domestic water]]</f>
        <v>0</v>
      </c>
      <c r="CZ167" s="968">
        <f>WWWW[[#This Row],[%equitable and continuous access to sufficient quantity of safe drinking and domestic water''s GAP]]*WWWW[[#This Row],[Total PoP ]]</f>
        <v>0</v>
      </c>
      <c r="DA167" s="971">
        <f>IF(WWWW[[#This Row],[Total required water points]]-WWWW[[#This Row],['#Water points coverage]]&lt;0,0,WWWW[[#This Row],[Total required water points]]-WWWW[[#This Row],['#Water points coverage]])</f>
        <v>0.14800000000000002</v>
      </c>
      <c r="DB167" s="971">
        <f>ROUND(IF(WWWW[[#This Row],[Total PoP ]]&lt;500,1,WWWW[[#This Row],[Total PoP ]]/500),0)</f>
        <v>1</v>
      </c>
      <c r="DC167" s="971">
        <f>(WWWW[[#This Row],['#_Constructed latrines_by_WASHAgencies]]+WWWW[[#This Row],['#_Non Cluster partner latrines]])-WWWW[[#This Row],['#_Non-functional latrines]]</f>
        <v>6</v>
      </c>
      <c r="DD167" s="619">
        <f>WWWW[[#This Row],[HRP2]]/WWWW[[#This Row],[Total PoP ]]</f>
        <v>0.29577464788732394</v>
      </c>
      <c r="DE16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126</v>
      </c>
      <c r="DF16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7" s="421">
        <f>IF(WWWW[[#This Row],['# of functional latrines in THF supported by WASH partners during the reporting period2]]="",0,WWWW[[#This Row],['# of functional latrines in THF supported by WASH partners during the reporting period2]]*50)</f>
        <v>0</v>
      </c>
      <c r="DI167" s="971">
        <f>ROUND(IF(WWWW[[#This Row],[Location Type 1]]="camp",WWWW[[#This Row],[Total PoP ]]/20,IF(WWWW[[#This Row],[Location Type 1]]="Temporary Location",WWWW[[#This Row],[Total PoP ]]/50,(WWWW[[#This Row],[Total PoP ]]/6))),0)</f>
        <v>21</v>
      </c>
      <c r="DJ167" s="971">
        <f>IF(WWWW[[#This Row],[Total required Latrines]]-(WWWW[[#This Row],['#_Constructed latrines_by_WASHAgencies]]+WWWW[[#This Row],['#_Non Cluster partner latrines]])&lt;0,0,WWWW[[#This Row],[Total required Latrines]]-(WWWW[[#This Row],['#_Constructed latrines_by_WASHAgencies]]+WWWW[[#This Row],['#_Non Cluster partner latrines]]))</f>
        <v>15</v>
      </c>
      <c r="DK167" s="973">
        <f>1-WWWW[[#This Row],[% people access to functioning Latrine]]</f>
        <v>0.70422535211267601</v>
      </c>
      <c r="DL167" s="972">
        <f>IF(OR(WWWW[[#This Row],['#_Non-functional latrines]]="",WWWW[[#This Row],['#_Non-functional latrines]]=0),0,WWWW[[#This Row],['#_Non-functional latrines]]/(WWWW[[#This Row],['#_Constructed latrines_by_WASHAgencies]]+WWWW[[#This Row],['#_Non Cluster partner latrines]]))</f>
        <v>0</v>
      </c>
      <c r="DM167" s="968">
        <f>IF(500*(WWWW[[#This Row],['#_male hygiene promoters]]+WWWW[[#This Row],['#_female hygiene promoters]])&gt;WWWW[[#This Row],[Total PoP ]],WWWW[[#This Row],[Total PoP ]],500*(WWWW[[#This Row],['#_male hygiene promoters]]+WWWW[[#This Row],['#_female hygiene promoters]]))</f>
        <v>426</v>
      </c>
      <c r="DN16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7" s="971">
        <f>IF(WWWW[[#This Row],['# People with access to soap]]&gt;WWWW[[#This Row],['# People with access to Sanity Pads]],WWWW[[#This Row],['# People with access to soap]],WWWW[[#This Row],['# People with access to Sanity Pads]])</f>
        <v>0</v>
      </c>
      <c r="DQ167" s="971">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R167" s="973">
        <f>IF(WWWW[[#This Row],[HRP3]]/WWWW[[#This Row],[Total PoP ]]&gt;1,1,WWWW[[#This Row],[HRP3]]/WWWW[[#This Row],[Total PoP ]])</f>
        <v>1</v>
      </c>
      <c r="DS167" s="972">
        <f>1-WWWW[[#This Row],[Hygiene Coverage%]]</f>
        <v>0</v>
      </c>
      <c r="DT167" s="970">
        <f>WWWW[[#This Row],['# people reached by regular dedicated hygiene promotion_5]]/WWWW[[#This Row],[Total PoP ]]</f>
        <v>1</v>
      </c>
      <c r="DU16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7" s="971">
        <f>WWWW[[#This Row],['#_Constructed/Existing hand washing stations]]-WWWW[[#This Row],['#_Non-Functional_hand_washing_stations]]</f>
        <v>3</v>
      </c>
      <c r="DX167" s="968">
        <f>IF(WWWW[[#This Row],['# Functional hand washing stations during reporting period]]*20&gt;WWWW[[#This Row],[Total HH]],WWWW[[#This Row],[Total HH]],WWWW[[#This Row],['# Functional hand washing stations during reporting period]]*20)</f>
        <v>60</v>
      </c>
      <c r="DY167" s="968">
        <f>IF(WWWW[[#This Row],[Is sufficient soap available for TLS? (Yes/No)]]="yes",WWWW[[#This Row],['#_Constructed/Existing hand washing stations at TLS/CFS/THF]],0)</f>
        <v>0</v>
      </c>
      <c r="DZ167" s="425">
        <f>IF(WWWW[[#This Row],['# Functional hand washing stations during reporting period]]*100&gt;WWWW[[#This Row],[Total PoP ]],WWWW[[#This Row],[Total PoP ]],WWWW[[#This Row],['# Functional hand washing stations during reporting period]]*100)</f>
        <v>300</v>
      </c>
      <c r="EA167" s="425" t="str">
        <f>IF(OR(WWWW[[#This Row],['#_students at TLS_CFS]]="",WWWW[[#This Row],['#_students at TLS_CFS]]=0),"No","Yes")</f>
        <v>No</v>
      </c>
      <c r="EB16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7" s="570">
        <f>WWWW[[#This Row],[%_of_affected_people_surveyed_who_report_feeling_satistfied_with_the_latrine_design_and_sanitation_service]]*WWWW[[#This Row],[Total PoP ]]</f>
        <v>391.92</v>
      </c>
      <c r="ED167" s="570">
        <f>WWWW[[#This Row],[%_of_affected_people_surveyed_who_report_feeling_satistfied_with_the_water_point_design_and_water_service]]*WWWW[[#This Row],[Total PoP ]]</f>
        <v>391.92</v>
      </c>
      <c r="EE167" s="570">
        <f>WWWW[[#This Row],[%_of_complaints_received_that_result_in_timely_corrective_action_and_feedback_to_the_community]]*WWWW[[#This Row],[Total PoP ]]</f>
        <v>0</v>
      </c>
      <c r="EF16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391.92</v>
      </c>
      <c r="EG16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7" s="964" t="str">
        <f>VLOOKUP(WWWW[[#This Row],[Site Name]],SiteDB6[[Site Name]:[CCCM Management]],6,FALSE)</f>
        <v>Yes</v>
      </c>
      <c r="EJ167" s="964" t="str">
        <f>VLOOKUP(WWWW[[#This Row],[Site Name]],SiteDB6[[Site Name]:[CCCM Focal Agency]],7,FALSE)</f>
        <v>KMSS-BMO</v>
      </c>
      <c r="EK167" s="964" t="str">
        <f>VLOOKUP(WWWW[[#This Row],[Site Name]],SiteDB6[[Site Name]:[Location Type 1]],9,FALSE)</f>
        <v>Camp</v>
      </c>
      <c r="EL167" s="964" t="str">
        <f>VLOOKUP(WWWW[[#This Row],[Site Name]],SiteDB6[[Site Name]:[Type of Accommodation]],10,FALSE)</f>
        <v>Camp</v>
      </c>
      <c r="EM167" s="964" t="str">
        <f>VLOOKUP(WWWW[[#This Row],[Site Name]],SiteDB6[[Site Name]:[Ethnic or GCA/NGCA]],11,FALSE)</f>
        <v>GCA</v>
      </c>
      <c r="EN167" s="964">
        <f>VLOOKUP(WWWW[[#This Row],[Site Name]],SiteDB6[[Site Name]:[Lat]],12,FALSE)</f>
        <v>24.205417000000001</v>
      </c>
      <c r="EO167" s="964">
        <f>VLOOKUP(WWWW[[#This Row],[Site Name]],SiteDB6[[Site Name]:[Long]],13,FALSE)</f>
        <v>97.724566999999993</v>
      </c>
      <c r="EP167" s="964" t="str">
        <f>VLOOKUP(WWWW[[#This Row],[Site Name]],SiteDB6[[Site Name]:[Pcode]],3,FALSE)</f>
        <v>MMR001CMP069</v>
      </c>
      <c r="EQ167" s="969" t="str">
        <f t="shared" si="5"/>
        <v>Covered</v>
      </c>
      <c r="ER167" s="969" t="s">
        <v>3147</v>
      </c>
      <c r="ES167" s="964">
        <f>VLOOKUP(WWWW[[#This Row],[Site Name]],SiteDB6[[Site Name]:[Pop
(Kachin/Shan-CCCM as of March 2023)]],16,FALSE)</f>
        <v>81</v>
      </c>
      <c r="ET167" s="964">
        <f>VLOOKUP(WWWW[[#This Row],[Site Name]],SiteDB6[[Site Name]:[Pop
(Kachin/Shan-CCCM as of March 2023)]],17,FALSE)</f>
        <v>451</v>
      </c>
    </row>
    <row r="168" spans="1:150" hidden="1">
      <c r="A168" s="962" t="s">
        <v>2977</v>
      </c>
      <c r="B168" s="962" t="s">
        <v>276</v>
      </c>
      <c r="C168" s="963" t="s">
        <v>276</v>
      </c>
      <c r="D168" s="963" t="s">
        <v>2898</v>
      </c>
      <c r="E168" s="963" t="s">
        <v>37</v>
      </c>
      <c r="F168" s="963" t="s">
        <v>205</v>
      </c>
      <c r="G168" s="964" t="s">
        <v>43</v>
      </c>
      <c r="H168" s="963" t="s">
        <v>283</v>
      </c>
      <c r="I168" s="965">
        <v>240</v>
      </c>
      <c r="J168" s="965">
        <v>1422</v>
      </c>
      <c r="K168" s="966">
        <v>44652</v>
      </c>
      <c r="L168" s="967">
        <v>45016</v>
      </c>
      <c r="M168" s="965"/>
      <c r="N168" s="965"/>
      <c r="O168" s="965">
        <v>4</v>
      </c>
      <c r="P168" s="965"/>
      <c r="Q168" s="968" t="s">
        <v>41</v>
      </c>
      <c r="R168" s="965">
        <v>12</v>
      </c>
      <c r="S168" s="965">
        <v>10</v>
      </c>
      <c r="T168" s="445">
        <v>5</v>
      </c>
      <c r="U168" s="965"/>
      <c r="V168" s="965"/>
      <c r="W168" s="965">
        <v>3</v>
      </c>
      <c r="X168" s="965"/>
      <c r="Y168" s="965"/>
      <c r="Z168" s="965"/>
      <c r="AA168" s="965">
        <v>4</v>
      </c>
      <c r="AB168" s="965"/>
      <c r="AC168" s="965"/>
      <c r="AD168" s="965"/>
      <c r="AE168" s="965"/>
      <c r="AF168" s="965"/>
      <c r="AG168" s="965">
        <v>4</v>
      </c>
      <c r="AH168" s="965"/>
      <c r="AI168" s="965">
        <v>7</v>
      </c>
      <c r="AJ168" s="965">
        <v>7</v>
      </c>
      <c r="AK168" s="965">
        <v>36</v>
      </c>
      <c r="AL168" s="965">
        <v>36</v>
      </c>
      <c r="AM168" s="965"/>
      <c r="AN168" s="965"/>
      <c r="AO168" s="445"/>
      <c r="AP168" s="969"/>
      <c r="AQ168" s="965">
        <v>40</v>
      </c>
      <c r="AR168" s="965"/>
      <c r="AS168" s="970"/>
      <c r="AT168" s="965"/>
      <c r="AU168" s="965">
        <v>7</v>
      </c>
      <c r="AV168" s="965">
        <v>43</v>
      </c>
      <c r="AW168" s="965">
        <v>82</v>
      </c>
      <c r="AX168" s="965"/>
      <c r="AY168" s="964" t="s">
        <v>41</v>
      </c>
      <c r="AZ168" s="969" t="s">
        <v>137</v>
      </c>
      <c r="BA168" s="965"/>
      <c r="BB168" s="965"/>
      <c r="BC168" s="965"/>
      <c r="BD168" s="445"/>
      <c r="BE168" s="445">
        <v>3</v>
      </c>
      <c r="BF168" s="964"/>
      <c r="BG168" s="965">
        <v>3</v>
      </c>
      <c r="BH168" s="965"/>
      <c r="BI168" s="965"/>
      <c r="BJ168" s="965">
        <v>6</v>
      </c>
      <c r="BK168" s="965"/>
      <c r="BL168" s="965"/>
      <c r="BM168" s="965">
        <v>4</v>
      </c>
      <c r="BN168" s="965"/>
      <c r="BO168" s="965"/>
      <c r="BP168" s="964" t="s">
        <v>136</v>
      </c>
      <c r="BQ168" s="971">
        <v>2</v>
      </c>
      <c r="BR168" s="970">
        <v>0.8</v>
      </c>
      <c r="BS168" s="964"/>
      <c r="BT168" s="420">
        <v>1</v>
      </c>
      <c r="BU168" s="420">
        <v>1</v>
      </c>
      <c r="BV168" s="422">
        <v>51</v>
      </c>
      <c r="BW168" s="420">
        <v>0.8</v>
      </c>
      <c r="BX168" s="445"/>
      <c r="BY168" s="445"/>
      <c r="BZ168" s="445"/>
      <c r="CA168" s="445"/>
      <c r="CB168" s="445"/>
      <c r="CC168" s="702"/>
      <c r="CD168" s="445"/>
      <c r="CE168" s="972">
        <f>IFERROR(WWWW[[#This Row],['#_Water sources passed]]/WWWW[[#This Row],['#_Water sources tested for fecal coliform ]],"no test")</f>
        <v>1</v>
      </c>
      <c r="CF168" s="970">
        <f>IFERROR(WWWW[[#This Row],['#_Household passed]]/WWWW[[#This Row],['#_Household water samples tested for fecal coliform]],"no test")</f>
        <v>1</v>
      </c>
      <c r="CG168" s="971" t="str">
        <f>IF(AND(WWWW[[#This Row],[% of water sources passed]]="no test",WWWW[[#This Row],[% Household passed]]="no test"),"No Test","Tested")</f>
        <v>Tested</v>
      </c>
      <c r="CH168" s="971">
        <f>WWWW[[#This Row],['#_Constructed/existing protected hand dug well]]-WWWW[[#This Row],['#_Non-functional protected hand dug well]]</f>
        <v>5</v>
      </c>
      <c r="CI168" s="971">
        <f>(WWWW[[#This Row],['#_Constructed/Existing tube wells/boreholes/handpumps_WASH_agency]]+WWWW[[#This Row],['#_Non-Cluster partner water tube-wells/boreholes/handpumps]])-WWWW[[#This Row],['#_Non-functional tube wells/boreholes/handpumps]]</f>
        <v>3</v>
      </c>
      <c r="CJ168" s="971">
        <f>WWWW[[#This Row],['#_Constructed/Existingwater storage tank with gravity fed reticulation system]]-WWWW[[#This Row],['#_Non-functional storage tank gravity fed reticulation system]]</f>
        <v>4</v>
      </c>
      <c r="CK168" s="971">
        <f>(WWWW[[#This Row],['#_Water_Liters_supplied_by_Water boating or water trucking]]/90)/15</f>
        <v>0</v>
      </c>
      <c r="CL168" s="971">
        <f>WWWW[[#This Row],['#_Water_Liters_from_Constructed/Existing water distribution system from river or natural spring]]/90/15</f>
        <v>0</v>
      </c>
      <c r="CM168" s="421">
        <f>IF(WWWW[[#This Row],['#_of water points in TLS/CFS]]*500&gt;WWWW[[#This Row],[Total PoP ]],WWWW[[#This Row],[Total PoP ]],WWWW[[#This Row],['#_of water points in TLS/CFS]]*500)</f>
        <v>0</v>
      </c>
      <c r="CN168" s="421">
        <f>IF(WWWW[[#This Row],['#_of water points in THF]]*500&gt;WWWW[[#This Row],[Total PoP ]],WWWW[[#This Row],[Total PoP ]],WWWW[[#This Row],['#_of water points in THF]]*500)</f>
        <v>0</v>
      </c>
      <c r="CO168" s="421"/>
      <c r="CP16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6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68" s="970">
        <f>IF(WWWW[[#This Row],[Location Type 1]]="Village",WWWW[[#This Row],[Access to safe drinking water for Village]],WWWW[[#This Row],[Access to safe drinking water for Camp]])</f>
        <v>1</v>
      </c>
      <c r="CS168" s="968">
        <f>WWWW[[#This Row],[%Equitable and continuous access to sufficient quantity of safe drinking water]]*WWWW[[#This Row],[Total PoP ]]</f>
        <v>1422</v>
      </c>
      <c r="CT168" s="970">
        <f>IF((WWWW[[#This Row],['#_Constructed/Existing protected/fenced ponds]]*250)/WWWW[[#This Row],[Total PoP ]]&gt;1,1,(WWWW[[#This Row],['#_Constructed/Existing protected/fenced ponds]]*250)/WWWW[[#This Row],[Total PoP ]])</f>
        <v>0</v>
      </c>
      <c r="CU168" s="968">
        <f>WWWW[[#This Row],[% Access to unimproved water points]]*WWWW[[#This Row],[Total PoP ]]</f>
        <v>0</v>
      </c>
      <c r="CV16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6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1422</v>
      </c>
      <c r="CX168" s="968">
        <f>WWWW[[#This Row],[HRP1]]/500</f>
        <v>2.8439999999999999</v>
      </c>
      <c r="CY168" s="973">
        <f>1-WWWW[[#This Row],[% Equitable and continuous access to sufficient quantity of domestic water]]</f>
        <v>0</v>
      </c>
      <c r="CZ168" s="968">
        <f>WWWW[[#This Row],[%equitable and continuous access to sufficient quantity of safe drinking and domestic water''s GAP]]*WWWW[[#This Row],[Total PoP ]]</f>
        <v>0</v>
      </c>
      <c r="DA168" s="971">
        <f>IF(WWWW[[#This Row],[Total required water points]]-WWWW[[#This Row],['#Water points coverage]]&lt;0,0,WWWW[[#This Row],[Total required water points]]-WWWW[[#This Row],['#Water points coverage]])</f>
        <v>0.15600000000000014</v>
      </c>
      <c r="DB168" s="971">
        <f>ROUND(IF(WWWW[[#This Row],[Total PoP ]]&lt;500,1,WWWW[[#This Row],[Total PoP ]]/500),0)</f>
        <v>3</v>
      </c>
      <c r="DC168" s="971">
        <f>(WWWW[[#This Row],['#_Constructed latrines_by_WASHAgencies]]+WWWW[[#This Row],['#_Non Cluster partner latrines]])-WWWW[[#This Row],['#_Non-functional latrines]]</f>
        <v>40</v>
      </c>
      <c r="DD168" s="619">
        <f>WWWW[[#This Row],[HRP2]]/WWWW[[#This Row],[Total PoP ]]</f>
        <v>0.56469760900140642</v>
      </c>
      <c r="DE16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803</v>
      </c>
      <c r="DF16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860</v>
      </c>
      <c r="DG16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8" s="421">
        <f>IF(WWWW[[#This Row],['# of functional latrines in THF supported by WASH partners during the reporting period2]]="",0,WWWW[[#This Row],['# of functional latrines in THF supported by WASH partners during the reporting period2]]*50)</f>
        <v>0</v>
      </c>
      <c r="DI168" s="971">
        <f>ROUND(IF(WWWW[[#This Row],[Location Type 1]]="camp",WWWW[[#This Row],[Total PoP ]]/20,IF(WWWW[[#This Row],[Location Type 1]]="Temporary Location",WWWW[[#This Row],[Total PoP ]]/50,(WWWW[[#This Row],[Total PoP ]]/6))),0)</f>
        <v>71</v>
      </c>
      <c r="DJ168" s="971">
        <f>IF(WWWW[[#This Row],[Total required Latrines]]-(WWWW[[#This Row],['#_Constructed latrines_by_WASHAgencies]]+WWWW[[#This Row],['#_Non Cluster partner latrines]])&lt;0,0,WWWW[[#This Row],[Total required Latrines]]-(WWWW[[#This Row],['#_Constructed latrines_by_WASHAgencies]]+WWWW[[#This Row],['#_Non Cluster partner latrines]]))</f>
        <v>31</v>
      </c>
      <c r="DK168" s="973">
        <f>1-WWWW[[#This Row],[% people access to functioning Latrine]]</f>
        <v>0.43530239099859358</v>
      </c>
      <c r="DL168" s="972">
        <f>IF(OR(WWWW[[#This Row],['#_Non-functional latrines]]="",WWWW[[#This Row],['#_Non-functional latrines]]=0),0,WWWW[[#This Row],['#_Non-functional latrines]]/(WWWW[[#This Row],['#_Constructed latrines_by_WASHAgencies]]+WWWW[[#This Row],['#_Non Cluster partner latrines]]))</f>
        <v>0</v>
      </c>
      <c r="DM168" s="968">
        <f>IF(500*(WWWW[[#This Row],['#_male hygiene promoters]]+WWWW[[#This Row],['#_female hygiene promoters]])&gt;WWWW[[#This Row],[Total PoP ]],WWWW[[#This Row],[Total PoP ]],500*(WWWW[[#This Row],['#_male hygiene promoters]]+WWWW[[#This Row],['#_female hygiene promoters]]))</f>
        <v>1422</v>
      </c>
      <c r="DN16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8" s="971">
        <f>IF(WWWW[[#This Row],['# People with access to soap]]&gt;WWWW[[#This Row],['# People with access to Sanity Pads]],WWWW[[#This Row],['# People with access to soap]],WWWW[[#This Row],['# People with access to Sanity Pads]])</f>
        <v>0</v>
      </c>
      <c r="DQ168" s="971">
        <f>IF(WWWW[[#This Row],['# people reached by regular dedicated hygiene promotion_5]]&gt;WWWW[[#This Row],['# People received regular supply of hygiene items_6]],WWWW[[#This Row],['# people reached by regular dedicated hygiene promotion_5]],WWWW[[#This Row],['# People received regular supply of hygiene items_6]])</f>
        <v>1422</v>
      </c>
      <c r="DR168" s="973">
        <f>IF(WWWW[[#This Row],[HRP3]]/WWWW[[#This Row],[Total PoP ]]&gt;1,1,WWWW[[#This Row],[HRP3]]/WWWW[[#This Row],[Total PoP ]])</f>
        <v>1</v>
      </c>
      <c r="DS168" s="972">
        <f>1-WWWW[[#This Row],[Hygiene Coverage%]]</f>
        <v>0</v>
      </c>
      <c r="DT168" s="970">
        <f>WWWW[[#This Row],['# people reached by regular dedicated hygiene promotion_5]]/WWWW[[#This Row],[Total PoP ]]</f>
        <v>1</v>
      </c>
      <c r="DU16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8" s="971">
        <f>WWWW[[#This Row],['#_Constructed/Existing hand washing stations]]-WWWW[[#This Row],['#_Non-Functional_hand_washing_stations]]</f>
        <v>3</v>
      </c>
      <c r="DX168" s="968">
        <f>IF(WWWW[[#This Row],['# Functional hand washing stations during reporting period]]*20&gt;WWWW[[#This Row],[Total HH]],WWWW[[#This Row],[Total HH]],WWWW[[#This Row],['# Functional hand washing stations during reporting period]]*20)</f>
        <v>60</v>
      </c>
      <c r="DY168" s="968">
        <f>IF(WWWW[[#This Row],[Is sufficient soap available for TLS? (Yes/No)]]="yes",WWWW[[#This Row],['#_Constructed/Existing hand washing stations at TLS/CFS/THF]],0)</f>
        <v>0</v>
      </c>
      <c r="DZ168" s="425">
        <f>IF(WWWW[[#This Row],['# Functional hand washing stations during reporting period]]*100&gt;WWWW[[#This Row],[Total PoP ]],WWWW[[#This Row],[Total PoP ]],WWWW[[#This Row],['# Functional hand washing stations during reporting period]]*100)</f>
        <v>300</v>
      </c>
      <c r="EA168" s="425" t="str">
        <f>IF(OR(WWWW[[#This Row],['#_students at TLS_CFS]]="",WWWW[[#This Row],['#_students at TLS_CFS]]=0),"No","Yes")</f>
        <v>No</v>
      </c>
      <c r="EB168" s="619">
        <f>IF(WWWW[[#This Row],['#_of_affected_people_surveyed_who_report_feeling_informed_about_the_different_WASH_services_available_to_them]]="","",WWWW[[#This Row],['#_of_affected_people_surveyed_who_report_feeling_informed_about_the_different_WASH_services_available_to_them]]/WWWW[[#This Row],[Total PoP ]])</f>
        <v>3.5864978902953586E-2</v>
      </c>
      <c r="EC168" s="570">
        <f>WWWW[[#This Row],[%_of_affected_people_surveyed_who_report_feeling_satistfied_with_the_latrine_design_and_sanitation_service]]*WWWW[[#This Row],[Total PoP ]]</f>
        <v>1422</v>
      </c>
      <c r="ED168" s="570">
        <f>WWWW[[#This Row],[%_of_affected_people_surveyed_who_report_feeling_satistfied_with_the_water_point_design_and_water_service]]*WWWW[[#This Row],[Total PoP ]]</f>
        <v>1422</v>
      </c>
      <c r="EE168" s="570">
        <f>WWWW[[#This Row],[%_of_complaints_received_that_result_in_timely_corrective_action_and_feedback_to_the_community]]*WWWW[[#This Row],[Total PoP ]]</f>
        <v>1137.6000000000001</v>
      </c>
      <c r="EF16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1422</v>
      </c>
      <c r="EG16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8" s="964" t="str">
        <f>VLOOKUP(WWWW[[#This Row],[Site Name]],SiteDB6[[Site Name]:[CCCM Management]],6,FALSE)</f>
        <v>Yes</v>
      </c>
      <c r="EJ168" s="964" t="str">
        <f>VLOOKUP(WWWW[[#This Row],[Site Name]],SiteDB6[[Site Name]:[CCCM Focal Agency]],7,FALSE)</f>
        <v>KBC-BMO</v>
      </c>
      <c r="EK168" s="964" t="str">
        <f>VLOOKUP(WWWW[[#This Row],[Site Name]],SiteDB6[[Site Name]:[Location Type 1]],9,FALSE)</f>
        <v>Camp</v>
      </c>
      <c r="EL168" s="964" t="str">
        <f>VLOOKUP(WWWW[[#This Row],[Site Name]],SiteDB6[[Site Name]:[Type of Accommodation]],10,FALSE)</f>
        <v>Camp</v>
      </c>
      <c r="EM168" s="964" t="str">
        <f>VLOOKUP(WWWW[[#This Row],[Site Name]],SiteDB6[[Site Name]:[Ethnic or GCA/NGCA]],11,FALSE)</f>
        <v>GCA</v>
      </c>
      <c r="EN168" s="964">
        <f>VLOOKUP(WWWW[[#This Row],[Site Name]],SiteDB6[[Site Name]:[Lat]],12,FALSE)</f>
        <v>24.200433</v>
      </c>
      <c r="EO168" s="964">
        <f>VLOOKUP(WWWW[[#This Row],[Site Name]],SiteDB6[[Site Name]:[Long]],13,FALSE)</f>
        <v>97.717133000000004</v>
      </c>
      <c r="EP168" s="964" t="str">
        <f>VLOOKUP(WWWW[[#This Row],[Site Name]],SiteDB6[[Site Name]:[Pcode]],3,FALSE)</f>
        <v>MMR001CMP070</v>
      </c>
      <c r="EQ168" s="969" t="str">
        <f t="shared" si="5"/>
        <v>Covered</v>
      </c>
      <c r="ER168" s="969" t="s">
        <v>3147</v>
      </c>
      <c r="ES168" s="964">
        <f>VLOOKUP(WWWW[[#This Row],[Site Name]],SiteDB6[[Site Name]:[Pop
(Kachin/Shan-CCCM as of March 2023)]],16,FALSE)</f>
        <v>243</v>
      </c>
      <c r="ET168" s="964">
        <f>VLOOKUP(WWWW[[#This Row],[Site Name]],SiteDB6[[Site Name]:[Pop
(Kachin/Shan-CCCM as of March 2023)]],17,FALSE)</f>
        <v>1420</v>
      </c>
    </row>
    <row r="169" spans="1:150" hidden="1">
      <c r="A169" s="962" t="s">
        <v>2977</v>
      </c>
      <c r="B169" s="962" t="s">
        <v>192</v>
      </c>
      <c r="C169" s="962" t="s">
        <v>192</v>
      </c>
      <c r="D169" s="963" t="s">
        <v>2898</v>
      </c>
      <c r="E169" s="963" t="s">
        <v>37</v>
      </c>
      <c r="F169" s="963" t="s">
        <v>205</v>
      </c>
      <c r="G169" s="964" t="str">
        <f>VLOOKUP(WWWW[[#This Row],[Site Name]],SiteDB6[[Site Name]:[Location Type]],8,FALSE)</f>
        <v>Camp</v>
      </c>
      <c r="H169" s="963" t="s">
        <v>210</v>
      </c>
      <c r="I169" s="965">
        <v>127</v>
      </c>
      <c r="J169" s="965">
        <v>741</v>
      </c>
      <c r="K169" s="966"/>
      <c r="L169" s="967"/>
      <c r="M169" s="965"/>
      <c r="N169" s="965"/>
      <c r="O169" s="965"/>
      <c r="P169" s="965"/>
      <c r="Q169" s="968" t="s">
        <v>41</v>
      </c>
      <c r="R169" s="965">
        <v>3</v>
      </c>
      <c r="S169" s="965">
        <v>3</v>
      </c>
      <c r="T169" s="445"/>
      <c r="U169" s="965"/>
      <c r="V169" s="965"/>
      <c r="W169" s="965">
        <v>3</v>
      </c>
      <c r="X169" s="965"/>
      <c r="Y169" s="965"/>
      <c r="Z169" s="965"/>
      <c r="AA169" s="965"/>
      <c r="AB169" s="965"/>
      <c r="AC169" s="965"/>
      <c r="AD169" s="965"/>
      <c r="AE169" s="965"/>
      <c r="AF169" s="965"/>
      <c r="AG169" s="965">
        <v>1</v>
      </c>
      <c r="AH169" s="965"/>
      <c r="AI169" s="965"/>
      <c r="AJ169" s="965"/>
      <c r="AK169" s="965"/>
      <c r="AL169" s="965"/>
      <c r="AM169" s="965"/>
      <c r="AN169" s="965"/>
      <c r="AO169" s="445"/>
      <c r="AP169" s="969"/>
      <c r="AQ169" s="965">
        <v>50</v>
      </c>
      <c r="AR169" s="965"/>
      <c r="AS169" s="970"/>
      <c r="AT169" s="965"/>
      <c r="AU169" s="965"/>
      <c r="AV169" s="965"/>
      <c r="AW169" s="965"/>
      <c r="AX169" s="965"/>
      <c r="AY169" s="964" t="s">
        <v>41</v>
      </c>
      <c r="AZ169" s="969" t="s">
        <v>137</v>
      </c>
      <c r="BA169" s="965"/>
      <c r="BB169" s="965"/>
      <c r="BC169" s="965"/>
      <c r="BD169" s="445"/>
      <c r="BE169" s="445"/>
      <c r="BF169" s="964"/>
      <c r="BG169" s="965">
        <v>8</v>
      </c>
      <c r="BH169" s="965"/>
      <c r="BI169" s="965"/>
      <c r="BJ169" s="965">
        <v>7</v>
      </c>
      <c r="BK169" s="965"/>
      <c r="BL169" s="965"/>
      <c r="BM169" s="965"/>
      <c r="BN169" s="965"/>
      <c r="BO169" s="965"/>
      <c r="BP169" s="964"/>
      <c r="BQ169" s="971"/>
      <c r="BR169" s="970"/>
      <c r="BS169" s="964"/>
      <c r="BT169" s="420"/>
      <c r="BU169" s="420"/>
      <c r="BV169" s="422"/>
      <c r="BW169" s="420"/>
      <c r="BX169" s="445"/>
      <c r="BY169" s="445"/>
      <c r="BZ169" s="445"/>
      <c r="CA169" s="445"/>
      <c r="CB169" s="445"/>
      <c r="CC169" s="702"/>
      <c r="CD169" s="445"/>
      <c r="CE169" s="972" t="str">
        <f>IFERROR(WWWW[[#This Row],['#_Water sources passed]]/WWWW[[#This Row],['#_Water sources tested for fecal coliform ]],"no test")</f>
        <v>no test</v>
      </c>
      <c r="CF169" s="970" t="str">
        <f>IFERROR(WWWW[[#This Row],['#_Household passed]]/WWWW[[#This Row],['#_Household water samples tested for fecal coliform]],"no test")</f>
        <v>no test</v>
      </c>
      <c r="CG169" s="971" t="str">
        <f>IF(AND(WWWW[[#This Row],[% of water sources passed]]="no test",WWWW[[#This Row],[% Household passed]]="no test"),"No Test","Tested")</f>
        <v>No Test</v>
      </c>
      <c r="CH169" s="971">
        <f>WWWW[[#This Row],['#_Constructed/existing protected hand dug well]]-WWWW[[#This Row],['#_Non-functional protected hand dug well]]</f>
        <v>0</v>
      </c>
      <c r="CI169" s="971">
        <f>(WWWW[[#This Row],['#_Constructed/Existing tube wells/boreholes/handpumps_WASH_agency]]+WWWW[[#This Row],['#_Non-Cluster partner water tube-wells/boreholes/handpumps]])-WWWW[[#This Row],['#_Non-functional tube wells/boreholes/handpumps]]</f>
        <v>3</v>
      </c>
      <c r="CJ169" s="971">
        <f>WWWW[[#This Row],['#_Constructed/Existingwater storage tank with gravity fed reticulation system]]-WWWW[[#This Row],['#_Non-functional storage tank gravity fed reticulation system]]</f>
        <v>0</v>
      </c>
      <c r="CK169" s="971">
        <f>(WWWW[[#This Row],['#_Water_Liters_supplied_by_Water boating or water trucking]]/90)/15</f>
        <v>0</v>
      </c>
      <c r="CL169" s="971">
        <f>WWWW[[#This Row],['#_Water_Liters_from_Constructed/Existing water distribution system from river or natural spring]]/90/15</f>
        <v>0</v>
      </c>
      <c r="CM169" s="421">
        <f>IF(WWWW[[#This Row],['#_of water points in TLS/CFS]]*500&gt;WWWW[[#This Row],[Total PoP ]],WWWW[[#This Row],[Total PoP ]],WWWW[[#This Row],['#_of water points in TLS/CFS]]*500)</f>
        <v>0</v>
      </c>
      <c r="CN169" s="421">
        <f>IF(WWWW[[#This Row],['#_of water points in THF]]*500&gt;WWWW[[#This Row],[Total PoP ]],WWWW[[#This Row],[Total PoP ]],WWWW[[#This Row],['#_of water points in THF]]*500)</f>
        <v>0</v>
      </c>
      <c r="CO169" s="421"/>
      <c r="CP16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6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69" s="970">
        <f>IF(WWWW[[#This Row],[Location Type 1]]="Village",WWWW[[#This Row],[Access to safe drinking water for Village]],WWWW[[#This Row],[Access to safe drinking water for Camp]])</f>
        <v>1</v>
      </c>
      <c r="CS169" s="968">
        <f>WWWW[[#This Row],[%Equitable and continuous access to sufficient quantity of safe drinking water]]*WWWW[[#This Row],[Total PoP ]]</f>
        <v>741</v>
      </c>
      <c r="CT169" s="970">
        <f>IF((WWWW[[#This Row],['#_Constructed/Existing protected/fenced ponds]]*250)/WWWW[[#This Row],[Total PoP ]]&gt;1,1,(WWWW[[#This Row],['#_Constructed/Existing protected/fenced ponds]]*250)/WWWW[[#This Row],[Total PoP ]])</f>
        <v>0</v>
      </c>
      <c r="CU169" s="968">
        <f>WWWW[[#This Row],[% Access to unimproved water points]]*WWWW[[#This Row],[Total PoP ]]</f>
        <v>0</v>
      </c>
      <c r="CV16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6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X169" s="968">
        <f>WWWW[[#This Row],[HRP1]]/500</f>
        <v>1.482</v>
      </c>
      <c r="CY169" s="973">
        <f>1-WWWW[[#This Row],[% Equitable and continuous access to sufficient quantity of domestic water]]</f>
        <v>0</v>
      </c>
      <c r="CZ169" s="968">
        <f>WWWW[[#This Row],[%equitable and continuous access to sufficient quantity of safe drinking and domestic water''s GAP]]*WWWW[[#This Row],[Total PoP ]]</f>
        <v>0</v>
      </c>
      <c r="DA169" s="971">
        <f>IF(WWWW[[#This Row],[Total required water points]]-WWWW[[#This Row],['#Water points coverage]]&lt;0,0,WWWW[[#This Row],[Total required water points]]-WWWW[[#This Row],['#Water points coverage]])</f>
        <v>0</v>
      </c>
      <c r="DB169" s="971">
        <f>ROUND(IF(WWWW[[#This Row],[Total PoP ]]&lt;500,1,WWWW[[#This Row],[Total PoP ]]/500),0)</f>
        <v>1</v>
      </c>
      <c r="DC169" s="971">
        <f>(WWWW[[#This Row],['#_Constructed latrines_by_WASHAgencies]]+WWWW[[#This Row],['#_Non Cluster partner latrines]])-WWWW[[#This Row],['#_Non-functional latrines]]</f>
        <v>50</v>
      </c>
      <c r="DD169" s="619">
        <f>WWWW[[#This Row],[HRP2]]/WWWW[[#This Row],[Total PoP ]]</f>
        <v>1</v>
      </c>
      <c r="DE16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741</v>
      </c>
      <c r="DF16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9" s="421">
        <f>IF(WWWW[[#This Row],['# of functional latrines in THF supported by WASH partners during the reporting period2]]="",0,WWWW[[#This Row],['# of functional latrines in THF supported by WASH partners during the reporting period2]]*50)</f>
        <v>0</v>
      </c>
      <c r="DI169" s="971">
        <f>ROUND(IF(WWWW[[#This Row],[Location Type 1]]="camp",WWWW[[#This Row],[Total PoP ]]/20,IF(WWWW[[#This Row],[Location Type 1]]="Temporary Location",WWWW[[#This Row],[Total PoP ]]/50,(WWWW[[#This Row],[Total PoP ]]/6))),0)</f>
        <v>37</v>
      </c>
      <c r="DJ169" s="971">
        <f>IF(WWWW[[#This Row],[Total required Latrines]]-(WWWW[[#This Row],['#_Constructed latrines_by_WASHAgencies]]+WWWW[[#This Row],['#_Non Cluster partner latrines]])&lt;0,0,WWWW[[#This Row],[Total required Latrines]]-(WWWW[[#This Row],['#_Constructed latrines_by_WASHAgencies]]+WWWW[[#This Row],['#_Non Cluster partner latrines]]))</f>
        <v>0</v>
      </c>
      <c r="DK169" s="973">
        <f>1-WWWW[[#This Row],[% people access to functioning Latrine]]</f>
        <v>0</v>
      </c>
      <c r="DL169" s="972">
        <f>IF(OR(WWWW[[#This Row],['#_Non-functional latrines]]="",WWWW[[#This Row],['#_Non-functional latrines]]=0),0,WWWW[[#This Row],['#_Non-functional latrines]]/(WWWW[[#This Row],['#_Constructed latrines_by_WASHAgencies]]+WWWW[[#This Row],['#_Non Cluster partner latrines]]))</f>
        <v>0</v>
      </c>
      <c r="DM169" s="968">
        <f>IF(500*(WWWW[[#This Row],['#_male hygiene promoters]]+WWWW[[#This Row],['#_female hygiene promoters]])&gt;WWWW[[#This Row],[Total PoP ]],WWWW[[#This Row],[Total PoP ]],500*(WWWW[[#This Row],['#_male hygiene promoters]]+WWWW[[#This Row],['#_female hygiene promoters]]))</f>
        <v>0</v>
      </c>
      <c r="DN16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9" s="971">
        <f>IF(WWWW[[#This Row],['# People with access to soap]]&gt;WWWW[[#This Row],['# People with access to Sanity Pads]],WWWW[[#This Row],['# People with access to soap]],WWWW[[#This Row],['# People with access to Sanity Pads]])</f>
        <v>0</v>
      </c>
      <c r="DQ16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9" s="973">
        <f>IF(WWWW[[#This Row],[HRP3]]/WWWW[[#This Row],[Total PoP ]]&gt;1,1,WWWW[[#This Row],[HRP3]]/WWWW[[#This Row],[Total PoP ]])</f>
        <v>0</v>
      </c>
      <c r="DS169" s="972">
        <f>1-WWWW[[#This Row],[Hygiene Coverage%]]</f>
        <v>1</v>
      </c>
      <c r="DT169" s="970">
        <f>WWWW[[#This Row],['# people reached by regular dedicated hygiene promotion_5]]/WWWW[[#This Row],[Total PoP ]]</f>
        <v>0</v>
      </c>
      <c r="DU16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9" s="971">
        <f>WWWW[[#This Row],['#_Constructed/Existing hand washing stations]]-WWWW[[#This Row],['#_Non-Functional_hand_washing_stations]]</f>
        <v>8</v>
      </c>
      <c r="DX169" s="968">
        <f>IF(WWWW[[#This Row],['# Functional hand washing stations during reporting period]]*20&gt;WWWW[[#This Row],[Total HH]],WWWW[[#This Row],[Total HH]],WWWW[[#This Row],['# Functional hand washing stations during reporting period]]*20)</f>
        <v>127</v>
      </c>
      <c r="DY169" s="968">
        <f>IF(WWWW[[#This Row],[Is sufficient soap available for TLS? (Yes/No)]]="yes",WWWW[[#This Row],['#_Constructed/Existing hand washing stations at TLS/CFS/THF]],0)</f>
        <v>0</v>
      </c>
      <c r="DZ169" s="425">
        <f>IF(WWWW[[#This Row],['# Functional hand washing stations during reporting period]]*100&gt;WWWW[[#This Row],[Total PoP ]],WWWW[[#This Row],[Total PoP ]],WWWW[[#This Row],['# Functional hand washing stations during reporting period]]*100)</f>
        <v>741</v>
      </c>
      <c r="EA169" s="425" t="str">
        <f>IF(OR(WWWW[[#This Row],['#_students at TLS_CFS]]="",WWWW[[#This Row],['#_students at TLS_CFS]]=0),"No","Yes")</f>
        <v>No</v>
      </c>
      <c r="EB16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9" s="570">
        <f>WWWW[[#This Row],[%_of_affected_people_surveyed_who_report_feeling_satistfied_with_the_latrine_design_and_sanitation_service]]*WWWW[[#This Row],[Total PoP ]]</f>
        <v>0</v>
      </c>
      <c r="ED169" s="570">
        <f>WWWW[[#This Row],[%_of_affected_people_surveyed_who_report_feeling_satistfied_with_the_water_point_design_and_water_service]]*WWWW[[#This Row],[Total PoP ]]</f>
        <v>0</v>
      </c>
      <c r="EE169" s="570">
        <f>WWWW[[#This Row],[%_of_complaints_received_that_result_in_timely_corrective_action_and_feedback_to_the_community]]*WWWW[[#This Row],[Total PoP ]]</f>
        <v>0</v>
      </c>
      <c r="EF16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9" s="964" t="str">
        <f>VLOOKUP(WWWW[[#This Row],[Site Name]],SiteDB6[[Site Name]:[CCCM Management]],6,FALSE)</f>
        <v>Yes</v>
      </c>
      <c r="EJ169" s="964" t="str">
        <f>VLOOKUP(WWWW[[#This Row],[Site Name]],SiteDB6[[Site Name]:[CCCM Focal Agency]],7,FALSE)</f>
        <v>KMSS-BMO</v>
      </c>
      <c r="EK169" s="964" t="str">
        <f>VLOOKUP(WWWW[[#This Row],[Site Name]],SiteDB6[[Site Name]:[Location Type 1]],9,FALSE)</f>
        <v>Camp</v>
      </c>
      <c r="EL169" s="964" t="str">
        <f>VLOOKUP(WWWW[[#This Row],[Site Name]],SiteDB6[[Site Name]:[Type of Accommodation]],10,FALSE)</f>
        <v>Camp</v>
      </c>
      <c r="EM169" s="964" t="str">
        <f>VLOOKUP(WWWW[[#This Row],[Site Name]],SiteDB6[[Site Name]:[Ethnic or GCA/NGCA]],11,FALSE)</f>
        <v>GCA</v>
      </c>
      <c r="EN169" s="964">
        <f>VLOOKUP(WWWW[[#This Row],[Site Name]],SiteDB6[[Site Name]:[Lat]],12,FALSE)</f>
        <v>24.245100000000001</v>
      </c>
      <c r="EO169" s="964">
        <f>VLOOKUP(WWWW[[#This Row],[Site Name]],SiteDB6[[Site Name]:[Long]],13,FALSE)</f>
        <v>97.325019999999995</v>
      </c>
      <c r="EP169" s="964" t="str">
        <f>VLOOKUP(WWWW[[#This Row],[Site Name]],SiteDB6[[Site Name]:[Pcode]],3,FALSE)</f>
        <v>MMR001CMP062</v>
      </c>
      <c r="EQ169" s="969" t="str">
        <f t="shared" si="5"/>
        <v>Covered</v>
      </c>
      <c r="ER169" s="969" t="s">
        <v>3147</v>
      </c>
      <c r="ES169" s="964">
        <f>VLOOKUP(WWWW[[#This Row],[Site Name]],SiteDB6[[Site Name]:[Pop
(Kachin/Shan-CCCM as of March 2023)]],16,FALSE)</f>
        <v>83</v>
      </c>
      <c r="ET169" s="964">
        <f>VLOOKUP(WWWW[[#This Row],[Site Name]],SiteDB6[[Site Name]:[Pop
(Kachin/Shan-CCCM as of March 2023)]],17,FALSE)</f>
        <v>427</v>
      </c>
    </row>
    <row r="170" spans="1:150" hidden="1">
      <c r="A170" s="962" t="s">
        <v>2977</v>
      </c>
      <c r="B170" s="962" t="s">
        <v>276</v>
      </c>
      <c r="C170" s="963" t="s">
        <v>276</v>
      </c>
      <c r="D170" s="963" t="s">
        <v>2898</v>
      </c>
      <c r="E170" s="963" t="s">
        <v>37</v>
      </c>
      <c r="F170" s="963" t="s">
        <v>205</v>
      </c>
      <c r="G170" s="964" t="s">
        <v>3081</v>
      </c>
      <c r="H170" s="963" t="s">
        <v>287</v>
      </c>
      <c r="I170" s="965">
        <v>96</v>
      </c>
      <c r="J170" s="965">
        <v>512</v>
      </c>
      <c r="K170" s="966">
        <v>44652</v>
      </c>
      <c r="L170" s="967">
        <v>45016</v>
      </c>
      <c r="M170" s="965"/>
      <c r="N170" s="965"/>
      <c r="O170" s="965">
        <v>2</v>
      </c>
      <c r="P170" s="965"/>
      <c r="Q170" s="968" t="s">
        <v>41</v>
      </c>
      <c r="R170" s="965">
        <v>5</v>
      </c>
      <c r="S170" s="965">
        <v>4</v>
      </c>
      <c r="T170" s="445">
        <v>1</v>
      </c>
      <c r="U170" s="965"/>
      <c r="V170" s="965"/>
      <c r="W170" s="965">
        <v>1</v>
      </c>
      <c r="X170" s="965"/>
      <c r="Y170" s="965"/>
      <c r="Z170" s="965"/>
      <c r="AA170" s="965"/>
      <c r="AB170" s="965"/>
      <c r="AC170" s="965"/>
      <c r="AD170" s="965"/>
      <c r="AE170" s="965"/>
      <c r="AF170" s="965"/>
      <c r="AG170" s="965">
        <v>2</v>
      </c>
      <c r="AH170" s="965"/>
      <c r="AI170" s="965">
        <v>2</v>
      </c>
      <c r="AJ170" s="965">
        <v>2</v>
      </c>
      <c r="AK170" s="965">
        <v>15</v>
      </c>
      <c r="AL170" s="965">
        <v>15</v>
      </c>
      <c r="AM170" s="965"/>
      <c r="AN170" s="965"/>
      <c r="AO170" s="445"/>
      <c r="AP170" s="969"/>
      <c r="AQ170" s="965">
        <v>28</v>
      </c>
      <c r="AR170" s="965"/>
      <c r="AS170" s="970"/>
      <c r="AT170" s="965"/>
      <c r="AU170" s="965">
        <v>4</v>
      </c>
      <c r="AV170" s="965">
        <v>42</v>
      </c>
      <c r="AW170" s="965">
        <v>43</v>
      </c>
      <c r="AX170" s="965"/>
      <c r="AY170" s="964" t="s">
        <v>41</v>
      </c>
      <c r="AZ170" s="969" t="s">
        <v>137</v>
      </c>
      <c r="BA170" s="965"/>
      <c r="BB170" s="965">
        <v>1</v>
      </c>
      <c r="BC170" s="965"/>
      <c r="BD170" s="445"/>
      <c r="BE170" s="445">
        <v>3</v>
      </c>
      <c r="BF170" s="964"/>
      <c r="BG170" s="965">
        <v>8</v>
      </c>
      <c r="BH170" s="965"/>
      <c r="BI170" s="965"/>
      <c r="BJ170" s="965">
        <v>4</v>
      </c>
      <c r="BK170" s="965"/>
      <c r="BL170" s="965">
        <v>1</v>
      </c>
      <c r="BM170" s="965">
        <v>1</v>
      </c>
      <c r="BN170" s="965">
        <v>96</v>
      </c>
      <c r="BO170" s="965">
        <v>100</v>
      </c>
      <c r="BP170" s="964" t="s">
        <v>136</v>
      </c>
      <c r="BQ170" s="971">
        <v>3</v>
      </c>
      <c r="BR170" s="970">
        <v>0.8</v>
      </c>
      <c r="BS170" s="964"/>
      <c r="BT170" s="420">
        <v>1</v>
      </c>
      <c r="BU170" s="420">
        <v>1</v>
      </c>
      <c r="BV170" s="422"/>
      <c r="BW170" s="420"/>
      <c r="BX170" s="445"/>
      <c r="BY170" s="445"/>
      <c r="BZ170" s="445"/>
      <c r="CA170" s="445"/>
      <c r="CB170" s="445"/>
      <c r="CC170" s="702"/>
      <c r="CD170" s="445"/>
      <c r="CE170" s="972">
        <f>IFERROR(WWWW[[#This Row],['#_Water sources passed]]/WWWW[[#This Row],['#_Water sources tested for fecal coliform ]],"no test")</f>
        <v>1</v>
      </c>
      <c r="CF170" s="970">
        <f>IFERROR(WWWW[[#This Row],['#_Household passed]]/WWWW[[#This Row],['#_Household water samples tested for fecal coliform]],"no test")</f>
        <v>1</v>
      </c>
      <c r="CG170" s="971" t="str">
        <f>IF(AND(WWWW[[#This Row],[% of water sources passed]]="no test",WWWW[[#This Row],[% Household passed]]="no test"),"No Test","Tested")</f>
        <v>Tested</v>
      </c>
      <c r="CH170" s="971">
        <f>WWWW[[#This Row],['#_Constructed/existing protected hand dug well]]-WWWW[[#This Row],['#_Non-functional protected hand dug well]]</f>
        <v>1</v>
      </c>
      <c r="CI170" s="971">
        <f>(WWWW[[#This Row],['#_Constructed/Existing tube wells/boreholes/handpumps_WASH_agency]]+WWWW[[#This Row],['#_Non-Cluster partner water tube-wells/boreholes/handpumps]])-WWWW[[#This Row],['#_Non-functional tube wells/boreholes/handpumps]]</f>
        <v>1</v>
      </c>
      <c r="CJ170" s="971">
        <f>WWWW[[#This Row],['#_Constructed/Existingwater storage tank with gravity fed reticulation system]]-WWWW[[#This Row],['#_Non-functional storage tank gravity fed reticulation system]]</f>
        <v>0</v>
      </c>
      <c r="CK170" s="971">
        <f>(WWWW[[#This Row],['#_Water_Liters_supplied_by_Water boating or water trucking]]/90)/15</f>
        <v>0</v>
      </c>
      <c r="CL170" s="971">
        <f>WWWW[[#This Row],['#_Water_Liters_from_Constructed/Existing water distribution system from river or natural spring]]/90/15</f>
        <v>0</v>
      </c>
      <c r="CM170" s="421">
        <f>IF(WWWW[[#This Row],['#_of water points in TLS/CFS]]*500&gt;WWWW[[#This Row],[Total PoP ]],WWWW[[#This Row],[Total PoP ]],WWWW[[#This Row],['#_of water points in TLS/CFS]]*500)</f>
        <v>0</v>
      </c>
      <c r="CN170" s="421">
        <f>IF(WWWW[[#This Row],['#_of water points in THF]]*500&gt;WWWW[[#This Row],[Total PoP ]],WWWW[[#This Row],[Total PoP ]],WWWW[[#This Row],['#_of water points in THF]]*500)</f>
        <v>0</v>
      </c>
      <c r="CO170" s="421"/>
      <c r="CP17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0.9765625</v>
      </c>
      <c r="CR170" s="970">
        <f>IF(WWWW[[#This Row],[Location Type 1]]="Village",WWWW[[#This Row],[Access to safe drinking water for Village]],WWWW[[#This Row],[Access to safe drinking water for Camp]])</f>
        <v>1</v>
      </c>
      <c r="CS170" s="968">
        <f>WWWW[[#This Row],[%Equitable and continuous access to sufficient quantity of safe drinking water]]*WWWW[[#This Row],[Total PoP ]]</f>
        <v>512</v>
      </c>
      <c r="CT170" s="970">
        <f>IF((WWWW[[#This Row],['#_Constructed/Existing protected/fenced ponds]]*250)/WWWW[[#This Row],[Total PoP ]]&gt;1,1,(WWWW[[#This Row],['#_Constructed/Existing protected/fenced ponds]]*250)/WWWW[[#This Row],[Total PoP ]])</f>
        <v>0</v>
      </c>
      <c r="CU170" s="968">
        <f>WWWW[[#This Row],[% Access to unimproved water points]]*WWWW[[#This Row],[Total PoP ]]</f>
        <v>0</v>
      </c>
      <c r="CV17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512</v>
      </c>
      <c r="CX170" s="968">
        <f>WWWW[[#This Row],[HRP1]]/500</f>
        <v>1.024</v>
      </c>
      <c r="CY170" s="973">
        <f>1-WWWW[[#This Row],[% Equitable and continuous access to sufficient quantity of domestic water]]</f>
        <v>0</v>
      </c>
      <c r="CZ170" s="968">
        <f>WWWW[[#This Row],[%equitable and continuous access to sufficient quantity of safe drinking and domestic water''s GAP]]*WWWW[[#This Row],[Total PoP ]]</f>
        <v>0</v>
      </c>
      <c r="DA170" s="971">
        <f>IF(WWWW[[#This Row],[Total required water points]]-WWWW[[#This Row],['#Water points coverage]]&lt;0,0,WWWW[[#This Row],[Total required water points]]-WWWW[[#This Row],['#Water points coverage]])</f>
        <v>0</v>
      </c>
      <c r="DB170" s="971">
        <f>ROUND(IF(WWWW[[#This Row],[Total PoP ]]&lt;500,1,WWWW[[#This Row],[Total PoP ]]/500),0)</f>
        <v>1</v>
      </c>
      <c r="DC170" s="971">
        <f>(WWWW[[#This Row],['#_Constructed latrines_by_WASHAgencies]]+WWWW[[#This Row],['#_Non Cluster partner latrines]])-WWWW[[#This Row],['#_Non-functional latrines]]</f>
        <v>28</v>
      </c>
      <c r="DD170" s="619">
        <f>WWWW[[#This Row],[HRP2]]/WWWW[[#This Row],[Total PoP ]]</f>
        <v>1</v>
      </c>
      <c r="DE17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512</v>
      </c>
      <c r="DF17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512</v>
      </c>
      <c r="DG17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0" s="421">
        <f>IF(WWWW[[#This Row],['# of functional latrines in THF supported by WASH partners during the reporting period2]]="",0,WWWW[[#This Row],['# of functional latrines in THF supported by WASH partners during the reporting period2]]*50)</f>
        <v>0</v>
      </c>
      <c r="DI170" s="971">
        <f>ROUND(IF(WWWW[[#This Row],[Location Type 1]]="camp",WWWW[[#This Row],[Total PoP ]]/20,IF(WWWW[[#This Row],[Location Type 1]]="Temporary Location",WWWW[[#This Row],[Total PoP ]]/50,(WWWW[[#This Row],[Total PoP ]]/6))),0)</f>
        <v>26</v>
      </c>
      <c r="DJ170" s="971">
        <f>IF(WWWW[[#This Row],[Total required Latrines]]-(WWWW[[#This Row],['#_Constructed latrines_by_WASHAgencies]]+WWWW[[#This Row],['#_Non Cluster partner latrines]])&lt;0,0,WWWW[[#This Row],[Total required Latrines]]-(WWWW[[#This Row],['#_Constructed latrines_by_WASHAgencies]]+WWWW[[#This Row],['#_Non Cluster partner latrines]]))</f>
        <v>0</v>
      </c>
      <c r="DK170" s="973">
        <f>1-WWWW[[#This Row],[% people access to functioning Latrine]]</f>
        <v>0</v>
      </c>
      <c r="DL170" s="972">
        <f>IF(OR(WWWW[[#This Row],['#_Non-functional latrines]]="",WWWW[[#This Row],['#_Non-functional latrines]]=0),0,WWWW[[#This Row],['#_Non-functional latrines]]/(WWWW[[#This Row],['#_Constructed latrines_by_WASHAgencies]]+WWWW[[#This Row],['#_Non Cluster partner latrines]]))</f>
        <v>0</v>
      </c>
      <c r="DM170" s="968">
        <f>IF(500*(WWWW[[#This Row],['#_male hygiene promoters]]+WWWW[[#This Row],['#_female hygiene promoters]])&gt;WWWW[[#This Row],[Total PoP ]],WWWW[[#This Row],[Total PoP ]],500*(WWWW[[#This Row],['#_male hygiene promoters]]+WWWW[[#This Row],['#_female hygiene promoters]]))</f>
        <v>512</v>
      </c>
      <c r="DN17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512</v>
      </c>
      <c r="DO17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170" s="971">
        <f>IF(WWWW[[#This Row],['# People with access to soap]]&gt;WWWW[[#This Row],['# People with access to Sanity Pads]],WWWW[[#This Row],['# People with access to soap]],WWWW[[#This Row],['# People with access to Sanity Pads]])</f>
        <v>512</v>
      </c>
      <c r="DQ170" s="971">
        <f>IF(WWWW[[#This Row],['# people reached by regular dedicated hygiene promotion_5]]&gt;WWWW[[#This Row],['# People received regular supply of hygiene items_6]],WWWW[[#This Row],['# people reached by regular dedicated hygiene promotion_5]],WWWW[[#This Row],['# People received regular supply of hygiene items_6]])</f>
        <v>512</v>
      </c>
      <c r="DR170" s="973">
        <f>IF(WWWW[[#This Row],[HRP3]]/WWWW[[#This Row],[Total PoP ]]&gt;1,1,WWWW[[#This Row],[HRP3]]/WWWW[[#This Row],[Total PoP ]])</f>
        <v>1</v>
      </c>
      <c r="DS170" s="972">
        <f>1-WWWW[[#This Row],[Hygiene Coverage%]]</f>
        <v>0</v>
      </c>
      <c r="DT170" s="970">
        <f>WWWW[[#This Row],['# people reached by regular dedicated hygiene promotion_5]]/WWWW[[#This Row],[Total PoP ]]</f>
        <v>1</v>
      </c>
      <c r="DU17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7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70" s="971">
        <f>WWWW[[#This Row],['#_Constructed/Existing hand washing stations]]-WWWW[[#This Row],['#_Non-Functional_hand_washing_stations]]</f>
        <v>8</v>
      </c>
      <c r="DX170" s="968">
        <f>IF(WWWW[[#This Row],['# Functional hand washing stations during reporting period]]*20&gt;WWWW[[#This Row],[Total HH]],WWWW[[#This Row],[Total HH]],WWWW[[#This Row],['# Functional hand washing stations during reporting period]]*20)</f>
        <v>96</v>
      </c>
      <c r="DY170" s="968">
        <f>IF(WWWW[[#This Row],[Is sufficient soap available for TLS? (Yes/No)]]="yes",WWWW[[#This Row],['#_Constructed/Existing hand washing stations at TLS/CFS/THF]],0)</f>
        <v>0</v>
      </c>
      <c r="DZ170" s="425">
        <f>IF(WWWW[[#This Row],['# Functional hand washing stations during reporting period]]*100&gt;WWWW[[#This Row],[Total PoP ]],WWWW[[#This Row],[Total PoP ]],WWWW[[#This Row],['# Functional hand washing stations during reporting period]]*100)</f>
        <v>512</v>
      </c>
      <c r="EA170" s="425" t="str">
        <f>IF(OR(WWWW[[#This Row],['#_students at TLS_CFS]]="",WWWW[[#This Row],['#_students at TLS_CFS]]=0),"No","Yes")</f>
        <v>No</v>
      </c>
      <c r="EB17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0" s="570">
        <f>WWWW[[#This Row],[%_of_affected_people_surveyed_who_report_feeling_satistfied_with_the_latrine_design_and_sanitation_service]]*WWWW[[#This Row],[Total PoP ]]</f>
        <v>512</v>
      </c>
      <c r="ED170" s="570">
        <f>WWWW[[#This Row],[%_of_affected_people_surveyed_who_report_feeling_satistfied_with_the_water_point_design_and_water_service]]*WWWW[[#This Row],[Total PoP ]]</f>
        <v>512</v>
      </c>
      <c r="EE170" s="570">
        <f>WWWW[[#This Row],[%_of_complaints_received_that_result_in_timely_corrective_action_and_feedback_to_the_community]]*WWWW[[#This Row],[Total PoP ]]</f>
        <v>0</v>
      </c>
      <c r="EF17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512</v>
      </c>
      <c r="EG17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0" s="964">
        <f>VLOOKUP(WWWW[[#This Row],[Site Name]],SiteDB6[[Site Name]:[CCCM Management]],6,FALSE)</f>
        <v>0</v>
      </c>
      <c r="EJ170" s="964">
        <f>VLOOKUP(WWWW[[#This Row],[Site Name]],SiteDB6[[Site Name]:[CCCM Focal Agency]],7,FALSE)</f>
        <v>0</v>
      </c>
      <c r="EK170" s="964" t="str">
        <f>VLOOKUP(WWWW[[#This Row],[Site Name]],SiteDB6[[Site Name]:[Location Type 1]],9,FALSE)</f>
        <v>Camp</v>
      </c>
      <c r="EL170" s="964" t="str">
        <f>VLOOKUP(WWWW[[#This Row],[Site Name]],SiteDB6[[Site Name]:[Type of Accommodation]],10,FALSE)</f>
        <v>Camp</v>
      </c>
      <c r="EM170" s="964" t="str">
        <f>VLOOKUP(WWWW[[#This Row],[Site Name]],SiteDB6[[Site Name]:[Ethnic or GCA/NGCA]],11,FALSE)</f>
        <v>GCA</v>
      </c>
      <c r="EN170" s="964">
        <f>VLOOKUP(WWWW[[#This Row],[Site Name]],SiteDB6[[Site Name]:[Lat]],12,FALSE)</f>
        <v>0</v>
      </c>
      <c r="EO170" s="964">
        <f>VLOOKUP(WWWW[[#This Row],[Site Name]],SiteDB6[[Site Name]:[Long]],13,FALSE)</f>
        <v>0</v>
      </c>
      <c r="EP170" s="964">
        <f>VLOOKUP(WWWW[[#This Row],[Site Name]],SiteDB6[[Site Name]:[Pcode]],3,FALSE)</f>
        <v>0</v>
      </c>
      <c r="EQ170" s="969" t="str">
        <f t="shared" si="5"/>
        <v>Covered</v>
      </c>
      <c r="ER170" s="969" t="s">
        <v>3147</v>
      </c>
      <c r="ES170" s="964">
        <f>VLOOKUP(WWWW[[#This Row],[Site Name]],SiteDB6[[Site Name]:[Pop
(Kachin/Shan-CCCM as of March 2023)]],16,FALSE)</f>
        <v>0</v>
      </c>
      <c r="ET170" s="964">
        <f>VLOOKUP(WWWW[[#This Row],[Site Name]],SiteDB6[[Site Name]:[Pop
(Kachin/Shan-CCCM as of March 2023)]],17,FALSE)</f>
        <v>0</v>
      </c>
    </row>
    <row r="171" spans="1:150" hidden="1">
      <c r="A171" s="962" t="s">
        <v>2977</v>
      </c>
      <c r="B171" s="962" t="s">
        <v>192</v>
      </c>
      <c r="C171" s="962" t="s">
        <v>192</v>
      </c>
      <c r="D171" s="963" t="s">
        <v>2898</v>
      </c>
      <c r="E171" s="963" t="s">
        <v>37</v>
      </c>
      <c r="F171" s="963" t="s">
        <v>205</v>
      </c>
      <c r="G171" s="964" t="str">
        <f>VLOOKUP(WWWW[[#This Row],[Site Name]],SiteDB6[[Site Name]:[Location Type]],8,FALSE)</f>
        <v>Camp</v>
      </c>
      <c r="H171" s="963" t="s">
        <v>213</v>
      </c>
      <c r="I171" s="965">
        <v>86</v>
      </c>
      <c r="J171" s="965">
        <v>424</v>
      </c>
      <c r="K171" s="966" t="s">
        <v>3154</v>
      </c>
      <c r="L171" s="967" t="s">
        <v>3155</v>
      </c>
      <c r="M171" s="965"/>
      <c r="N171" s="965"/>
      <c r="O171" s="965"/>
      <c r="P171" s="965"/>
      <c r="Q171" s="968" t="s">
        <v>41</v>
      </c>
      <c r="R171" s="965">
        <v>2</v>
      </c>
      <c r="S171" s="965">
        <v>5</v>
      </c>
      <c r="T171" s="445">
        <v>2</v>
      </c>
      <c r="U171" s="965"/>
      <c r="V171" s="965"/>
      <c r="W171" s="965"/>
      <c r="X171" s="965"/>
      <c r="Y171" s="965"/>
      <c r="Z171" s="965"/>
      <c r="AA171" s="965"/>
      <c r="AB171" s="965"/>
      <c r="AC171" s="965"/>
      <c r="AD171" s="965"/>
      <c r="AE171" s="965"/>
      <c r="AF171" s="965"/>
      <c r="AG171" s="965">
        <v>1</v>
      </c>
      <c r="AH171" s="965"/>
      <c r="AI171" s="965"/>
      <c r="AJ171" s="965"/>
      <c r="AK171" s="965"/>
      <c r="AL171" s="965"/>
      <c r="AM171" s="965"/>
      <c r="AN171" s="965"/>
      <c r="AO171" s="445"/>
      <c r="AP171" s="969"/>
      <c r="AQ171" s="965">
        <v>6</v>
      </c>
      <c r="AR171" s="965"/>
      <c r="AS171" s="970"/>
      <c r="AT171" s="965"/>
      <c r="AU171" s="965"/>
      <c r="AV171" s="965"/>
      <c r="AW171" s="965"/>
      <c r="AX171" s="965"/>
      <c r="AY171" s="964" t="s">
        <v>41</v>
      </c>
      <c r="AZ171" s="969" t="s">
        <v>137</v>
      </c>
      <c r="BA171" s="965"/>
      <c r="BB171" s="965"/>
      <c r="BC171" s="965"/>
      <c r="BD171" s="445"/>
      <c r="BE171" s="445"/>
      <c r="BF171" s="964"/>
      <c r="BG171" s="965"/>
      <c r="BH171" s="965"/>
      <c r="BI171" s="965"/>
      <c r="BJ171" s="965">
        <v>1</v>
      </c>
      <c r="BK171" s="965"/>
      <c r="BL171" s="965"/>
      <c r="BM171" s="965"/>
      <c r="BN171" s="965"/>
      <c r="BO171" s="965"/>
      <c r="BP171" s="964"/>
      <c r="BQ171" s="971"/>
      <c r="BR171" s="970"/>
      <c r="BS171" s="964"/>
      <c r="BT171" s="420"/>
      <c r="BU171" s="420"/>
      <c r="BV171" s="422"/>
      <c r="BW171" s="420"/>
      <c r="BX171" s="445"/>
      <c r="BY171" s="445"/>
      <c r="BZ171" s="445"/>
      <c r="CA171" s="445"/>
      <c r="CB171" s="445"/>
      <c r="CC171" s="702"/>
      <c r="CD171" s="445"/>
      <c r="CE171" s="972" t="str">
        <f>IFERROR(WWWW[[#This Row],['#_Water sources passed]]/WWWW[[#This Row],['#_Water sources tested for fecal coliform ]],"no test")</f>
        <v>no test</v>
      </c>
      <c r="CF171" s="970" t="str">
        <f>IFERROR(WWWW[[#This Row],['#_Household passed]]/WWWW[[#This Row],['#_Household water samples tested for fecal coliform]],"no test")</f>
        <v>no test</v>
      </c>
      <c r="CG171" s="971" t="str">
        <f>IF(AND(WWWW[[#This Row],[% of water sources passed]]="no test",WWWW[[#This Row],[% Household passed]]="no test"),"No Test","Tested")</f>
        <v>No Test</v>
      </c>
      <c r="CH171" s="971">
        <f>WWWW[[#This Row],['#_Constructed/existing protected hand dug well]]-WWWW[[#This Row],['#_Non-functional protected hand dug well]]</f>
        <v>2</v>
      </c>
      <c r="CI171" s="971">
        <f>(WWWW[[#This Row],['#_Constructed/Existing tube wells/boreholes/handpumps_WASH_agency]]+WWWW[[#This Row],['#_Non-Cluster partner water tube-wells/boreholes/handpumps]])-WWWW[[#This Row],['#_Non-functional tube wells/boreholes/handpumps]]</f>
        <v>0</v>
      </c>
      <c r="CJ171" s="971">
        <f>WWWW[[#This Row],['#_Constructed/Existingwater storage tank with gravity fed reticulation system]]-WWWW[[#This Row],['#_Non-functional storage tank gravity fed reticulation system]]</f>
        <v>0</v>
      </c>
      <c r="CK171" s="971">
        <f>(WWWW[[#This Row],['#_Water_Liters_supplied_by_Water boating or water trucking]]/90)/15</f>
        <v>0</v>
      </c>
      <c r="CL171" s="971">
        <f>WWWW[[#This Row],['#_Water_Liters_from_Constructed/Existing water distribution system from river or natural spring]]/90/15</f>
        <v>0</v>
      </c>
      <c r="CM171" s="421">
        <f>IF(WWWW[[#This Row],['#_of water points in TLS/CFS]]*500&gt;WWWW[[#This Row],[Total PoP ]],WWWW[[#This Row],[Total PoP ]],WWWW[[#This Row],['#_of water points in TLS/CFS]]*500)</f>
        <v>0</v>
      </c>
      <c r="CN171" s="421">
        <f>IF(WWWW[[#This Row],['#_of water points in THF]]*500&gt;WWWW[[#This Row],[Total PoP ]],WWWW[[#This Row],[Total PoP ]],WWWW[[#This Row],['#_of water points in THF]]*500)</f>
        <v>0</v>
      </c>
      <c r="CO171" s="421"/>
      <c r="CP17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1" s="970">
        <f>IF(WWWW[[#This Row],[Location Type 1]]="Village",WWWW[[#This Row],[Access to safe drinking water for Village]],WWWW[[#This Row],[Access to safe drinking water for Camp]])</f>
        <v>1</v>
      </c>
      <c r="CS171" s="968">
        <f>WWWW[[#This Row],[%Equitable and continuous access to sufficient quantity of safe drinking water]]*WWWW[[#This Row],[Total PoP ]]</f>
        <v>424</v>
      </c>
      <c r="CT171" s="970">
        <f>IF((WWWW[[#This Row],['#_Constructed/Existing protected/fenced ponds]]*250)/WWWW[[#This Row],[Total PoP ]]&gt;1,1,(WWWW[[#This Row],['#_Constructed/Existing protected/fenced ponds]]*250)/WWWW[[#This Row],[Total PoP ]])</f>
        <v>0</v>
      </c>
      <c r="CU171" s="968">
        <f>WWWW[[#This Row],[% Access to unimproved water points]]*WWWW[[#This Row],[Total PoP ]]</f>
        <v>0</v>
      </c>
      <c r="CV17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X171" s="968">
        <f>WWWW[[#This Row],[HRP1]]/500</f>
        <v>0.84799999999999998</v>
      </c>
      <c r="CY171" s="973">
        <f>1-WWWW[[#This Row],[% Equitable and continuous access to sufficient quantity of domestic water]]</f>
        <v>0</v>
      </c>
      <c r="CZ171" s="968">
        <f>WWWW[[#This Row],[%equitable and continuous access to sufficient quantity of safe drinking and domestic water''s GAP]]*WWWW[[#This Row],[Total PoP ]]</f>
        <v>0</v>
      </c>
      <c r="DA171" s="971">
        <f>IF(WWWW[[#This Row],[Total required water points]]-WWWW[[#This Row],['#Water points coverage]]&lt;0,0,WWWW[[#This Row],[Total required water points]]-WWWW[[#This Row],['#Water points coverage]])</f>
        <v>0.15200000000000002</v>
      </c>
      <c r="DB171" s="971">
        <f>ROUND(IF(WWWW[[#This Row],[Total PoP ]]&lt;500,1,WWWW[[#This Row],[Total PoP ]]/500),0)</f>
        <v>1</v>
      </c>
      <c r="DC171" s="971">
        <f>(WWWW[[#This Row],['#_Constructed latrines_by_WASHAgencies]]+WWWW[[#This Row],['#_Non Cluster partner latrines]])-WWWW[[#This Row],['#_Non-functional latrines]]</f>
        <v>6</v>
      </c>
      <c r="DD171" s="619">
        <f>WWWW[[#This Row],[HRP2]]/WWWW[[#This Row],[Total PoP ]]</f>
        <v>0.28301886792452829</v>
      </c>
      <c r="DE17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17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1" s="421">
        <f>IF(WWWW[[#This Row],['# of functional latrines in THF supported by WASH partners during the reporting period2]]="",0,WWWW[[#This Row],['# of functional latrines in THF supported by WASH partners during the reporting period2]]*50)</f>
        <v>0</v>
      </c>
      <c r="DI171" s="971">
        <f>ROUND(IF(WWWW[[#This Row],[Location Type 1]]="camp",WWWW[[#This Row],[Total PoP ]]/20,IF(WWWW[[#This Row],[Location Type 1]]="Temporary Location",WWWW[[#This Row],[Total PoP ]]/50,(WWWW[[#This Row],[Total PoP ]]/6))),0)</f>
        <v>21</v>
      </c>
      <c r="DJ171" s="971">
        <f>IF(WWWW[[#This Row],[Total required Latrines]]-(WWWW[[#This Row],['#_Constructed latrines_by_WASHAgencies]]+WWWW[[#This Row],['#_Non Cluster partner latrines]])&lt;0,0,WWWW[[#This Row],[Total required Latrines]]-(WWWW[[#This Row],['#_Constructed latrines_by_WASHAgencies]]+WWWW[[#This Row],['#_Non Cluster partner latrines]]))</f>
        <v>15</v>
      </c>
      <c r="DK171" s="973">
        <f>1-WWWW[[#This Row],[% people access to functioning Latrine]]</f>
        <v>0.71698113207547176</v>
      </c>
      <c r="DL171" s="972">
        <f>IF(OR(WWWW[[#This Row],['#_Non-functional latrines]]="",WWWW[[#This Row],['#_Non-functional latrines]]=0),0,WWWW[[#This Row],['#_Non-functional latrines]]/(WWWW[[#This Row],['#_Constructed latrines_by_WASHAgencies]]+WWWW[[#This Row],['#_Non Cluster partner latrines]]))</f>
        <v>0</v>
      </c>
      <c r="DM171" s="968">
        <f>IF(500*(WWWW[[#This Row],['#_male hygiene promoters]]+WWWW[[#This Row],['#_female hygiene promoters]])&gt;WWWW[[#This Row],[Total PoP ]],WWWW[[#This Row],[Total PoP ]],500*(WWWW[[#This Row],['#_male hygiene promoters]]+WWWW[[#This Row],['#_female hygiene promoters]]))</f>
        <v>0</v>
      </c>
      <c r="DN17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1" s="971">
        <f>IF(WWWW[[#This Row],['# People with access to soap]]&gt;WWWW[[#This Row],['# People with access to Sanity Pads]],WWWW[[#This Row],['# People with access to soap]],WWWW[[#This Row],['# People with access to Sanity Pads]])</f>
        <v>0</v>
      </c>
      <c r="DQ17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1" s="973">
        <f>IF(WWWW[[#This Row],[HRP3]]/WWWW[[#This Row],[Total PoP ]]&gt;1,1,WWWW[[#This Row],[HRP3]]/WWWW[[#This Row],[Total PoP ]])</f>
        <v>0</v>
      </c>
      <c r="DS171" s="972">
        <f>1-WWWW[[#This Row],[Hygiene Coverage%]]</f>
        <v>1</v>
      </c>
      <c r="DT171" s="970">
        <f>WWWW[[#This Row],['# people reached by regular dedicated hygiene promotion_5]]/WWWW[[#This Row],[Total PoP ]]</f>
        <v>0</v>
      </c>
      <c r="DU17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1" s="971">
        <f>WWWW[[#This Row],['#_Constructed/Existing hand washing stations]]-WWWW[[#This Row],['#_Non-Functional_hand_washing_stations]]</f>
        <v>0</v>
      </c>
      <c r="DX171" s="968">
        <f>IF(WWWW[[#This Row],['# Functional hand washing stations during reporting period]]*20&gt;WWWW[[#This Row],[Total HH]],WWWW[[#This Row],[Total HH]],WWWW[[#This Row],['# Functional hand washing stations during reporting period]]*20)</f>
        <v>0</v>
      </c>
      <c r="DY171" s="968">
        <f>IF(WWWW[[#This Row],[Is sufficient soap available for TLS? (Yes/No)]]="yes",WWWW[[#This Row],['#_Constructed/Existing hand washing stations at TLS/CFS/THF]],0)</f>
        <v>0</v>
      </c>
      <c r="DZ171" s="425">
        <f>IF(WWWW[[#This Row],['# Functional hand washing stations during reporting period]]*100&gt;WWWW[[#This Row],[Total PoP ]],WWWW[[#This Row],[Total PoP ]],WWWW[[#This Row],['# Functional hand washing stations during reporting period]]*100)</f>
        <v>0</v>
      </c>
      <c r="EA171" s="425" t="str">
        <f>IF(OR(WWWW[[#This Row],['#_students at TLS_CFS]]="",WWWW[[#This Row],['#_students at TLS_CFS]]=0),"No","Yes")</f>
        <v>No</v>
      </c>
      <c r="EB17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1" s="570">
        <f>WWWW[[#This Row],[%_of_affected_people_surveyed_who_report_feeling_satistfied_with_the_latrine_design_and_sanitation_service]]*WWWW[[#This Row],[Total PoP ]]</f>
        <v>0</v>
      </c>
      <c r="ED171" s="570">
        <f>WWWW[[#This Row],[%_of_affected_people_surveyed_who_report_feeling_satistfied_with_the_water_point_design_and_water_service]]*WWWW[[#This Row],[Total PoP ]]</f>
        <v>0</v>
      </c>
      <c r="EE171" s="570">
        <f>WWWW[[#This Row],[%_of_complaints_received_that_result_in_timely_corrective_action_and_feedback_to_the_community]]*WWWW[[#This Row],[Total PoP ]]</f>
        <v>0</v>
      </c>
      <c r="EF17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1" s="964" t="str">
        <f>VLOOKUP(WWWW[[#This Row],[Site Name]],SiteDB6[[Site Name]:[CCCM Management]],6,FALSE)</f>
        <v>Yes</v>
      </c>
      <c r="EJ171" s="964" t="str">
        <f>VLOOKUP(WWWW[[#This Row],[Site Name]],SiteDB6[[Site Name]:[CCCM Focal Agency]],7,FALSE)</f>
        <v>KBC-BMO</v>
      </c>
      <c r="EK171" s="964" t="str">
        <f>VLOOKUP(WWWW[[#This Row],[Site Name]],SiteDB6[[Site Name]:[Location Type 1]],9,FALSE)</f>
        <v>Camp</v>
      </c>
      <c r="EL171" s="964" t="str">
        <f>VLOOKUP(WWWW[[#This Row],[Site Name]],SiteDB6[[Site Name]:[Type of Accommodation]],10,FALSE)</f>
        <v>Camp</v>
      </c>
      <c r="EM171" s="964" t="str">
        <f>VLOOKUP(WWWW[[#This Row],[Site Name]],SiteDB6[[Site Name]:[Ethnic or GCA/NGCA]],11,FALSE)</f>
        <v>GCA</v>
      </c>
      <c r="EN171" s="964">
        <f>VLOOKUP(WWWW[[#This Row],[Site Name]],SiteDB6[[Site Name]:[Lat]],12,FALSE)</f>
        <v>24.250689999999999</v>
      </c>
      <c r="EO171" s="964">
        <f>VLOOKUP(WWWW[[#This Row],[Site Name]],SiteDB6[[Site Name]:[Long]],13,FALSE)</f>
        <v>97.344359999999995</v>
      </c>
      <c r="EP171" s="964" t="str">
        <f>VLOOKUP(WWWW[[#This Row],[Site Name]],SiteDB6[[Site Name]:[Pcode]],3,FALSE)</f>
        <v>MMR001CMP056</v>
      </c>
      <c r="EQ171" s="969" t="str">
        <f t="shared" si="5"/>
        <v>Covered</v>
      </c>
      <c r="ER171" s="969" t="s">
        <v>3147</v>
      </c>
      <c r="ES171" s="964">
        <f>VLOOKUP(WWWW[[#This Row],[Site Name]],SiteDB6[[Site Name]:[Pop
(Kachin/Shan-CCCM as of March 2023)]],16,FALSE)</f>
        <v>416</v>
      </c>
      <c r="ET171" s="964">
        <f>VLOOKUP(WWWW[[#This Row],[Site Name]],SiteDB6[[Site Name]:[Pop
(Kachin/Shan-CCCM as of March 2023)]],17,FALSE)</f>
        <v>1936</v>
      </c>
    </row>
    <row r="172" spans="1:150" hidden="1">
      <c r="A172" s="962" t="s">
        <v>2977</v>
      </c>
      <c r="B172" s="962" t="s">
        <v>276</v>
      </c>
      <c r="C172" s="963" t="s">
        <v>276</v>
      </c>
      <c r="D172" s="963" t="s">
        <v>2898</v>
      </c>
      <c r="E172" s="963" t="s">
        <v>37</v>
      </c>
      <c r="F172" s="963" t="s">
        <v>205</v>
      </c>
      <c r="G172" s="964" t="str">
        <f>VLOOKUP(WWWW[[#This Row],[Site Name]],SiteDB6[[Site Name]:[Location Type]],8,FALSE)</f>
        <v>Camp</v>
      </c>
      <c r="H172" s="963" t="s">
        <v>284</v>
      </c>
      <c r="I172" s="965">
        <v>44</v>
      </c>
      <c r="J172" s="965">
        <v>297</v>
      </c>
      <c r="K172" s="966">
        <v>44652</v>
      </c>
      <c r="L172" s="967">
        <v>45016</v>
      </c>
      <c r="M172" s="965"/>
      <c r="N172" s="965"/>
      <c r="O172" s="965">
        <v>1</v>
      </c>
      <c r="P172" s="965"/>
      <c r="Q172" s="968" t="s">
        <v>41</v>
      </c>
      <c r="R172" s="965">
        <v>3</v>
      </c>
      <c r="S172" s="965">
        <v>4</v>
      </c>
      <c r="T172" s="445">
        <v>3</v>
      </c>
      <c r="U172" s="965"/>
      <c r="V172" s="965"/>
      <c r="W172" s="965">
        <v>1</v>
      </c>
      <c r="X172" s="965"/>
      <c r="Y172" s="965"/>
      <c r="Z172" s="965"/>
      <c r="AA172" s="965"/>
      <c r="AB172" s="965"/>
      <c r="AC172" s="965"/>
      <c r="AD172" s="965"/>
      <c r="AE172" s="965"/>
      <c r="AF172" s="965"/>
      <c r="AG172" s="965">
        <v>1</v>
      </c>
      <c r="AH172" s="965"/>
      <c r="AI172" s="965">
        <v>1</v>
      </c>
      <c r="AJ172" s="965">
        <v>1</v>
      </c>
      <c r="AK172" s="965">
        <v>9</v>
      </c>
      <c r="AL172" s="965">
        <v>9</v>
      </c>
      <c r="AM172" s="965"/>
      <c r="AN172" s="965"/>
      <c r="AO172" s="445"/>
      <c r="AP172" s="969"/>
      <c r="AQ172" s="965">
        <v>13</v>
      </c>
      <c r="AR172" s="965"/>
      <c r="AS172" s="970"/>
      <c r="AT172" s="965"/>
      <c r="AU172" s="965">
        <v>3</v>
      </c>
      <c r="AV172" s="965">
        <v>12</v>
      </c>
      <c r="AW172" s="965">
        <v>16</v>
      </c>
      <c r="AX172" s="965"/>
      <c r="AY172" s="964" t="s">
        <v>41</v>
      </c>
      <c r="AZ172" s="969" t="s">
        <v>137</v>
      </c>
      <c r="BA172" s="965"/>
      <c r="BB172" s="965"/>
      <c r="BC172" s="965"/>
      <c r="BD172" s="445"/>
      <c r="BE172" s="445">
        <v>3</v>
      </c>
      <c r="BF172" s="964"/>
      <c r="BG172" s="965">
        <v>8</v>
      </c>
      <c r="BH172" s="965"/>
      <c r="BI172" s="965"/>
      <c r="BJ172" s="965">
        <v>3</v>
      </c>
      <c r="BK172" s="965"/>
      <c r="BL172" s="965"/>
      <c r="BM172" s="965">
        <v>1</v>
      </c>
      <c r="BN172" s="965"/>
      <c r="BO172" s="965"/>
      <c r="BP172" s="964" t="s">
        <v>136</v>
      </c>
      <c r="BQ172" s="971">
        <v>2</v>
      </c>
      <c r="BR172" s="970">
        <v>0.8</v>
      </c>
      <c r="BS172" s="964"/>
      <c r="BT172" s="420">
        <v>1</v>
      </c>
      <c r="BU172" s="420">
        <v>1</v>
      </c>
      <c r="BV172" s="422">
        <v>9</v>
      </c>
      <c r="BW172" s="420">
        <v>0.9</v>
      </c>
      <c r="BX172" s="445"/>
      <c r="BY172" s="445"/>
      <c r="BZ172" s="445"/>
      <c r="CA172" s="445"/>
      <c r="CB172" s="445"/>
      <c r="CC172" s="702"/>
      <c r="CD172" s="445"/>
      <c r="CE172" s="972">
        <f>IFERROR(WWWW[[#This Row],['#_Water sources passed]]/WWWW[[#This Row],['#_Water sources tested for fecal coliform ]],"no test")</f>
        <v>1</v>
      </c>
      <c r="CF172" s="970">
        <f>IFERROR(WWWW[[#This Row],['#_Household passed]]/WWWW[[#This Row],['#_Household water samples tested for fecal coliform]],"no test")</f>
        <v>1</v>
      </c>
      <c r="CG172" s="971" t="str">
        <f>IF(AND(WWWW[[#This Row],[% of water sources passed]]="no test",WWWW[[#This Row],[% Household passed]]="no test"),"No Test","Tested")</f>
        <v>Tested</v>
      </c>
      <c r="CH172" s="971">
        <f>WWWW[[#This Row],['#_Constructed/existing protected hand dug well]]-WWWW[[#This Row],['#_Non-functional protected hand dug well]]</f>
        <v>3</v>
      </c>
      <c r="CI172" s="971">
        <f>(WWWW[[#This Row],['#_Constructed/Existing tube wells/boreholes/handpumps_WASH_agency]]+WWWW[[#This Row],['#_Non-Cluster partner water tube-wells/boreholes/handpumps]])-WWWW[[#This Row],['#_Non-functional tube wells/boreholes/handpumps]]</f>
        <v>1</v>
      </c>
      <c r="CJ172" s="971">
        <f>WWWW[[#This Row],['#_Constructed/Existingwater storage tank with gravity fed reticulation system]]-WWWW[[#This Row],['#_Non-functional storage tank gravity fed reticulation system]]</f>
        <v>0</v>
      </c>
      <c r="CK172" s="971">
        <f>(WWWW[[#This Row],['#_Water_Liters_supplied_by_Water boating or water trucking]]/90)/15</f>
        <v>0</v>
      </c>
      <c r="CL172" s="971">
        <f>WWWW[[#This Row],['#_Water_Liters_from_Constructed/Existing water distribution system from river or natural spring]]/90/15</f>
        <v>0</v>
      </c>
      <c r="CM172" s="421">
        <f>IF(WWWW[[#This Row],['#_of water points in TLS/CFS]]*500&gt;WWWW[[#This Row],[Total PoP ]],WWWW[[#This Row],[Total PoP ]],WWWW[[#This Row],['#_of water points in TLS/CFS]]*500)</f>
        <v>0</v>
      </c>
      <c r="CN172" s="421">
        <f>IF(WWWW[[#This Row],['#_of water points in THF]]*500&gt;WWWW[[#This Row],[Total PoP ]],WWWW[[#This Row],[Total PoP ]],WWWW[[#This Row],['#_of water points in THF]]*500)</f>
        <v>0</v>
      </c>
      <c r="CO172" s="421"/>
      <c r="CP17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2" s="970">
        <f>IF(WWWW[[#This Row],[Location Type 1]]="Village",WWWW[[#This Row],[Access to safe drinking water for Village]],WWWW[[#This Row],[Access to safe drinking water for Camp]])</f>
        <v>1</v>
      </c>
      <c r="CS172" s="968">
        <f>WWWW[[#This Row],[%Equitable and continuous access to sufficient quantity of safe drinking water]]*WWWW[[#This Row],[Total PoP ]]</f>
        <v>297</v>
      </c>
      <c r="CT172" s="970">
        <f>IF((WWWW[[#This Row],['#_Constructed/Existing protected/fenced ponds]]*250)/WWWW[[#This Row],[Total PoP ]]&gt;1,1,(WWWW[[#This Row],['#_Constructed/Existing protected/fenced ponds]]*250)/WWWW[[#This Row],[Total PoP ]])</f>
        <v>0</v>
      </c>
      <c r="CU172" s="968">
        <f>WWWW[[#This Row],[% Access to unimproved water points]]*WWWW[[#This Row],[Total PoP ]]</f>
        <v>0</v>
      </c>
      <c r="CV17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v>
      </c>
      <c r="CX172" s="968">
        <f>WWWW[[#This Row],[HRP1]]/500</f>
        <v>0.59399999999999997</v>
      </c>
      <c r="CY172" s="973">
        <f>1-WWWW[[#This Row],[% Equitable and continuous access to sufficient quantity of domestic water]]</f>
        <v>0</v>
      </c>
      <c r="CZ172" s="968">
        <f>WWWW[[#This Row],[%equitable and continuous access to sufficient quantity of safe drinking and domestic water''s GAP]]*WWWW[[#This Row],[Total PoP ]]</f>
        <v>0</v>
      </c>
      <c r="DA172" s="971">
        <f>IF(WWWW[[#This Row],[Total required water points]]-WWWW[[#This Row],['#Water points coverage]]&lt;0,0,WWWW[[#This Row],[Total required water points]]-WWWW[[#This Row],['#Water points coverage]])</f>
        <v>0.40600000000000003</v>
      </c>
      <c r="DB172" s="971">
        <f>ROUND(IF(WWWW[[#This Row],[Total PoP ]]&lt;500,1,WWWW[[#This Row],[Total PoP ]]/500),0)</f>
        <v>1</v>
      </c>
      <c r="DC172" s="971">
        <f>(WWWW[[#This Row],['#_Constructed latrines_by_WASHAgencies]]+WWWW[[#This Row],['#_Non Cluster partner latrines]])-WWWW[[#This Row],['#_Non-functional latrines]]</f>
        <v>13</v>
      </c>
      <c r="DD172" s="619">
        <f>WWWW[[#This Row],[HRP2]]/WWWW[[#This Row],[Total PoP ]]</f>
        <v>0.88552188552188549</v>
      </c>
      <c r="DE17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263</v>
      </c>
      <c r="DF17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17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2" s="421">
        <f>IF(WWWW[[#This Row],['# of functional latrines in THF supported by WASH partners during the reporting period2]]="",0,WWWW[[#This Row],['# of functional latrines in THF supported by WASH partners during the reporting period2]]*50)</f>
        <v>0</v>
      </c>
      <c r="DI172" s="971">
        <f>ROUND(IF(WWWW[[#This Row],[Location Type 1]]="camp",WWWW[[#This Row],[Total PoP ]]/20,IF(WWWW[[#This Row],[Location Type 1]]="Temporary Location",WWWW[[#This Row],[Total PoP ]]/50,(WWWW[[#This Row],[Total PoP ]]/6))),0)</f>
        <v>15</v>
      </c>
      <c r="DJ172" s="971">
        <f>IF(WWWW[[#This Row],[Total required Latrines]]-(WWWW[[#This Row],['#_Constructed latrines_by_WASHAgencies]]+WWWW[[#This Row],['#_Non Cluster partner latrines]])&lt;0,0,WWWW[[#This Row],[Total required Latrines]]-(WWWW[[#This Row],['#_Constructed latrines_by_WASHAgencies]]+WWWW[[#This Row],['#_Non Cluster partner latrines]]))</f>
        <v>2</v>
      </c>
      <c r="DK172" s="973">
        <f>1-WWWW[[#This Row],[% people access to functioning Latrine]]</f>
        <v>0.11447811447811451</v>
      </c>
      <c r="DL172" s="972">
        <f>IF(OR(WWWW[[#This Row],['#_Non-functional latrines]]="",WWWW[[#This Row],['#_Non-functional latrines]]=0),0,WWWW[[#This Row],['#_Non-functional latrines]]/(WWWW[[#This Row],['#_Constructed latrines_by_WASHAgencies]]+WWWW[[#This Row],['#_Non Cluster partner latrines]]))</f>
        <v>0</v>
      </c>
      <c r="DM172" s="968">
        <f>IF(500*(WWWW[[#This Row],['#_male hygiene promoters]]+WWWW[[#This Row],['#_female hygiene promoters]])&gt;WWWW[[#This Row],[Total PoP ]],WWWW[[#This Row],[Total PoP ]],500*(WWWW[[#This Row],['#_male hygiene promoters]]+WWWW[[#This Row],['#_female hygiene promoters]]))</f>
        <v>297</v>
      </c>
      <c r="DN17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2" s="971">
        <f>IF(WWWW[[#This Row],['# People with access to soap]]&gt;WWWW[[#This Row],['# People with access to Sanity Pads]],WWWW[[#This Row],['# People with access to soap]],WWWW[[#This Row],['# People with access to Sanity Pads]])</f>
        <v>0</v>
      </c>
      <c r="DQ172" s="971">
        <f>IF(WWWW[[#This Row],['# people reached by regular dedicated hygiene promotion_5]]&gt;WWWW[[#This Row],['# People received regular supply of hygiene items_6]],WWWW[[#This Row],['# people reached by regular dedicated hygiene promotion_5]],WWWW[[#This Row],['# People received regular supply of hygiene items_6]])</f>
        <v>297</v>
      </c>
      <c r="DR172" s="973">
        <f>IF(WWWW[[#This Row],[HRP3]]/WWWW[[#This Row],[Total PoP ]]&gt;1,1,WWWW[[#This Row],[HRP3]]/WWWW[[#This Row],[Total PoP ]])</f>
        <v>1</v>
      </c>
      <c r="DS172" s="972">
        <f>1-WWWW[[#This Row],[Hygiene Coverage%]]</f>
        <v>0</v>
      </c>
      <c r="DT172" s="970">
        <f>WWWW[[#This Row],['# people reached by regular dedicated hygiene promotion_5]]/WWWW[[#This Row],[Total PoP ]]</f>
        <v>1</v>
      </c>
      <c r="DU17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2" s="971">
        <f>WWWW[[#This Row],['#_Constructed/Existing hand washing stations]]-WWWW[[#This Row],['#_Non-Functional_hand_washing_stations]]</f>
        <v>8</v>
      </c>
      <c r="DX172" s="968">
        <f>IF(WWWW[[#This Row],['# Functional hand washing stations during reporting period]]*20&gt;WWWW[[#This Row],[Total HH]],WWWW[[#This Row],[Total HH]],WWWW[[#This Row],['# Functional hand washing stations during reporting period]]*20)</f>
        <v>44</v>
      </c>
      <c r="DY172" s="968">
        <f>IF(WWWW[[#This Row],[Is sufficient soap available for TLS? (Yes/No)]]="yes",WWWW[[#This Row],['#_Constructed/Existing hand washing stations at TLS/CFS/THF]],0)</f>
        <v>0</v>
      </c>
      <c r="DZ172" s="425">
        <f>IF(WWWW[[#This Row],['# Functional hand washing stations during reporting period]]*100&gt;WWWW[[#This Row],[Total PoP ]],WWWW[[#This Row],[Total PoP ]],WWWW[[#This Row],['# Functional hand washing stations during reporting period]]*100)</f>
        <v>297</v>
      </c>
      <c r="EA172" s="425" t="str">
        <f>IF(OR(WWWW[[#This Row],['#_students at TLS_CFS]]="",WWWW[[#This Row],['#_students at TLS_CFS]]=0),"No","Yes")</f>
        <v>No</v>
      </c>
      <c r="EB172" s="619">
        <f>IF(WWWW[[#This Row],['#_of_affected_people_surveyed_who_report_feeling_informed_about_the_different_WASH_services_available_to_them]]="","",WWWW[[#This Row],['#_of_affected_people_surveyed_who_report_feeling_informed_about_the_different_WASH_services_available_to_them]]/WWWW[[#This Row],[Total PoP ]])</f>
        <v>3.0303030303030304E-2</v>
      </c>
      <c r="EC172" s="570">
        <f>WWWW[[#This Row],[%_of_affected_people_surveyed_who_report_feeling_satistfied_with_the_latrine_design_and_sanitation_service]]*WWWW[[#This Row],[Total PoP ]]</f>
        <v>297</v>
      </c>
      <c r="ED172" s="570">
        <f>WWWW[[#This Row],[%_of_affected_people_surveyed_who_report_feeling_satistfied_with_the_water_point_design_and_water_service]]*WWWW[[#This Row],[Total PoP ]]</f>
        <v>297</v>
      </c>
      <c r="EE172" s="570">
        <f>WWWW[[#This Row],[%_of_complaints_received_that_result_in_timely_corrective_action_and_feedback_to_the_community]]*WWWW[[#This Row],[Total PoP ]]</f>
        <v>267.3</v>
      </c>
      <c r="EF17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297</v>
      </c>
      <c r="EG17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2" s="964" t="str">
        <f>VLOOKUP(WWWW[[#This Row],[Site Name]],SiteDB6[[Site Name]:[CCCM Management]],6,FALSE)</f>
        <v>Yes</v>
      </c>
      <c r="EJ172" s="964" t="str">
        <f>VLOOKUP(WWWW[[#This Row],[Site Name]],SiteDB6[[Site Name]:[CCCM Focal Agency]],7,FALSE)</f>
        <v>KBC-BMO</v>
      </c>
      <c r="EK172" s="964" t="str">
        <f>VLOOKUP(WWWW[[#This Row],[Site Name]],SiteDB6[[Site Name]:[Location Type 1]],9,FALSE)</f>
        <v>Camp</v>
      </c>
      <c r="EL172" s="964" t="str">
        <f>VLOOKUP(WWWW[[#This Row],[Site Name]],SiteDB6[[Site Name]:[Type of Accommodation]],10,FALSE)</f>
        <v>Camp</v>
      </c>
      <c r="EM172" s="964" t="str">
        <f>VLOOKUP(WWWW[[#This Row],[Site Name]],SiteDB6[[Site Name]:[Ethnic or GCA/NGCA]],11,FALSE)</f>
        <v>GCA</v>
      </c>
      <c r="EN172" s="964">
        <f>VLOOKUP(WWWW[[#This Row],[Site Name]],SiteDB6[[Site Name]:[Lat]],12,FALSE)</f>
        <v>24.205417000000001</v>
      </c>
      <c r="EO172" s="964">
        <f>VLOOKUP(WWWW[[#This Row],[Site Name]],SiteDB6[[Site Name]:[Long]],13,FALSE)</f>
        <v>97.724483000000006</v>
      </c>
      <c r="EP172" s="964" t="str">
        <f>VLOOKUP(WWWW[[#This Row],[Site Name]],SiteDB6[[Site Name]:[Pcode]],3,FALSE)</f>
        <v>MMR001CMP072</v>
      </c>
      <c r="EQ172" s="969" t="str">
        <f t="shared" si="5"/>
        <v>Covered</v>
      </c>
      <c r="ER172" s="969" t="s">
        <v>3147</v>
      </c>
      <c r="ES172" s="964">
        <f>VLOOKUP(WWWW[[#This Row],[Site Name]],SiteDB6[[Site Name]:[Pop
(Kachin/Shan-CCCM as of March 2023)]],16,FALSE)</f>
        <v>48</v>
      </c>
      <c r="ET172" s="964">
        <f>VLOOKUP(WWWW[[#This Row],[Site Name]],SiteDB6[[Site Name]:[Pop
(Kachin/Shan-CCCM as of March 2023)]],17,FALSE)</f>
        <v>293</v>
      </c>
    </row>
    <row r="173" spans="1:150" hidden="1">
      <c r="A173" s="962" t="s">
        <v>2977</v>
      </c>
      <c r="B173" s="962" t="s">
        <v>276</v>
      </c>
      <c r="C173" s="963" t="s">
        <v>276</v>
      </c>
      <c r="D173" s="963" t="s">
        <v>2898</v>
      </c>
      <c r="E173" s="963" t="s">
        <v>37</v>
      </c>
      <c r="F173" s="963" t="s">
        <v>205</v>
      </c>
      <c r="G173" s="964" t="str">
        <f>VLOOKUP(WWWW[[#This Row],[Site Name]],SiteDB6[[Site Name]:[Location Type]],8,FALSE)</f>
        <v>Camp</v>
      </c>
      <c r="H173" s="963" t="s">
        <v>286</v>
      </c>
      <c r="I173" s="965">
        <v>44</v>
      </c>
      <c r="J173" s="965">
        <v>266</v>
      </c>
      <c r="K173" s="966">
        <v>44652</v>
      </c>
      <c r="L173" s="967">
        <v>45016</v>
      </c>
      <c r="M173" s="965"/>
      <c r="N173" s="965"/>
      <c r="O173" s="965">
        <v>2</v>
      </c>
      <c r="P173" s="965"/>
      <c r="Q173" s="968" t="s">
        <v>41</v>
      </c>
      <c r="R173" s="965">
        <v>4</v>
      </c>
      <c r="S173" s="965">
        <v>6</v>
      </c>
      <c r="T173" s="445">
        <v>2</v>
      </c>
      <c r="U173" s="965"/>
      <c r="V173" s="965"/>
      <c r="W173" s="965">
        <v>1</v>
      </c>
      <c r="X173" s="965"/>
      <c r="Y173" s="965"/>
      <c r="Z173" s="965"/>
      <c r="AA173" s="965">
        <v>1</v>
      </c>
      <c r="AB173" s="965"/>
      <c r="AC173" s="965"/>
      <c r="AD173" s="965"/>
      <c r="AE173" s="965"/>
      <c r="AF173" s="965"/>
      <c r="AG173" s="965">
        <v>1</v>
      </c>
      <c r="AH173" s="965"/>
      <c r="AI173" s="965">
        <v>1</v>
      </c>
      <c r="AJ173" s="965">
        <v>1</v>
      </c>
      <c r="AK173" s="965">
        <v>6</v>
      </c>
      <c r="AL173" s="965">
        <v>6</v>
      </c>
      <c r="AM173" s="965"/>
      <c r="AN173" s="965"/>
      <c r="AO173" s="445"/>
      <c r="AP173" s="969"/>
      <c r="AQ173" s="965">
        <v>16</v>
      </c>
      <c r="AR173" s="965"/>
      <c r="AS173" s="970"/>
      <c r="AT173" s="965"/>
      <c r="AU173" s="965">
        <v>1</v>
      </c>
      <c r="AV173" s="965">
        <v>14</v>
      </c>
      <c r="AW173" s="965">
        <v>16</v>
      </c>
      <c r="AX173" s="965"/>
      <c r="AY173" s="964" t="s">
        <v>41</v>
      </c>
      <c r="AZ173" s="969" t="s">
        <v>137</v>
      </c>
      <c r="BA173" s="965"/>
      <c r="BB173" s="965"/>
      <c r="BC173" s="965"/>
      <c r="BD173" s="445"/>
      <c r="BE173" s="445"/>
      <c r="BF173" s="964"/>
      <c r="BG173" s="965">
        <v>3</v>
      </c>
      <c r="BH173" s="965"/>
      <c r="BI173" s="965"/>
      <c r="BJ173" s="965">
        <v>1</v>
      </c>
      <c r="BK173" s="965"/>
      <c r="BL173" s="965"/>
      <c r="BM173" s="965">
        <v>1</v>
      </c>
      <c r="BN173" s="965"/>
      <c r="BO173" s="965"/>
      <c r="BP173" s="964" t="s">
        <v>136</v>
      </c>
      <c r="BQ173" s="971">
        <v>2</v>
      </c>
      <c r="BR173" s="970">
        <v>0.8</v>
      </c>
      <c r="BS173" s="964"/>
      <c r="BT173" s="420">
        <v>1</v>
      </c>
      <c r="BU173" s="420">
        <v>1</v>
      </c>
      <c r="BV173" s="422">
        <v>8</v>
      </c>
      <c r="BW173" s="420">
        <v>1</v>
      </c>
      <c r="BX173" s="445"/>
      <c r="BY173" s="445"/>
      <c r="BZ173" s="445"/>
      <c r="CA173" s="445"/>
      <c r="CB173" s="445"/>
      <c r="CC173" s="702"/>
      <c r="CD173" s="445"/>
      <c r="CE173" s="972">
        <f>IFERROR(WWWW[[#This Row],['#_Water sources passed]]/WWWW[[#This Row],['#_Water sources tested for fecal coliform ]],"no test")</f>
        <v>1</v>
      </c>
      <c r="CF173" s="970">
        <f>IFERROR(WWWW[[#This Row],['#_Household passed]]/WWWW[[#This Row],['#_Household water samples tested for fecal coliform]],"no test")</f>
        <v>1</v>
      </c>
      <c r="CG173" s="971" t="str">
        <f>IF(AND(WWWW[[#This Row],[% of water sources passed]]="no test",WWWW[[#This Row],[% Household passed]]="no test"),"No Test","Tested")</f>
        <v>Tested</v>
      </c>
      <c r="CH173" s="971">
        <f>WWWW[[#This Row],['#_Constructed/existing protected hand dug well]]-WWWW[[#This Row],['#_Non-functional protected hand dug well]]</f>
        <v>2</v>
      </c>
      <c r="CI173" s="971">
        <f>(WWWW[[#This Row],['#_Constructed/Existing tube wells/boreholes/handpumps_WASH_agency]]+WWWW[[#This Row],['#_Non-Cluster partner water tube-wells/boreholes/handpumps]])-WWWW[[#This Row],['#_Non-functional tube wells/boreholes/handpumps]]</f>
        <v>1</v>
      </c>
      <c r="CJ173" s="971">
        <f>WWWW[[#This Row],['#_Constructed/Existingwater storage tank with gravity fed reticulation system]]-WWWW[[#This Row],['#_Non-functional storage tank gravity fed reticulation system]]</f>
        <v>1</v>
      </c>
      <c r="CK173" s="971">
        <f>(WWWW[[#This Row],['#_Water_Liters_supplied_by_Water boating or water trucking]]/90)/15</f>
        <v>0</v>
      </c>
      <c r="CL173" s="971">
        <f>WWWW[[#This Row],['#_Water_Liters_from_Constructed/Existing water distribution system from river or natural spring]]/90/15</f>
        <v>0</v>
      </c>
      <c r="CM173" s="421">
        <f>IF(WWWW[[#This Row],['#_of water points in TLS/CFS]]*500&gt;WWWW[[#This Row],[Total PoP ]],WWWW[[#This Row],[Total PoP ]],WWWW[[#This Row],['#_of water points in TLS/CFS]]*500)</f>
        <v>0</v>
      </c>
      <c r="CN173" s="421">
        <f>IF(WWWW[[#This Row],['#_of water points in THF]]*500&gt;WWWW[[#This Row],[Total PoP ]],WWWW[[#This Row],[Total PoP ]],WWWW[[#This Row],['#_of water points in THF]]*500)</f>
        <v>0</v>
      </c>
      <c r="CO173" s="421"/>
      <c r="CP17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3" s="970">
        <f>IF(WWWW[[#This Row],[Location Type 1]]="Village",WWWW[[#This Row],[Access to safe drinking water for Village]],WWWW[[#This Row],[Access to safe drinking water for Camp]])</f>
        <v>1</v>
      </c>
      <c r="CS173" s="968">
        <f>WWWW[[#This Row],[%Equitable and continuous access to sufficient quantity of safe drinking water]]*WWWW[[#This Row],[Total PoP ]]</f>
        <v>266</v>
      </c>
      <c r="CT173" s="970">
        <f>IF((WWWW[[#This Row],['#_Constructed/Existing protected/fenced ponds]]*250)/WWWW[[#This Row],[Total PoP ]]&gt;1,1,(WWWW[[#This Row],['#_Constructed/Existing protected/fenced ponds]]*250)/WWWW[[#This Row],[Total PoP ]])</f>
        <v>0</v>
      </c>
      <c r="CU173" s="968">
        <f>WWWW[[#This Row],[% Access to unimproved water points]]*WWWW[[#This Row],[Total PoP ]]</f>
        <v>0</v>
      </c>
      <c r="CV17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X173" s="968">
        <f>WWWW[[#This Row],[HRP1]]/500</f>
        <v>0.53200000000000003</v>
      </c>
      <c r="CY173" s="973">
        <f>1-WWWW[[#This Row],[% Equitable and continuous access to sufficient quantity of domestic water]]</f>
        <v>0</v>
      </c>
      <c r="CZ173" s="968">
        <f>WWWW[[#This Row],[%equitable and continuous access to sufficient quantity of safe drinking and domestic water''s GAP]]*WWWW[[#This Row],[Total PoP ]]</f>
        <v>0</v>
      </c>
      <c r="DA173" s="971">
        <f>IF(WWWW[[#This Row],[Total required water points]]-WWWW[[#This Row],['#Water points coverage]]&lt;0,0,WWWW[[#This Row],[Total required water points]]-WWWW[[#This Row],['#Water points coverage]])</f>
        <v>0.46799999999999997</v>
      </c>
      <c r="DB173" s="971">
        <f>ROUND(IF(WWWW[[#This Row],[Total PoP ]]&lt;500,1,WWWW[[#This Row],[Total PoP ]]/500),0)</f>
        <v>1</v>
      </c>
      <c r="DC173" s="971">
        <f>(WWWW[[#This Row],['#_Constructed latrines_by_WASHAgencies]]+WWWW[[#This Row],['#_Non Cluster partner latrines]])-WWWW[[#This Row],['#_Non-functional latrines]]</f>
        <v>16</v>
      </c>
      <c r="DD173" s="619">
        <f>WWWW[[#This Row],[HRP2]]/WWWW[[#This Row],[Total PoP ]]</f>
        <v>1</v>
      </c>
      <c r="DE17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266</v>
      </c>
      <c r="DF17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266</v>
      </c>
      <c r="DG17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3" s="421">
        <f>IF(WWWW[[#This Row],['# of functional latrines in THF supported by WASH partners during the reporting period2]]="",0,WWWW[[#This Row],['# of functional latrines in THF supported by WASH partners during the reporting period2]]*50)</f>
        <v>0</v>
      </c>
      <c r="DI173" s="971">
        <f>ROUND(IF(WWWW[[#This Row],[Location Type 1]]="camp",WWWW[[#This Row],[Total PoP ]]/20,IF(WWWW[[#This Row],[Location Type 1]]="Temporary Location",WWWW[[#This Row],[Total PoP ]]/50,(WWWW[[#This Row],[Total PoP ]]/6))),0)</f>
        <v>13</v>
      </c>
      <c r="DJ173" s="971">
        <f>IF(WWWW[[#This Row],[Total required Latrines]]-(WWWW[[#This Row],['#_Constructed latrines_by_WASHAgencies]]+WWWW[[#This Row],['#_Non Cluster partner latrines]])&lt;0,0,WWWW[[#This Row],[Total required Latrines]]-(WWWW[[#This Row],['#_Constructed latrines_by_WASHAgencies]]+WWWW[[#This Row],['#_Non Cluster partner latrines]]))</f>
        <v>0</v>
      </c>
      <c r="DK173" s="973">
        <f>1-WWWW[[#This Row],[% people access to functioning Latrine]]</f>
        <v>0</v>
      </c>
      <c r="DL173" s="972">
        <f>IF(OR(WWWW[[#This Row],['#_Non-functional latrines]]="",WWWW[[#This Row],['#_Non-functional latrines]]=0),0,WWWW[[#This Row],['#_Non-functional latrines]]/(WWWW[[#This Row],['#_Constructed latrines_by_WASHAgencies]]+WWWW[[#This Row],['#_Non Cluster partner latrines]]))</f>
        <v>0</v>
      </c>
      <c r="DM173" s="968">
        <f>IF(500*(WWWW[[#This Row],['#_male hygiene promoters]]+WWWW[[#This Row],['#_female hygiene promoters]])&gt;WWWW[[#This Row],[Total PoP ]],WWWW[[#This Row],[Total PoP ]],500*(WWWW[[#This Row],['#_male hygiene promoters]]+WWWW[[#This Row],['#_female hygiene promoters]]))</f>
        <v>266</v>
      </c>
      <c r="DN17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3" s="971">
        <f>IF(WWWW[[#This Row],['# People with access to soap]]&gt;WWWW[[#This Row],['# People with access to Sanity Pads]],WWWW[[#This Row],['# People with access to soap]],WWWW[[#This Row],['# People with access to Sanity Pads]])</f>
        <v>0</v>
      </c>
      <c r="DQ173" s="971">
        <f>IF(WWWW[[#This Row],['# people reached by regular dedicated hygiene promotion_5]]&gt;WWWW[[#This Row],['# People received regular supply of hygiene items_6]],WWWW[[#This Row],['# people reached by regular dedicated hygiene promotion_5]],WWWW[[#This Row],['# People received regular supply of hygiene items_6]])</f>
        <v>266</v>
      </c>
      <c r="DR173" s="973">
        <f>IF(WWWW[[#This Row],[HRP3]]/WWWW[[#This Row],[Total PoP ]]&gt;1,1,WWWW[[#This Row],[HRP3]]/WWWW[[#This Row],[Total PoP ]])</f>
        <v>1</v>
      </c>
      <c r="DS173" s="972">
        <f>1-WWWW[[#This Row],[Hygiene Coverage%]]</f>
        <v>0</v>
      </c>
      <c r="DT173" s="970">
        <f>WWWW[[#This Row],['# people reached by regular dedicated hygiene promotion_5]]/WWWW[[#This Row],[Total PoP ]]</f>
        <v>1</v>
      </c>
      <c r="DU17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3" s="971">
        <f>WWWW[[#This Row],['#_Constructed/Existing hand washing stations]]-WWWW[[#This Row],['#_Non-Functional_hand_washing_stations]]</f>
        <v>3</v>
      </c>
      <c r="DX173" s="968">
        <f>IF(WWWW[[#This Row],['# Functional hand washing stations during reporting period]]*20&gt;WWWW[[#This Row],[Total HH]],WWWW[[#This Row],[Total HH]],WWWW[[#This Row],['# Functional hand washing stations during reporting period]]*20)</f>
        <v>44</v>
      </c>
      <c r="DY173" s="968">
        <f>IF(WWWW[[#This Row],[Is sufficient soap available for TLS? (Yes/No)]]="yes",WWWW[[#This Row],['#_Constructed/Existing hand washing stations at TLS/CFS/THF]],0)</f>
        <v>0</v>
      </c>
      <c r="DZ173" s="425">
        <f>IF(WWWW[[#This Row],['# Functional hand washing stations during reporting period]]*100&gt;WWWW[[#This Row],[Total PoP ]],WWWW[[#This Row],[Total PoP ]],WWWW[[#This Row],['# Functional hand washing stations during reporting period]]*100)</f>
        <v>266</v>
      </c>
      <c r="EA173" s="425" t="str">
        <f>IF(OR(WWWW[[#This Row],['#_students at TLS_CFS]]="",WWWW[[#This Row],['#_students at TLS_CFS]]=0),"No","Yes")</f>
        <v>No</v>
      </c>
      <c r="EB173" s="619">
        <f>IF(WWWW[[#This Row],['#_of_affected_people_surveyed_who_report_feeling_informed_about_the_different_WASH_services_available_to_them]]="","",WWWW[[#This Row],['#_of_affected_people_surveyed_who_report_feeling_informed_about_the_different_WASH_services_available_to_them]]/WWWW[[#This Row],[Total PoP ]])</f>
        <v>3.007518796992481E-2</v>
      </c>
      <c r="EC173" s="570">
        <f>WWWW[[#This Row],[%_of_affected_people_surveyed_who_report_feeling_satistfied_with_the_latrine_design_and_sanitation_service]]*WWWW[[#This Row],[Total PoP ]]</f>
        <v>266</v>
      </c>
      <c r="ED173" s="570">
        <f>WWWW[[#This Row],[%_of_affected_people_surveyed_who_report_feeling_satistfied_with_the_water_point_design_and_water_service]]*WWWW[[#This Row],[Total PoP ]]</f>
        <v>266</v>
      </c>
      <c r="EE173" s="570">
        <f>WWWW[[#This Row],[%_of_complaints_received_that_result_in_timely_corrective_action_and_feedback_to_the_community]]*WWWW[[#This Row],[Total PoP ]]</f>
        <v>266</v>
      </c>
      <c r="EF17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266</v>
      </c>
      <c r="EG17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3" s="964" t="str">
        <f>VLOOKUP(WWWW[[#This Row],[Site Name]],SiteDB6[[Site Name]:[CCCM Management]],6,FALSE)</f>
        <v>Yes</v>
      </c>
      <c r="EJ173" s="964" t="str">
        <f>VLOOKUP(WWWW[[#This Row],[Site Name]],SiteDB6[[Site Name]:[CCCM Focal Agency]],7,FALSE)</f>
        <v>KBC-BMO</v>
      </c>
      <c r="EK173" s="964" t="str">
        <f>VLOOKUP(WWWW[[#This Row],[Site Name]],SiteDB6[[Site Name]:[Location Type 1]],9,FALSE)</f>
        <v>Camp</v>
      </c>
      <c r="EL173" s="964" t="str">
        <f>VLOOKUP(WWWW[[#This Row],[Site Name]],SiteDB6[[Site Name]:[Type of Accommodation]],10,FALSE)</f>
        <v>Camp</v>
      </c>
      <c r="EM173" s="964" t="str">
        <f>VLOOKUP(WWWW[[#This Row],[Site Name]],SiteDB6[[Site Name]:[Ethnic or GCA/NGCA]],11,FALSE)</f>
        <v>GCA</v>
      </c>
      <c r="EN173" s="964">
        <f>VLOOKUP(WWWW[[#This Row],[Site Name]],SiteDB6[[Site Name]:[Lat]],12,FALSE)</f>
        <v>24.207332999999998</v>
      </c>
      <c r="EO173" s="964">
        <f>VLOOKUP(WWWW[[#This Row],[Site Name]],SiteDB6[[Site Name]:[Long]],13,FALSE)</f>
        <v>97.710864000000001</v>
      </c>
      <c r="EP173" s="964" t="str">
        <f>VLOOKUP(WWWW[[#This Row],[Site Name]],SiteDB6[[Site Name]:[Pcode]],3,FALSE)</f>
        <v>MMR001CMP073</v>
      </c>
      <c r="EQ173" s="969" t="str">
        <f t="shared" si="5"/>
        <v>Covered</v>
      </c>
      <c r="ER173" s="969" t="s">
        <v>3147</v>
      </c>
      <c r="ES173" s="964">
        <f>VLOOKUP(WWWW[[#This Row],[Site Name]],SiteDB6[[Site Name]:[Pop
(Kachin/Shan-CCCM as of March 2023)]],16,FALSE)</f>
        <v>52</v>
      </c>
      <c r="ET173" s="964">
        <f>VLOOKUP(WWWW[[#This Row],[Site Name]],SiteDB6[[Site Name]:[Pop
(Kachin/Shan-CCCM as of March 2023)]],17,FALSE)</f>
        <v>299</v>
      </c>
    </row>
    <row r="174" spans="1:150" hidden="1">
      <c r="A174" s="962" t="s">
        <v>2977</v>
      </c>
      <c r="B174" s="962" t="s">
        <v>192</v>
      </c>
      <c r="C174" s="963" t="s">
        <v>192</v>
      </c>
      <c r="D174" s="963" t="s">
        <v>2899</v>
      </c>
      <c r="E174" s="963" t="s">
        <v>37</v>
      </c>
      <c r="F174" s="963" t="s">
        <v>142</v>
      </c>
      <c r="G174" s="964" t="s">
        <v>1099</v>
      </c>
      <c r="H174" s="963" t="s">
        <v>223</v>
      </c>
      <c r="I174" s="965">
        <v>134</v>
      </c>
      <c r="J174" s="965">
        <v>709</v>
      </c>
      <c r="K174" s="966" t="s">
        <v>3154</v>
      </c>
      <c r="L174" s="967" t="s">
        <v>3155</v>
      </c>
      <c r="M174" s="965"/>
      <c r="N174" s="965"/>
      <c r="O174" s="965"/>
      <c r="P174" s="965"/>
      <c r="Q174" s="968" t="s">
        <v>136</v>
      </c>
      <c r="R174" s="965"/>
      <c r="S174" s="965"/>
      <c r="T174" s="445"/>
      <c r="U174" s="965"/>
      <c r="V174" s="965"/>
      <c r="W174" s="965"/>
      <c r="X174" s="965"/>
      <c r="Y174" s="965"/>
      <c r="Z174" s="965"/>
      <c r="AA174" s="965">
        <v>1</v>
      </c>
      <c r="AB174" s="965"/>
      <c r="AC174" s="965"/>
      <c r="AD174" s="965"/>
      <c r="AE174" s="965"/>
      <c r="AF174" s="965"/>
      <c r="AG174" s="965"/>
      <c r="AH174" s="965"/>
      <c r="AI174" s="965"/>
      <c r="AJ174" s="965"/>
      <c r="AK174" s="965"/>
      <c r="AL174" s="965"/>
      <c r="AM174" s="965"/>
      <c r="AN174" s="965"/>
      <c r="AO174" s="445"/>
      <c r="AP174" s="969"/>
      <c r="AQ174" s="965"/>
      <c r="AR174" s="965"/>
      <c r="AS174" s="970"/>
      <c r="AT174" s="965"/>
      <c r="AU174" s="965"/>
      <c r="AV174" s="965"/>
      <c r="AW174" s="965"/>
      <c r="AX174" s="965"/>
      <c r="AY174" s="964" t="s">
        <v>41</v>
      </c>
      <c r="AZ174" s="969" t="s">
        <v>904</v>
      </c>
      <c r="BA174" s="965"/>
      <c r="BB174" s="965"/>
      <c r="BC174" s="965"/>
      <c r="BD174" s="445"/>
      <c r="BE174" s="445"/>
      <c r="BF174" s="964"/>
      <c r="BG174" s="965">
        <v>8</v>
      </c>
      <c r="BH174" s="965"/>
      <c r="BI174" s="965"/>
      <c r="BJ174" s="965">
        <v>3</v>
      </c>
      <c r="BK174" s="965"/>
      <c r="BL174" s="965"/>
      <c r="BM174" s="965"/>
      <c r="BN174" s="965"/>
      <c r="BO174" s="965"/>
      <c r="BP174" s="964"/>
      <c r="BQ174" s="971"/>
      <c r="BR174" s="970"/>
      <c r="BS174" s="964"/>
      <c r="BT174" s="420"/>
      <c r="BU174" s="420"/>
      <c r="BV174" s="422"/>
      <c r="BW174" s="420"/>
      <c r="BX174" s="445"/>
      <c r="BY174" s="445"/>
      <c r="BZ174" s="445"/>
      <c r="CA174" s="445"/>
      <c r="CB174" s="445"/>
      <c r="CC174" s="702"/>
      <c r="CD174" s="445"/>
      <c r="CE174" s="972" t="str">
        <f>IFERROR(WWWW[[#This Row],['#_Water sources passed]]/WWWW[[#This Row],['#_Water sources tested for fecal coliform ]],"no test")</f>
        <v>no test</v>
      </c>
      <c r="CF174" s="970" t="str">
        <f>IFERROR(WWWW[[#This Row],['#_Household passed]]/WWWW[[#This Row],['#_Household water samples tested for fecal coliform]],"no test")</f>
        <v>no test</v>
      </c>
      <c r="CG174" s="971" t="str">
        <f>IF(AND(WWWW[[#This Row],[% of water sources passed]]="no test",WWWW[[#This Row],[% Household passed]]="no test"),"No Test","Tested")</f>
        <v>No Test</v>
      </c>
      <c r="CH174" s="971">
        <f>WWWW[[#This Row],['#_Constructed/existing protected hand dug well]]-WWWW[[#This Row],['#_Non-functional protected hand dug well]]</f>
        <v>0</v>
      </c>
      <c r="CI174" s="971">
        <f>(WWWW[[#This Row],['#_Constructed/Existing tube wells/boreholes/handpumps_WASH_agency]]+WWWW[[#This Row],['#_Non-Cluster partner water tube-wells/boreholes/handpumps]])-WWWW[[#This Row],['#_Non-functional tube wells/boreholes/handpumps]]</f>
        <v>0</v>
      </c>
      <c r="CJ174" s="971">
        <f>WWWW[[#This Row],['#_Constructed/Existingwater storage tank with gravity fed reticulation system]]-WWWW[[#This Row],['#_Non-functional storage tank gravity fed reticulation system]]</f>
        <v>1</v>
      </c>
      <c r="CK174" s="971">
        <f>(WWWW[[#This Row],['#_Water_Liters_supplied_by_Water boating or water trucking]]/90)/15</f>
        <v>0</v>
      </c>
      <c r="CL174" s="971">
        <f>WWWW[[#This Row],['#_Water_Liters_from_Constructed/Existing water distribution system from river or natural spring]]/90/15</f>
        <v>0</v>
      </c>
      <c r="CM174" s="421">
        <f>IF(WWWW[[#This Row],['#_of water points in TLS/CFS]]*500&gt;WWWW[[#This Row],[Total PoP ]],WWWW[[#This Row],[Total PoP ]],WWWW[[#This Row],['#_of water points in TLS/CFS]]*500)</f>
        <v>0</v>
      </c>
      <c r="CN174" s="421">
        <f>IF(WWWW[[#This Row],['#_of water points in THF]]*500&gt;WWWW[[#This Row],[Total PoP ]],WWWW[[#This Row],[Total PoP ]],WWWW[[#This Row],['#_of water points in THF]]*500)</f>
        <v>0</v>
      </c>
      <c r="CO174" s="421"/>
      <c r="CP17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9.4029149036201229E-2</v>
      </c>
      <c r="CQ17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9.4029149036201229E-2</v>
      </c>
      <c r="CR174" s="970">
        <f>IF(WWWW[[#This Row],[Location Type 1]]="Village",WWWW[[#This Row],[Access to safe drinking water for Village]],WWWW[[#This Row],[Access to safe drinking water for Camp]])</f>
        <v>9.4029149036201229E-2</v>
      </c>
      <c r="CS174" s="968">
        <f>WWWW[[#This Row],[%Equitable and continuous access to sufficient quantity of safe drinking water]]*WWWW[[#This Row],[Total PoP ]]</f>
        <v>66.666666666666671</v>
      </c>
      <c r="CT174" s="970">
        <f>IF((WWWW[[#This Row],['#_Constructed/Existing protected/fenced ponds]]*250)/WWWW[[#This Row],[Total PoP ]]&gt;1,1,(WWWW[[#This Row],['#_Constructed/Existing protected/fenced ponds]]*250)/WWWW[[#This Row],[Total PoP ]])</f>
        <v>0</v>
      </c>
      <c r="CU174" s="968">
        <f>WWWW[[#This Row],[% Access to unimproved water points]]*WWWW[[#This Row],[Total PoP ]]</f>
        <v>0</v>
      </c>
      <c r="CV17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9.4029149036201229E-2</v>
      </c>
      <c r="CW17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174" s="968">
        <f>WWWW[[#This Row],[HRP1]]/500</f>
        <v>0.13333333333333333</v>
      </c>
      <c r="CY174" s="973">
        <f>1-WWWW[[#This Row],[% Equitable and continuous access to sufficient quantity of domestic water]]</f>
        <v>0.90597085096379881</v>
      </c>
      <c r="CZ174" s="968">
        <f>WWWW[[#This Row],[%equitable and continuous access to sufficient quantity of safe drinking and domestic water''s GAP]]*WWWW[[#This Row],[Total PoP ]]</f>
        <v>642.33333333333337</v>
      </c>
      <c r="DA174" s="971">
        <f>IF(WWWW[[#This Row],[Total required water points]]-WWWW[[#This Row],['#Water points coverage]]&lt;0,0,WWWW[[#This Row],[Total required water points]]-WWWW[[#This Row],['#Water points coverage]])</f>
        <v>0.8666666666666667</v>
      </c>
      <c r="DB174" s="971">
        <f>ROUND(IF(WWWW[[#This Row],[Total PoP ]]&lt;500,1,WWWW[[#This Row],[Total PoP ]]/500),0)</f>
        <v>1</v>
      </c>
      <c r="DC174" s="971">
        <f>(WWWW[[#This Row],['#_Constructed latrines_by_WASHAgencies]]+WWWW[[#This Row],['#_Non Cluster partner latrines]])-WWWW[[#This Row],['#_Non-functional latrines]]</f>
        <v>0</v>
      </c>
      <c r="DD174" s="619">
        <f>WWWW[[#This Row],[HRP2]]/WWWW[[#This Row],[Total PoP ]]</f>
        <v>0</v>
      </c>
      <c r="DE17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4" s="421">
        <f>IF(WWWW[[#This Row],['# of functional latrines in THF supported by WASH partners during the reporting period2]]="",0,WWWW[[#This Row],['# of functional latrines in THF supported by WASH partners during the reporting period2]]*50)</f>
        <v>0</v>
      </c>
      <c r="DI174" s="971">
        <f>ROUND(IF(WWWW[[#This Row],[Location Type 1]]="camp",WWWW[[#This Row],[Total PoP ]]/20,IF(WWWW[[#This Row],[Location Type 1]]="Temporary Location",WWWW[[#This Row],[Total PoP ]]/50,(WWWW[[#This Row],[Total PoP ]]/6))),0)</f>
        <v>35</v>
      </c>
      <c r="DJ174" s="971">
        <f>IF(WWWW[[#This Row],[Total required Latrines]]-(WWWW[[#This Row],['#_Constructed latrines_by_WASHAgencies]]+WWWW[[#This Row],['#_Non Cluster partner latrines]])&lt;0,0,WWWW[[#This Row],[Total required Latrines]]-(WWWW[[#This Row],['#_Constructed latrines_by_WASHAgencies]]+WWWW[[#This Row],['#_Non Cluster partner latrines]]))</f>
        <v>35</v>
      </c>
      <c r="DK174" s="973">
        <f>1-WWWW[[#This Row],[% people access to functioning Latrine]]</f>
        <v>1</v>
      </c>
      <c r="DL174" s="972">
        <f>IF(OR(WWWW[[#This Row],['#_Non-functional latrines]]="",WWWW[[#This Row],['#_Non-functional latrines]]=0),0,WWWW[[#This Row],['#_Non-functional latrines]]/(WWWW[[#This Row],['#_Constructed latrines_by_WASHAgencies]]+WWWW[[#This Row],['#_Non Cluster partner latrines]]))</f>
        <v>0</v>
      </c>
      <c r="DM174" s="968">
        <f>IF(500*(WWWW[[#This Row],['#_male hygiene promoters]]+WWWW[[#This Row],['#_female hygiene promoters]])&gt;WWWW[[#This Row],[Total PoP ]],WWWW[[#This Row],[Total PoP ]],500*(WWWW[[#This Row],['#_male hygiene promoters]]+WWWW[[#This Row],['#_female hygiene promoters]]))</f>
        <v>0</v>
      </c>
      <c r="DN17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4" s="971">
        <f>IF(WWWW[[#This Row],['# People with access to soap]]&gt;WWWW[[#This Row],['# People with access to Sanity Pads]],WWWW[[#This Row],['# People with access to soap]],WWWW[[#This Row],['# People with access to Sanity Pads]])</f>
        <v>0</v>
      </c>
      <c r="DQ17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4" s="973">
        <f>IF(WWWW[[#This Row],[HRP3]]/WWWW[[#This Row],[Total PoP ]]&gt;1,1,WWWW[[#This Row],[HRP3]]/WWWW[[#This Row],[Total PoP ]])</f>
        <v>0</v>
      </c>
      <c r="DS174" s="972">
        <f>1-WWWW[[#This Row],[Hygiene Coverage%]]</f>
        <v>1</v>
      </c>
      <c r="DT174" s="970">
        <f>WWWW[[#This Row],['# people reached by regular dedicated hygiene promotion_5]]/WWWW[[#This Row],[Total PoP ]]</f>
        <v>0</v>
      </c>
      <c r="DU17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4" s="971">
        <f>WWWW[[#This Row],['#_Constructed/Existing hand washing stations]]-WWWW[[#This Row],['#_Non-Functional_hand_washing_stations]]</f>
        <v>8</v>
      </c>
      <c r="DX174" s="968">
        <f>IF(WWWW[[#This Row],['# Functional hand washing stations during reporting period]]*20&gt;WWWW[[#This Row],[Total HH]],WWWW[[#This Row],[Total HH]],WWWW[[#This Row],['# Functional hand washing stations during reporting period]]*20)</f>
        <v>134</v>
      </c>
      <c r="DY174" s="968">
        <f>IF(WWWW[[#This Row],[Is sufficient soap available for TLS? (Yes/No)]]="yes",WWWW[[#This Row],['#_Constructed/Existing hand washing stations at TLS/CFS/THF]],0)</f>
        <v>0</v>
      </c>
      <c r="DZ174" s="425">
        <f>IF(WWWW[[#This Row],['# Functional hand washing stations during reporting period]]*100&gt;WWWW[[#This Row],[Total PoP ]],WWWW[[#This Row],[Total PoP ]],WWWW[[#This Row],['# Functional hand washing stations during reporting period]]*100)</f>
        <v>709</v>
      </c>
      <c r="EA174" s="425" t="str">
        <f>IF(OR(WWWW[[#This Row],['#_students at TLS_CFS]]="",WWWW[[#This Row],['#_students at TLS_CFS]]=0),"No","Yes")</f>
        <v>No</v>
      </c>
      <c r="EB17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4" s="570">
        <f>WWWW[[#This Row],[%_of_affected_people_surveyed_who_report_feeling_satistfied_with_the_latrine_design_and_sanitation_service]]*WWWW[[#This Row],[Total PoP ]]</f>
        <v>0</v>
      </c>
      <c r="ED174" s="570">
        <f>WWWW[[#This Row],[%_of_affected_people_surveyed_who_report_feeling_satistfied_with_the_water_point_design_and_water_service]]*WWWW[[#This Row],[Total PoP ]]</f>
        <v>0</v>
      </c>
      <c r="EE174" s="570">
        <f>WWWW[[#This Row],[%_of_complaints_received_that_result_in_timely_corrective_action_and_feedback_to_the_community]]*WWWW[[#This Row],[Total PoP ]]</f>
        <v>0</v>
      </c>
      <c r="EF17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4" s="964">
        <f>VLOOKUP(WWWW[[#This Row],[Site Name]],SiteDB6[[Site Name]:[CCCM Management]],6,FALSE)</f>
        <v>0</v>
      </c>
      <c r="EJ174" s="964">
        <f>VLOOKUP(WWWW[[#This Row],[Site Name]],SiteDB6[[Site Name]:[CCCM Focal Agency]],7,FALSE)</f>
        <v>0</v>
      </c>
      <c r="EK174" s="964" t="str">
        <f>VLOOKUP(WWWW[[#This Row],[Site Name]],SiteDB6[[Site Name]:[Location Type 1]],9,FALSE)</f>
        <v>Camp</v>
      </c>
      <c r="EL174" s="964" t="str">
        <f>VLOOKUP(WWWW[[#This Row],[Site Name]],SiteDB6[[Site Name]:[Type of Accommodation]],10,FALSE)</f>
        <v>CAMP</v>
      </c>
      <c r="EM174" s="964" t="str">
        <f>VLOOKUP(WWWW[[#This Row],[Site Name]],SiteDB6[[Site Name]:[Ethnic or GCA/NGCA]],11,FALSE)</f>
        <v>NGCA</v>
      </c>
      <c r="EN174" s="964">
        <f>VLOOKUP(WWWW[[#This Row],[Site Name]],SiteDB6[[Site Name]:[Lat]],12,FALSE)</f>
        <v>0</v>
      </c>
      <c r="EO174" s="964">
        <f>VLOOKUP(WWWW[[#This Row],[Site Name]],SiteDB6[[Site Name]:[Long]],13,FALSE)</f>
        <v>0</v>
      </c>
      <c r="EP174" s="964">
        <f>VLOOKUP(WWWW[[#This Row],[Site Name]],SiteDB6[[Site Name]:[Pcode]],3,FALSE)</f>
        <v>0</v>
      </c>
      <c r="EQ174" s="969" t="str">
        <f t="shared" si="5"/>
        <v>Covered</v>
      </c>
      <c r="ER174" s="969" t="s">
        <v>3147</v>
      </c>
      <c r="ES174" s="964">
        <f>VLOOKUP(WWWW[[#This Row],[Site Name]],SiteDB6[[Site Name]:[Pop
(Kachin/Shan-CCCM as of March 2023)]],16,FALSE)</f>
        <v>0</v>
      </c>
      <c r="ET174" s="964">
        <f>VLOOKUP(WWWW[[#This Row],[Site Name]],SiteDB6[[Site Name]:[Pop
(Kachin/Shan-CCCM as of March 2023)]],17,FALSE)</f>
        <v>0</v>
      </c>
    </row>
    <row r="175" spans="1:150" hidden="1">
      <c r="A175" s="962" t="s">
        <v>2977</v>
      </c>
      <c r="B175" s="963" t="s">
        <v>141</v>
      </c>
      <c r="C175" s="963" t="s">
        <v>141</v>
      </c>
      <c r="D175" s="963" t="s">
        <v>241</v>
      </c>
      <c r="E175" s="963" t="s">
        <v>37</v>
      </c>
      <c r="F175" s="963" t="s">
        <v>159</v>
      </c>
      <c r="G175" s="964" t="str">
        <f>VLOOKUP(WWWW[[#This Row],[Site Name]],SiteDB6[[Site Name]:[Location Type]],8,FALSE)</f>
        <v>Camp</v>
      </c>
      <c r="H175" s="963" t="s">
        <v>165</v>
      </c>
      <c r="I175" s="965">
        <v>58</v>
      </c>
      <c r="J175" s="965">
        <v>322</v>
      </c>
      <c r="K175" s="966">
        <v>44811</v>
      </c>
      <c r="L175" s="967">
        <v>45175</v>
      </c>
      <c r="M175" s="965"/>
      <c r="N175" s="965">
        <v>1</v>
      </c>
      <c r="O175" s="965"/>
      <c r="P175" s="965"/>
      <c r="Q175" s="968" t="s">
        <v>41</v>
      </c>
      <c r="R175" s="965">
        <v>1</v>
      </c>
      <c r="S175" s="965">
        <v>2</v>
      </c>
      <c r="T175" s="445">
        <v>3</v>
      </c>
      <c r="U175" s="965"/>
      <c r="V175" s="965"/>
      <c r="W175" s="965"/>
      <c r="X175" s="965"/>
      <c r="Y175" s="965"/>
      <c r="Z175" s="965"/>
      <c r="AA175" s="965"/>
      <c r="AB175" s="965"/>
      <c r="AC175" s="965"/>
      <c r="AD175" s="965"/>
      <c r="AE175" s="965"/>
      <c r="AF175" s="965"/>
      <c r="AG175" s="965"/>
      <c r="AH175" s="965">
        <v>2</v>
      </c>
      <c r="AI175" s="965"/>
      <c r="AJ175" s="965"/>
      <c r="AK175" s="965"/>
      <c r="AL175" s="965"/>
      <c r="AM175" s="965"/>
      <c r="AN175" s="965"/>
      <c r="AO175" s="445"/>
      <c r="AP175" s="969"/>
      <c r="AQ175" s="965">
        <v>7</v>
      </c>
      <c r="AR175" s="965"/>
      <c r="AS175" s="970"/>
      <c r="AT175" s="965"/>
      <c r="AU175" s="965"/>
      <c r="AV175" s="965"/>
      <c r="AW175" s="965"/>
      <c r="AX175" s="965">
        <v>7</v>
      </c>
      <c r="AY175" s="964" t="s">
        <v>41</v>
      </c>
      <c r="AZ175" s="969" t="s">
        <v>904</v>
      </c>
      <c r="BA175" s="965"/>
      <c r="BB175" s="965"/>
      <c r="BC175" s="965"/>
      <c r="BD175" s="445"/>
      <c r="BE175" s="445"/>
      <c r="BF175" s="964"/>
      <c r="BG175" s="965">
        <v>3</v>
      </c>
      <c r="BH175" s="965"/>
      <c r="BI175" s="965"/>
      <c r="BJ175" s="965">
        <v>2</v>
      </c>
      <c r="BK175" s="965"/>
      <c r="BL175" s="965"/>
      <c r="BM175" s="965"/>
      <c r="BN175" s="965"/>
      <c r="BO175" s="965"/>
      <c r="BP175" s="964"/>
      <c r="BQ175" s="971"/>
      <c r="BR175" s="970"/>
      <c r="BS175" s="964"/>
      <c r="BT175" s="420"/>
      <c r="BU175" s="420"/>
      <c r="BV175" s="422"/>
      <c r="BW175" s="420"/>
      <c r="BX175" s="445"/>
      <c r="BY175" s="445"/>
      <c r="BZ175" s="445"/>
      <c r="CA175" s="445"/>
      <c r="CB175" s="445"/>
      <c r="CC175" s="702"/>
      <c r="CD175" s="445"/>
      <c r="CE175" s="972" t="str">
        <f>IFERROR(WWWW[[#This Row],['#_Water sources passed]]/WWWW[[#This Row],['#_Water sources tested for fecal coliform ]],"no test")</f>
        <v>no test</v>
      </c>
      <c r="CF175" s="970" t="str">
        <f>IFERROR(WWWW[[#This Row],['#_Household passed]]/WWWW[[#This Row],['#_Household water samples tested for fecal coliform]],"no test")</f>
        <v>no test</v>
      </c>
      <c r="CG175" s="971" t="str">
        <f>IF(AND(WWWW[[#This Row],[% of water sources passed]]="no test",WWWW[[#This Row],[% Household passed]]="no test"),"No Test","Tested")</f>
        <v>No Test</v>
      </c>
      <c r="CH175" s="971">
        <f>WWWW[[#This Row],['#_Constructed/existing protected hand dug well]]-WWWW[[#This Row],['#_Non-functional protected hand dug well]]</f>
        <v>3</v>
      </c>
      <c r="CI175" s="971">
        <f>(WWWW[[#This Row],['#_Constructed/Existing tube wells/boreholes/handpumps_WASH_agency]]+WWWW[[#This Row],['#_Non-Cluster partner water tube-wells/boreholes/handpumps]])-WWWW[[#This Row],['#_Non-functional tube wells/boreholes/handpumps]]</f>
        <v>0</v>
      </c>
      <c r="CJ175" s="971">
        <f>WWWW[[#This Row],['#_Constructed/Existingwater storage tank with gravity fed reticulation system]]-WWWW[[#This Row],['#_Non-functional storage tank gravity fed reticulation system]]</f>
        <v>0</v>
      </c>
      <c r="CK175" s="971">
        <f>(WWWW[[#This Row],['#_Water_Liters_supplied_by_Water boating or water trucking]]/90)/15</f>
        <v>0</v>
      </c>
      <c r="CL175" s="971">
        <f>WWWW[[#This Row],['#_Water_Liters_from_Constructed/Existing water distribution system from river or natural spring]]/90/15</f>
        <v>0</v>
      </c>
      <c r="CM175" s="421">
        <f>IF(WWWW[[#This Row],['#_of water points in TLS/CFS]]*500&gt;WWWW[[#This Row],[Total PoP ]],WWWW[[#This Row],[Total PoP ]],WWWW[[#This Row],['#_of water points in TLS/CFS]]*500)</f>
        <v>0</v>
      </c>
      <c r="CN175" s="421">
        <f>IF(WWWW[[#This Row],['#_of water points in THF]]*500&gt;WWWW[[#This Row],[Total PoP ]],WWWW[[#This Row],[Total PoP ]],WWWW[[#This Row],['#_of water points in THF]]*500)</f>
        <v>0</v>
      </c>
      <c r="CO175" s="421"/>
      <c r="CP17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5" s="970">
        <f>IF(WWWW[[#This Row],[Location Type 1]]="Village",WWWW[[#This Row],[Access to safe drinking water for Village]],WWWW[[#This Row],[Access to safe drinking water for Camp]])</f>
        <v>1</v>
      </c>
      <c r="CS175" s="968">
        <f>WWWW[[#This Row],[%Equitable and continuous access to sufficient quantity of safe drinking water]]*WWWW[[#This Row],[Total PoP ]]</f>
        <v>322</v>
      </c>
      <c r="CT175" s="970">
        <f>IF((WWWW[[#This Row],['#_Constructed/Existing protected/fenced ponds]]*250)/WWWW[[#This Row],[Total PoP ]]&gt;1,1,(WWWW[[#This Row],['#_Constructed/Existing protected/fenced ponds]]*250)/WWWW[[#This Row],[Total PoP ]])</f>
        <v>0</v>
      </c>
      <c r="CU175" s="968">
        <f>WWWW[[#This Row],[% Access to unimproved water points]]*WWWW[[#This Row],[Total PoP ]]</f>
        <v>0</v>
      </c>
      <c r="CV17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322</v>
      </c>
      <c r="CX175" s="968">
        <f>WWWW[[#This Row],[HRP1]]/500</f>
        <v>0.64400000000000002</v>
      </c>
      <c r="CY175" s="973">
        <f>1-WWWW[[#This Row],[% Equitable and continuous access to sufficient quantity of domestic water]]</f>
        <v>0</v>
      </c>
      <c r="CZ175" s="968">
        <f>WWWW[[#This Row],[%equitable and continuous access to sufficient quantity of safe drinking and domestic water''s GAP]]*WWWW[[#This Row],[Total PoP ]]</f>
        <v>0</v>
      </c>
      <c r="DA175" s="971">
        <f>IF(WWWW[[#This Row],[Total required water points]]-WWWW[[#This Row],['#Water points coverage]]&lt;0,0,WWWW[[#This Row],[Total required water points]]-WWWW[[#This Row],['#Water points coverage]])</f>
        <v>0.35599999999999998</v>
      </c>
      <c r="DB175" s="971">
        <f>ROUND(IF(WWWW[[#This Row],[Total PoP ]]&lt;500,1,WWWW[[#This Row],[Total PoP ]]/500),0)</f>
        <v>1</v>
      </c>
      <c r="DC175" s="971">
        <f>(WWWW[[#This Row],['#_Constructed latrines_by_WASHAgencies]]+WWWW[[#This Row],['#_Non Cluster partner latrines]])-WWWW[[#This Row],['#_Non-functional latrines]]</f>
        <v>7</v>
      </c>
      <c r="DD175" s="619">
        <f>WWWW[[#This Row],[HRP2]]/WWWW[[#This Row],[Total PoP ]]</f>
        <v>0.43478260869565216</v>
      </c>
      <c r="DE17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140</v>
      </c>
      <c r="DF17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5" s="421">
        <f>IF(WWWW[[#This Row],['# of functional latrines in THF supported by WASH partners during the reporting period2]]="",0,WWWW[[#This Row],['# of functional latrines in THF supported by WASH partners during the reporting period2]]*50)</f>
        <v>0</v>
      </c>
      <c r="DI175" s="971">
        <f>ROUND(IF(WWWW[[#This Row],[Location Type 1]]="camp",WWWW[[#This Row],[Total PoP ]]/20,IF(WWWW[[#This Row],[Location Type 1]]="Temporary Location",WWWW[[#This Row],[Total PoP ]]/50,(WWWW[[#This Row],[Total PoP ]]/6))),0)</f>
        <v>16</v>
      </c>
      <c r="DJ175" s="971">
        <f>IF(WWWW[[#This Row],[Total required Latrines]]-(WWWW[[#This Row],['#_Constructed latrines_by_WASHAgencies]]+WWWW[[#This Row],['#_Non Cluster partner latrines]])&lt;0,0,WWWW[[#This Row],[Total required Latrines]]-(WWWW[[#This Row],['#_Constructed latrines_by_WASHAgencies]]+WWWW[[#This Row],['#_Non Cluster partner latrines]]))</f>
        <v>9</v>
      </c>
      <c r="DK175" s="973">
        <f>1-WWWW[[#This Row],[% people access to functioning Latrine]]</f>
        <v>0.56521739130434789</v>
      </c>
      <c r="DL175" s="972">
        <f>IF(OR(WWWW[[#This Row],['#_Non-functional latrines]]="",WWWW[[#This Row],['#_Non-functional latrines]]=0),0,WWWW[[#This Row],['#_Non-functional latrines]]/(WWWW[[#This Row],['#_Constructed latrines_by_WASHAgencies]]+WWWW[[#This Row],['#_Non Cluster partner latrines]]))</f>
        <v>0</v>
      </c>
      <c r="DM175" s="968">
        <f>IF(500*(WWWW[[#This Row],['#_male hygiene promoters]]+WWWW[[#This Row],['#_female hygiene promoters]])&gt;WWWW[[#This Row],[Total PoP ]],WWWW[[#This Row],[Total PoP ]],500*(WWWW[[#This Row],['#_male hygiene promoters]]+WWWW[[#This Row],['#_female hygiene promoters]]))</f>
        <v>0</v>
      </c>
      <c r="DN17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5" s="971">
        <f>IF(WWWW[[#This Row],['# People with access to soap]]&gt;WWWW[[#This Row],['# People with access to Sanity Pads]],WWWW[[#This Row],['# People with access to soap]],WWWW[[#This Row],['# People with access to Sanity Pads]])</f>
        <v>0</v>
      </c>
      <c r="DQ175"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5" s="973">
        <f>IF(WWWW[[#This Row],[HRP3]]/WWWW[[#This Row],[Total PoP ]]&gt;1,1,WWWW[[#This Row],[HRP3]]/WWWW[[#This Row],[Total PoP ]])</f>
        <v>0</v>
      </c>
      <c r="DS175" s="972">
        <f>1-WWWW[[#This Row],[Hygiene Coverage%]]</f>
        <v>1</v>
      </c>
      <c r="DT175" s="970">
        <f>WWWW[[#This Row],['# people reached by regular dedicated hygiene promotion_5]]/WWWW[[#This Row],[Total PoP ]]</f>
        <v>0</v>
      </c>
      <c r="DU17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5" s="971">
        <f>WWWW[[#This Row],['#_Constructed/Existing hand washing stations]]-WWWW[[#This Row],['#_Non-Functional_hand_washing_stations]]</f>
        <v>3</v>
      </c>
      <c r="DX175" s="968">
        <f>IF(WWWW[[#This Row],['# Functional hand washing stations during reporting period]]*20&gt;WWWW[[#This Row],[Total HH]],WWWW[[#This Row],[Total HH]],WWWW[[#This Row],['# Functional hand washing stations during reporting period]]*20)</f>
        <v>58</v>
      </c>
      <c r="DY175" s="968">
        <f>IF(WWWW[[#This Row],[Is sufficient soap available for TLS? (Yes/No)]]="yes",WWWW[[#This Row],['#_Constructed/Existing hand washing stations at TLS/CFS/THF]],0)</f>
        <v>0</v>
      </c>
      <c r="DZ175" s="425">
        <f>IF(WWWW[[#This Row],['# Functional hand washing stations during reporting period]]*100&gt;WWWW[[#This Row],[Total PoP ]],WWWW[[#This Row],[Total PoP ]],WWWW[[#This Row],['# Functional hand washing stations during reporting period]]*100)</f>
        <v>300</v>
      </c>
      <c r="EA175" s="425" t="str">
        <f>IF(OR(WWWW[[#This Row],['#_students at TLS_CFS]]="",WWWW[[#This Row],['#_students at TLS_CFS]]=0),"No","Yes")</f>
        <v>No</v>
      </c>
      <c r="EB17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5" s="570">
        <f>WWWW[[#This Row],[%_of_affected_people_surveyed_who_report_feeling_satistfied_with_the_latrine_design_and_sanitation_service]]*WWWW[[#This Row],[Total PoP ]]</f>
        <v>0</v>
      </c>
      <c r="ED175" s="570">
        <f>WWWW[[#This Row],[%_of_affected_people_surveyed_who_report_feeling_satistfied_with_the_water_point_design_and_water_service]]*WWWW[[#This Row],[Total PoP ]]</f>
        <v>0</v>
      </c>
      <c r="EE175" s="570">
        <f>WWWW[[#This Row],[%_of_complaints_received_that_result_in_timely_corrective_action_and_feedback_to_the_community]]*WWWW[[#This Row],[Total PoP ]]</f>
        <v>0</v>
      </c>
      <c r="EF17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5" s="964" t="str">
        <f>VLOOKUP(WWWW[[#This Row],[Site Name]],SiteDB6[[Site Name]:[CCCM Management]],6,FALSE)</f>
        <v>Yes</v>
      </c>
      <c r="EJ175" s="964" t="str">
        <f>VLOOKUP(WWWW[[#This Row],[Site Name]],SiteDB6[[Site Name]:[CCCM Focal Agency]],7,FALSE)</f>
        <v>KBC-MYT</v>
      </c>
      <c r="EK175" s="964" t="str">
        <f>VLOOKUP(WWWW[[#This Row],[Site Name]],SiteDB6[[Site Name]:[Location Type 1]],9,FALSE)</f>
        <v>Camp</v>
      </c>
      <c r="EL175" s="964" t="str">
        <f>VLOOKUP(WWWW[[#This Row],[Site Name]],SiteDB6[[Site Name]:[Type of Accommodation]],10,FALSE)</f>
        <v>Camp</v>
      </c>
      <c r="EM175" s="964" t="str">
        <f>VLOOKUP(WWWW[[#This Row],[Site Name]],SiteDB6[[Site Name]:[Ethnic or GCA/NGCA]],11,FALSE)</f>
        <v>GCA</v>
      </c>
      <c r="EN175" s="964">
        <f>VLOOKUP(WWWW[[#This Row],[Site Name]],SiteDB6[[Site Name]:[Lat]],12,FALSE)</f>
        <v>25.360463124999999</v>
      </c>
      <c r="EO175" s="964">
        <f>VLOOKUP(WWWW[[#This Row],[Site Name]],SiteDB6[[Site Name]:[Long]],13,FALSE)</f>
        <v>97.4113064583333</v>
      </c>
      <c r="EP175" s="964" t="str">
        <f>VLOOKUP(WWWW[[#This Row],[Site Name]],SiteDB6[[Site Name]:[Pcode]],3,FALSE)</f>
        <v>MMR001CMP016</v>
      </c>
      <c r="EQ175" s="969" t="str">
        <f t="shared" si="5"/>
        <v>Covered</v>
      </c>
      <c r="ER175" s="969" t="s">
        <v>3147</v>
      </c>
      <c r="ES175" s="964">
        <f>VLOOKUP(WWWW[[#This Row],[Site Name]],SiteDB6[[Site Name]:[Pop
(Kachin/Shan-CCCM as of March 2023)]],16,FALSE)</f>
        <v>58</v>
      </c>
      <c r="ET175" s="964">
        <f>VLOOKUP(WWWW[[#This Row],[Site Name]],SiteDB6[[Site Name]:[Pop
(Kachin/Shan-CCCM as of March 2023)]],17,FALSE)</f>
        <v>320</v>
      </c>
    </row>
    <row r="176" spans="1:150" hidden="1">
      <c r="A176" s="962" t="s">
        <v>2977</v>
      </c>
      <c r="B176" s="1068" t="s">
        <v>3203</v>
      </c>
      <c r="C176" s="963" t="s">
        <v>141</v>
      </c>
      <c r="D176" s="963" t="s">
        <v>3112</v>
      </c>
      <c r="E176" s="963" t="s">
        <v>37</v>
      </c>
      <c r="F176" s="963" t="s">
        <v>159</v>
      </c>
      <c r="G176" s="964" t="str">
        <f>VLOOKUP(WWWW[[#This Row],[Site Name]],SiteDB6[[Site Name]:[Location Type]],8,FALSE)</f>
        <v>Camp</v>
      </c>
      <c r="H176" s="963" t="s">
        <v>166</v>
      </c>
      <c r="I176" s="965">
        <v>87</v>
      </c>
      <c r="J176" s="965">
        <v>506</v>
      </c>
      <c r="K176" s="966">
        <v>44811</v>
      </c>
      <c r="L176" s="967">
        <v>45175</v>
      </c>
      <c r="M176" s="965"/>
      <c r="N176" s="965">
        <v>2</v>
      </c>
      <c r="O176" s="965"/>
      <c r="P176" s="965"/>
      <c r="Q176" s="968" t="s">
        <v>41</v>
      </c>
      <c r="R176" s="965">
        <v>2</v>
      </c>
      <c r="S176" s="965">
        <v>3</v>
      </c>
      <c r="T176" s="445">
        <v>2</v>
      </c>
      <c r="U176" s="965"/>
      <c r="V176" s="965"/>
      <c r="W176" s="965">
        <v>3</v>
      </c>
      <c r="X176" s="965"/>
      <c r="Y176" s="965"/>
      <c r="Z176" s="965"/>
      <c r="AA176" s="965"/>
      <c r="AB176" s="965"/>
      <c r="AC176" s="965"/>
      <c r="AD176" s="965"/>
      <c r="AE176" s="965"/>
      <c r="AF176" s="965"/>
      <c r="AG176" s="965"/>
      <c r="AH176" s="965">
        <v>3</v>
      </c>
      <c r="AI176" s="965"/>
      <c r="AJ176" s="965"/>
      <c r="AK176" s="965"/>
      <c r="AL176" s="965"/>
      <c r="AM176" s="965"/>
      <c r="AN176" s="965"/>
      <c r="AO176" s="445"/>
      <c r="AP176" s="969"/>
      <c r="AQ176" s="965">
        <v>34</v>
      </c>
      <c r="AR176" s="965"/>
      <c r="AS176" s="970"/>
      <c r="AT176" s="965"/>
      <c r="AU176" s="965"/>
      <c r="AV176" s="965"/>
      <c r="AW176" s="965"/>
      <c r="AX176" s="965">
        <v>34</v>
      </c>
      <c r="AY176" s="964" t="s">
        <v>41</v>
      </c>
      <c r="AZ176" s="969" t="s">
        <v>904</v>
      </c>
      <c r="BA176" s="965"/>
      <c r="BB176" s="965"/>
      <c r="BC176" s="965"/>
      <c r="BD176" s="445"/>
      <c r="BE176" s="445"/>
      <c r="BF176" s="964"/>
      <c r="BG176" s="965">
        <v>3</v>
      </c>
      <c r="BH176" s="965"/>
      <c r="BI176" s="965"/>
      <c r="BJ176" s="965">
        <v>2</v>
      </c>
      <c r="BK176" s="965"/>
      <c r="BL176" s="965"/>
      <c r="BM176" s="965"/>
      <c r="BN176" s="965"/>
      <c r="BO176" s="965"/>
      <c r="BP176" s="964"/>
      <c r="BQ176" s="971"/>
      <c r="BR176" s="970"/>
      <c r="BS176" s="964"/>
      <c r="BT176" s="420"/>
      <c r="BU176" s="420"/>
      <c r="BV176" s="422"/>
      <c r="BW176" s="420"/>
      <c r="BX176" s="445"/>
      <c r="BY176" s="445"/>
      <c r="BZ176" s="445"/>
      <c r="CA176" s="445"/>
      <c r="CB176" s="445"/>
      <c r="CC176" s="702"/>
      <c r="CD176" s="445"/>
      <c r="CE176" s="972" t="str">
        <f>IFERROR(WWWW[[#This Row],['#_Water sources passed]]/WWWW[[#This Row],['#_Water sources tested for fecal coliform ]],"no test")</f>
        <v>no test</v>
      </c>
      <c r="CF176" s="970" t="str">
        <f>IFERROR(WWWW[[#This Row],['#_Household passed]]/WWWW[[#This Row],['#_Household water samples tested for fecal coliform]],"no test")</f>
        <v>no test</v>
      </c>
      <c r="CG176" s="971" t="str">
        <f>IF(AND(WWWW[[#This Row],[% of water sources passed]]="no test",WWWW[[#This Row],[% Household passed]]="no test"),"No Test","Tested")</f>
        <v>No Test</v>
      </c>
      <c r="CH176" s="971">
        <f>WWWW[[#This Row],['#_Constructed/existing protected hand dug well]]-WWWW[[#This Row],['#_Non-functional protected hand dug well]]</f>
        <v>2</v>
      </c>
      <c r="CI176" s="971">
        <f>(WWWW[[#This Row],['#_Constructed/Existing tube wells/boreholes/handpumps_WASH_agency]]+WWWW[[#This Row],['#_Non-Cluster partner water tube-wells/boreholes/handpumps]])-WWWW[[#This Row],['#_Non-functional tube wells/boreholes/handpumps]]</f>
        <v>3</v>
      </c>
      <c r="CJ176" s="971">
        <f>WWWW[[#This Row],['#_Constructed/Existingwater storage tank with gravity fed reticulation system]]-WWWW[[#This Row],['#_Non-functional storage tank gravity fed reticulation system]]</f>
        <v>0</v>
      </c>
      <c r="CK176" s="971">
        <f>(WWWW[[#This Row],['#_Water_Liters_supplied_by_Water boating or water trucking]]/90)/15</f>
        <v>0</v>
      </c>
      <c r="CL176" s="971">
        <f>WWWW[[#This Row],['#_Water_Liters_from_Constructed/Existing water distribution system from river or natural spring]]/90/15</f>
        <v>0</v>
      </c>
      <c r="CM176" s="421">
        <f>IF(WWWW[[#This Row],['#_of water points in TLS/CFS]]*500&gt;WWWW[[#This Row],[Total PoP ]],WWWW[[#This Row],[Total PoP ]],WWWW[[#This Row],['#_of water points in TLS/CFS]]*500)</f>
        <v>0</v>
      </c>
      <c r="CN176" s="421">
        <f>IF(WWWW[[#This Row],['#_of water points in THF]]*500&gt;WWWW[[#This Row],[Total PoP ]],WWWW[[#This Row],[Total PoP ]],WWWW[[#This Row],['#_of water points in THF]]*500)</f>
        <v>0</v>
      </c>
      <c r="CO176" s="421"/>
      <c r="CP17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6" s="970">
        <f>IF(WWWW[[#This Row],[Location Type 1]]="Village",WWWW[[#This Row],[Access to safe drinking water for Village]],WWWW[[#This Row],[Access to safe drinking water for Camp]])</f>
        <v>1</v>
      </c>
      <c r="CS176" s="968">
        <f>WWWW[[#This Row],[%Equitable and continuous access to sufficient quantity of safe drinking water]]*WWWW[[#This Row],[Total PoP ]]</f>
        <v>506</v>
      </c>
      <c r="CT176" s="970">
        <f>IF((WWWW[[#This Row],['#_Constructed/Existing protected/fenced ponds]]*250)/WWWW[[#This Row],[Total PoP ]]&gt;1,1,(WWWW[[#This Row],['#_Constructed/Existing protected/fenced ponds]]*250)/WWWW[[#This Row],[Total PoP ]])</f>
        <v>0</v>
      </c>
      <c r="CU176" s="968">
        <f>WWWW[[#This Row],[% Access to unimproved water points]]*WWWW[[#This Row],[Total PoP ]]</f>
        <v>0</v>
      </c>
      <c r="CV17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506</v>
      </c>
      <c r="CX176" s="968">
        <f>WWWW[[#This Row],[HRP1]]/500</f>
        <v>1.012</v>
      </c>
      <c r="CY176" s="973">
        <f>1-WWWW[[#This Row],[% Equitable and continuous access to sufficient quantity of domestic water]]</f>
        <v>0</v>
      </c>
      <c r="CZ176" s="968">
        <f>WWWW[[#This Row],[%equitable and continuous access to sufficient quantity of safe drinking and domestic water''s GAP]]*WWWW[[#This Row],[Total PoP ]]</f>
        <v>0</v>
      </c>
      <c r="DA176" s="971">
        <f>IF(WWWW[[#This Row],[Total required water points]]-WWWW[[#This Row],['#Water points coverage]]&lt;0,0,WWWW[[#This Row],[Total required water points]]-WWWW[[#This Row],['#Water points coverage]])</f>
        <v>0</v>
      </c>
      <c r="DB176" s="971">
        <f>ROUND(IF(WWWW[[#This Row],[Total PoP ]]&lt;500,1,WWWW[[#This Row],[Total PoP ]]/500),0)</f>
        <v>1</v>
      </c>
      <c r="DC176" s="971">
        <f>(WWWW[[#This Row],['#_Constructed latrines_by_WASHAgencies]]+WWWW[[#This Row],['#_Non Cluster partner latrines]])-WWWW[[#This Row],['#_Non-functional latrines]]</f>
        <v>34</v>
      </c>
      <c r="DD176" s="619">
        <f>WWWW[[#This Row],[HRP2]]/WWWW[[#This Row],[Total PoP ]]</f>
        <v>1</v>
      </c>
      <c r="DE17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506</v>
      </c>
      <c r="DF17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6" s="421">
        <f>IF(WWWW[[#This Row],['# of functional latrines in THF supported by WASH partners during the reporting period2]]="",0,WWWW[[#This Row],['# of functional latrines in THF supported by WASH partners during the reporting period2]]*50)</f>
        <v>0</v>
      </c>
      <c r="DI176" s="971">
        <f>ROUND(IF(WWWW[[#This Row],[Location Type 1]]="camp",WWWW[[#This Row],[Total PoP ]]/20,IF(WWWW[[#This Row],[Location Type 1]]="Temporary Location",WWWW[[#This Row],[Total PoP ]]/50,(WWWW[[#This Row],[Total PoP ]]/6))),0)</f>
        <v>25</v>
      </c>
      <c r="DJ176" s="971">
        <f>IF(WWWW[[#This Row],[Total required Latrines]]-(WWWW[[#This Row],['#_Constructed latrines_by_WASHAgencies]]+WWWW[[#This Row],['#_Non Cluster partner latrines]])&lt;0,0,WWWW[[#This Row],[Total required Latrines]]-(WWWW[[#This Row],['#_Constructed latrines_by_WASHAgencies]]+WWWW[[#This Row],['#_Non Cluster partner latrines]]))</f>
        <v>0</v>
      </c>
      <c r="DK176" s="973">
        <f>1-WWWW[[#This Row],[% people access to functioning Latrine]]</f>
        <v>0</v>
      </c>
      <c r="DL176" s="972">
        <f>IF(OR(WWWW[[#This Row],['#_Non-functional latrines]]="",WWWW[[#This Row],['#_Non-functional latrines]]=0),0,WWWW[[#This Row],['#_Non-functional latrines]]/(WWWW[[#This Row],['#_Constructed latrines_by_WASHAgencies]]+WWWW[[#This Row],['#_Non Cluster partner latrines]]))</f>
        <v>0</v>
      </c>
      <c r="DM176" s="968">
        <f>IF(500*(WWWW[[#This Row],['#_male hygiene promoters]]+WWWW[[#This Row],['#_female hygiene promoters]])&gt;WWWW[[#This Row],[Total PoP ]],WWWW[[#This Row],[Total PoP ]],500*(WWWW[[#This Row],['#_male hygiene promoters]]+WWWW[[#This Row],['#_female hygiene promoters]]))</f>
        <v>0</v>
      </c>
      <c r="DN17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6" s="971">
        <f>IF(WWWW[[#This Row],['# People with access to soap]]&gt;WWWW[[#This Row],['# People with access to Sanity Pads]],WWWW[[#This Row],['# People with access to soap]],WWWW[[#This Row],['# People with access to Sanity Pads]])</f>
        <v>0</v>
      </c>
      <c r="DQ17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6" s="973">
        <f>IF(WWWW[[#This Row],[HRP3]]/WWWW[[#This Row],[Total PoP ]]&gt;1,1,WWWW[[#This Row],[HRP3]]/WWWW[[#This Row],[Total PoP ]])</f>
        <v>0</v>
      </c>
      <c r="DS176" s="972">
        <f>1-WWWW[[#This Row],[Hygiene Coverage%]]</f>
        <v>1</v>
      </c>
      <c r="DT176" s="970">
        <f>WWWW[[#This Row],['# people reached by regular dedicated hygiene promotion_5]]/WWWW[[#This Row],[Total PoP ]]</f>
        <v>0</v>
      </c>
      <c r="DU17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6" s="971">
        <f>WWWW[[#This Row],['#_Constructed/Existing hand washing stations]]-WWWW[[#This Row],['#_Non-Functional_hand_washing_stations]]</f>
        <v>3</v>
      </c>
      <c r="DX176" s="968">
        <f>IF(WWWW[[#This Row],['# Functional hand washing stations during reporting period]]*20&gt;WWWW[[#This Row],[Total HH]],WWWW[[#This Row],[Total HH]],WWWW[[#This Row],['# Functional hand washing stations during reporting period]]*20)</f>
        <v>60</v>
      </c>
      <c r="DY176" s="968">
        <f>IF(WWWW[[#This Row],[Is sufficient soap available for TLS? (Yes/No)]]="yes",WWWW[[#This Row],['#_Constructed/Existing hand washing stations at TLS/CFS/THF]],0)</f>
        <v>0</v>
      </c>
      <c r="DZ176" s="425">
        <f>IF(WWWW[[#This Row],['# Functional hand washing stations during reporting period]]*100&gt;WWWW[[#This Row],[Total PoP ]],WWWW[[#This Row],[Total PoP ]],WWWW[[#This Row],['# Functional hand washing stations during reporting period]]*100)</f>
        <v>300</v>
      </c>
      <c r="EA176" s="425" t="str">
        <f>IF(OR(WWWW[[#This Row],['#_students at TLS_CFS]]="",WWWW[[#This Row],['#_students at TLS_CFS]]=0),"No","Yes")</f>
        <v>No</v>
      </c>
      <c r="EB17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6" s="570">
        <f>WWWW[[#This Row],[%_of_affected_people_surveyed_who_report_feeling_satistfied_with_the_latrine_design_and_sanitation_service]]*WWWW[[#This Row],[Total PoP ]]</f>
        <v>0</v>
      </c>
      <c r="ED176" s="570">
        <f>WWWW[[#This Row],[%_of_affected_people_surveyed_who_report_feeling_satistfied_with_the_water_point_design_and_water_service]]*WWWW[[#This Row],[Total PoP ]]</f>
        <v>0</v>
      </c>
      <c r="EE176" s="570">
        <f>WWWW[[#This Row],[%_of_complaints_received_that_result_in_timely_corrective_action_and_feedback_to_the_community]]*WWWW[[#This Row],[Total PoP ]]</f>
        <v>0</v>
      </c>
      <c r="EF17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6" s="964" t="str">
        <f>VLOOKUP(WWWW[[#This Row],[Site Name]],SiteDB6[[Site Name]:[CCCM Management]],6,FALSE)</f>
        <v>Yes</v>
      </c>
      <c r="EJ176" s="964" t="str">
        <f>VLOOKUP(WWWW[[#This Row],[Site Name]],SiteDB6[[Site Name]:[CCCM Focal Agency]],7,FALSE)</f>
        <v>KBC-MYT</v>
      </c>
      <c r="EK176" s="964" t="str">
        <f>VLOOKUP(WWWW[[#This Row],[Site Name]],SiteDB6[[Site Name]:[Location Type 1]],9,FALSE)</f>
        <v>Camp</v>
      </c>
      <c r="EL176" s="964" t="str">
        <f>VLOOKUP(WWWW[[#This Row],[Site Name]],SiteDB6[[Site Name]:[Type of Accommodation]],10,FALSE)</f>
        <v>Camp</v>
      </c>
      <c r="EM176" s="964" t="str">
        <f>VLOOKUP(WWWW[[#This Row],[Site Name]],SiteDB6[[Site Name]:[Ethnic or GCA/NGCA]],11,FALSE)</f>
        <v>GCA</v>
      </c>
      <c r="EN176" s="964">
        <f>VLOOKUP(WWWW[[#This Row],[Site Name]],SiteDB6[[Site Name]:[Lat]],12,FALSE)</f>
        <v>25.428910999999999</v>
      </c>
      <c r="EO176" s="964">
        <f>VLOOKUP(WWWW[[#This Row],[Site Name]],SiteDB6[[Site Name]:[Long]],13,FALSE)</f>
        <v>97.418694000000002</v>
      </c>
      <c r="EP176" s="964" t="str">
        <f>VLOOKUP(WWWW[[#This Row],[Site Name]],SiteDB6[[Site Name]:[Pcode]],3,FALSE)</f>
        <v>MMR001CMP008</v>
      </c>
      <c r="EQ176" s="969" t="str">
        <f t="shared" si="5"/>
        <v>Covered</v>
      </c>
      <c r="ER176" s="969" t="s">
        <v>3147</v>
      </c>
      <c r="ES176" s="964">
        <f>VLOOKUP(WWWW[[#This Row],[Site Name]],SiteDB6[[Site Name]:[Pop
(Kachin/Shan-CCCM as of March 2023)]],16,FALSE)</f>
        <v>88</v>
      </c>
      <c r="ET176" s="964">
        <f>VLOOKUP(WWWW[[#This Row],[Site Name]],SiteDB6[[Site Name]:[Pop
(Kachin/Shan-CCCM as of March 2023)]],17,FALSE)</f>
        <v>515</v>
      </c>
    </row>
    <row r="177" spans="1:150" hidden="1">
      <c r="A177" s="962" t="s">
        <v>2977</v>
      </c>
      <c r="B177" s="963" t="s">
        <v>141</v>
      </c>
      <c r="C177" s="963" t="s">
        <v>141</v>
      </c>
      <c r="D177" s="963" t="s">
        <v>241</v>
      </c>
      <c r="E177" s="963" t="s">
        <v>37</v>
      </c>
      <c r="F177" s="963" t="s">
        <v>159</v>
      </c>
      <c r="G177" s="964" t="str">
        <f>VLOOKUP(WWWW[[#This Row],[Site Name]],SiteDB6[[Site Name]:[Location Type]],8,FALSE)</f>
        <v>Camp</v>
      </c>
      <c r="H177" s="963" t="s">
        <v>167</v>
      </c>
      <c r="I177" s="965">
        <v>72</v>
      </c>
      <c r="J177" s="965">
        <v>320</v>
      </c>
      <c r="K177" s="966">
        <v>44811</v>
      </c>
      <c r="L177" s="967">
        <v>45175</v>
      </c>
      <c r="M177" s="965"/>
      <c r="N177" s="965">
        <v>1</v>
      </c>
      <c r="O177" s="965"/>
      <c r="P177" s="965"/>
      <c r="Q177" s="968" t="s">
        <v>41</v>
      </c>
      <c r="R177" s="965">
        <v>2</v>
      </c>
      <c r="S177" s="965">
        <v>2</v>
      </c>
      <c r="T177" s="445">
        <v>2</v>
      </c>
      <c r="U177" s="965"/>
      <c r="V177" s="965"/>
      <c r="W177" s="965">
        <v>2</v>
      </c>
      <c r="X177" s="965"/>
      <c r="Y177" s="965"/>
      <c r="Z177" s="965"/>
      <c r="AA177" s="965"/>
      <c r="AB177" s="965"/>
      <c r="AC177" s="965"/>
      <c r="AD177" s="965"/>
      <c r="AE177" s="965"/>
      <c r="AF177" s="965"/>
      <c r="AG177" s="965"/>
      <c r="AH177" s="965">
        <v>3</v>
      </c>
      <c r="AI177" s="965"/>
      <c r="AJ177" s="965"/>
      <c r="AK177" s="965"/>
      <c r="AL177" s="965"/>
      <c r="AM177" s="965"/>
      <c r="AN177" s="965"/>
      <c r="AO177" s="445"/>
      <c r="AP177" s="969"/>
      <c r="AQ177" s="965">
        <v>15</v>
      </c>
      <c r="AR177" s="965"/>
      <c r="AS177" s="970"/>
      <c r="AT177" s="965"/>
      <c r="AU177" s="965"/>
      <c r="AV177" s="965"/>
      <c r="AW177" s="965"/>
      <c r="AX177" s="965">
        <v>15</v>
      </c>
      <c r="AY177" s="964" t="s">
        <v>41</v>
      </c>
      <c r="AZ177" s="969" t="s">
        <v>137</v>
      </c>
      <c r="BA177" s="965"/>
      <c r="BB177" s="965"/>
      <c r="BC177" s="965"/>
      <c r="BD177" s="445"/>
      <c r="BE177" s="445"/>
      <c r="BF177" s="964"/>
      <c r="BG177" s="965">
        <v>1</v>
      </c>
      <c r="BH177" s="965"/>
      <c r="BI177" s="965"/>
      <c r="BJ177" s="965">
        <v>1</v>
      </c>
      <c r="BK177" s="965"/>
      <c r="BL177" s="965"/>
      <c r="BM177" s="965"/>
      <c r="BN177" s="965"/>
      <c r="BO177" s="965"/>
      <c r="BP177" s="964"/>
      <c r="BQ177" s="971"/>
      <c r="BR177" s="970"/>
      <c r="BS177" s="964"/>
      <c r="BT177" s="420"/>
      <c r="BU177" s="420"/>
      <c r="BV177" s="422"/>
      <c r="BW177" s="420"/>
      <c r="BX177" s="445"/>
      <c r="BY177" s="445"/>
      <c r="BZ177" s="445"/>
      <c r="CA177" s="445"/>
      <c r="CB177" s="445"/>
      <c r="CC177" s="702"/>
      <c r="CD177" s="445"/>
      <c r="CE177" s="972" t="str">
        <f>IFERROR(WWWW[[#This Row],['#_Water sources passed]]/WWWW[[#This Row],['#_Water sources tested for fecal coliform ]],"no test")</f>
        <v>no test</v>
      </c>
      <c r="CF177" s="970" t="str">
        <f>IFERROR(WWWW[[#This Row],['#_Household passed]]/WWWW[[#This Row],['#_Household water samples tested for fecal coliform]],"no test")</f>
        <v>no test</v>
      </c>
      <c r="CG177" s="971" t="str">
        <f>IF(AND(WWWW[[#This Row],[% of water sources passed]]="no test",WWWW[[#This Row],[% Household passed]]="no test"),"No Test","Tested")</f>
        <v>No Test</v>
      </c>
      <c r="CH177" s="971">
        <f>WWWW[[#This Row],['#_Constructed/existing protected hand dug well]]-WWWW[[#This Row],['#_Non-functional protected hand dug well]]</f>
        <v>2</v>
      </c>
      <c r="CI177" s="971">
        <f>(WWWW[[#This Row],['#_Constructed/Existing tube wells/boreholes/handpumps_WASH_agency]]+WWWW[[#This Row],['#_Non-Cluster partner water tube-wells/boreholes/handpumps]])-WWWW[[#This Row],['#_Non-functional tube wells/boreholes/handpumps]]</f>
        <v>2</v>
      </c>
      <c r="CJ177" s="971">
        <f>WWWW[[#This Row],['#_Constructed/Existingwater storage tank with gravity fed reticulation system]]-WWWW[[#This Row],['#_Non-functional storage tank gravity fed reticulation system]]</f>
        <v>0</v>
      </c>
      <c r="CK177" s="971">
        <f>(WWWW[[#This Row],['#_Water_Liters_supplied_by_Water boating or water trucking]]/90)/15</f>
        <v>0</v>
      </c>
      <c r="CL177" s="971">
        <f>WWWW[[#This Row],['#_Water_Liters_from_Constructed/Existing water distribution system from river or natural spring]]/90/15</f>
        <v>0</v>
      </c>
      <c r="CM177" s="421">
        <f>IF(WWWW[[#This Row],['#_of water points in TLS/CFS]]*500&gt;WWWW[[#This Row],[Total PoP ]],WWWW[[#This Row],[Total PoP ]],WWWW[[#This Row],['#_of water points in TLS/CFS]]*500)</f>
        <v>0</v>
      </c>
      <c r="CN177" s="421">
        <f>IF(WWWW[[#This Row],['#_of water points in THF]]*500&gt;WWWW[[#This Row],[Total PoP ]],WWWW[[#This Row],[Total PoP ]],WWWW[[#This Row],['#_of water points in THF]]*500)</f>
        <v>0</v>
      </c>
      <c r="CO177" s="421"/>
      <c r="CP17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7" s="970">
        <f>IF(WWWW[[#This Row],[Location Type 1]]="Village",WWWW[[#This Row],[Access to safe drinking water for Village]],WWWW[[#This Row],[Access to safe drinking water for Camp]])</f>
        <v>1</v>
      </c>
      <c r="CS177" s="968">
        <f>WWWW[[#This Row],[%Equitable and continuous access to sufficient quantity of safe drinking water]]*WWWW[[#This Row],[Total PoP ]]</f>
        <v>320</v>
      </c>
      <c r="CT177" s="970">
        <f>IF((WWWW[[#This Row],['#_Constructed/Existing protected/fenced ponds]]*250)/WWWW[[#This Row],[Total PoP ]]&gt;1,1,(WWWW[[#This Row],['#_Constructed/Existing protected/fenced ponds]]*250)/WWWW[[#This Row],[Total PoP ]])</f>
        <v>0</v>
      </c>
      <c r="CU177" s="968">
        <f>WWWW[[#This Row],[% Access to unimproved water points]]*WWWW[[#This Row],[Total PoP ]]</f>
        <v>0</v>
      </c>
      <c r="CV17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320</v>
      </c>
      <c r="CX177" s="968">
        <f>WWWW[[#This Row],[HRP1]]/500</f>
        <v>0.64</v>
      </c>
      <c r="CY177" s="973">
        <f>1-WWWW[[#This Row],[% Equitable and continuous access to sufficient quantity of domestic water]]</f>
        <v>0</v>
      </c>
      <c r="CZ177" s="968">
        <f>WWWW[[#This Row],[%equitable and continuous access to sufficient quantity of safe drinking and domestic water''s GAP]]*WWWW[[#This Row],[Total PoP ]]</f>
        <v>0</v>
      </c>
      <c r="DA177" s="971">
        <f>IF(WWWW[[#This Row],[Total required water points]]-WWWW[[#This Row],['#Water points coverage]]&lt;0,0,WWWW[[#This Row],[Total required water points]]-WWWW[[#This Row],['#Water points coverage]])</f>
        <v>0.36</v>
      </c>
      <c r="DB177" s="971">
        <f>ROUND(IF(WWWW[[#This Row],[Total PoP ]]&lt;500,1,WWWW[[#This Row],[Total PoP ]]/500),0)</f>
        <v>1</v>
      </c>
      <c r="DC177" s="971">
        <f>(WWWW[[#This Row],['#_Constructed latrines_by_WASHAgencies]]+WWWW[[#This Row],['#_Non Cluster partner latrines]])-WWWW[[#This Row],['#_Non-functional latrines]]</f>
        <v>15</v>
      </c>
      <c r="DD177" s="619">
        <f>WWWW[[#This Row],[HRP2]]/WWWW[[#This Row],[Total PoP ]]</f>
        <v>0.9375</v>
      </c>
      <c r="DE17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17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7" s="421">
        <f>IF(WWWW[[#This Row],['# of functional latrines in THF supported by WASH partners during the reporting period2]]="",0,WWWW[[#This Row],['# of functional latrines in THF supported by WASH partners during the reporting period2]]*50)</f>
        <v>0</v>
      </c>
      <c r="DI177" s="971">
        <f>ROUND(IF(WWWW[[#This Row],[Location Type 1]]="camp",WWWW[[#This Row],[Total PoP ]]/20,IF(WWWW[[#This Row],[Location Type 1]]="Temporary Location",WWWW[[#This Row],[Total PoP ]]/50,(WWWW[[#This Row],[Total PoP ]]/6))),0)</f>
        <v>16</v>
      </c>
      <c r="DJ177" s="971">
        <f>IF(WWWW[[#This Row],[Total required Latrines]]-(WWWW[[#This Row],['#_Constructed latrines_by_WASHAgencies]]+WWWW[[#This Row],['#_Non Cluster partner latrines]])&lt;0,0,WWWW[[#This Row],[Total required Latrines]]-(WWWW[[#This Row],['#_Constructed latrines_by_WASHAgencies]]+WWWW[[#This Row],['#_Non Cluster partner latrines]]))</f>
        <v>1</v>
      </c>
      <c r="DK177" s="973">
        <f>1-WWWW[[#This Row],[% people access to functioning Latrine]]</f>
        <v>6.25E-2</v>
      </c>
      <c r="DL177" s="972">
        <f>IF(OR(WWWW[[#This Row],['#_Non-functional latrines]]="",WWWW[[#This Row],['#_Non-functional latrines]]=0),0,WWWW[[#This Row],['#_Non-functional latrines]]/(WWWW[[#This Row],['#_Constructed latrines_by_WASHAgencies]]+WWWW[[#This Row],['#_Non Cluster partner latrines]]))</f>
        <v>0</v>
      </c>
      <c r="DM177" s="968">
        <f>IF(500*(WWWW[[#This Row],['#_male hygiene promoters]]+WWWW[[#This Row],['#_female hygiene promoters]])&gt;WWWW[[#This Row],[Total PoP ]],WWWW[[#This Row],[Total PoP ]],500*(WWWW[[#This Row],['#_male hygiene promoters]]+WWWW[[#This Row],['#_female hygiene promoters]]))</f>
        <v>0</v>
      </c>
      <c r="DN17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7" s="971">
        <f>IF(WWWW[[#This Row],['# People with access to soap]]&gt;WWWW[[#This Row],['# People with access to Sanity Pads]],WWWW[[#This Row],['# People with access to soap]],WWWW[[#This Row],['# People with access to Sanity Pads]])</f>
        <v>0</v>
      </c>
      <c r="DQ17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7" s="973">
        <f>IF(WWWW[[#This Row],[HRP3]]/WWWW[[#This Row],[Total PoP ]]&gt;1,1,WWWW[[#This Row],[HRP3]]/WWWW[[#This Row],[Total PoP ]])</f>
        <v>0</v>
      </c>
      <c r="DS177" s="972">
        <f>1-WWWW[[#This Row],[Hygiene Coverage%]]</f>
        <v>1</v>
      </c>
      <c r="DT177" s="970">
        <f>WWWW[[#This Row],['# people reached by regular dedicated hygiene promotion_5]]/WWWW[[#This Row],[Total PoP ]]</f>
        <v>0</v>
      </c>
      <c r="DU17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7" s="971">
        <f>WWWW[[#This Row],['#_Constructed/Existing hand washing stations]]-WWWW[[#This Row],['#_Non-Functional_hand_washing_stations]]</f>
        <v>1</v>
      </c>
      <c r="DX177" s="968">
        <f>IF(WWWW[[#This Row],['# Functional hand washing stations during reporting period]]*20&gt;WWWW[[#This Row],[Total HH]],WWWW[[#This Row],[Total HH]],WWWW[[#This Row],['# Functional hand washing stations during reporting period]]*20)</f>
        <v>20</v>
      </c>
      <c r="DY177" s="968">
        <f>IF(WWWW[[#This Row],[Is sufficient soap available for TLS? (Yes/No)]]="yes",WWWW[[#This Row],['#_Constructed/Existing hand washing stations at TLS/CFS/THF]],0)</f>
        <v>0</v>
      </c>
      <c r="DZ177" s="425">
        <f>IF(WWWW[[#This Row],['# Functional hand washing stations during reporting period]]*100&gt;WWWW[[#This Row],[Total PoP ]],WWWW[[#This Row],[Total PoP ]],WWWW[[#This Row],['# Functional hand washing stations during reporting period]]*100)</f>
        <v>100</v>
      </c>
      <c r="EA177" s="425" t="str">
        <f>IF(OR(WWWW[[#This Row],['#_students at TLS_CFS]]="",WWWW[[#This Row],['#_students at TLS_CFS]]=0),"No","Yes")</f>
        <v>No</v>
      </c>
      <c r="EB17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7" s="570">
        <f>WWWW[[#This Row],[%_of_affected_people_surveyed_who_report_feeling_satistfied_with_the_latrine_design_and_sanitation_service]]*WWWW[[#This Row],[Total PoP ]]</f>
        <v>0</v>
      </c>
      <c r="ED177" s="570">
        <f>WWWW[[#This Row],[%_of_affected_people_surveyed_who_report_feeling_satistfied_with_the_water_point_design_and_water_service]]*WWWW[[#This Row],[Total PoP ]]</f>
        <v>0</v>
      </c>
      <c r="EE177" s="570">
        <f>WWWW[[#This Row],[%_of_complaints_received_that_result_in_timely_corrective_action_and_feedback_to_the_community]]*WWWW[[#This Row],[Total PoP ]]</f>
        <v>0</v>
      </c>
      <c r="EF17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7" s="964" t="str">
        <f>VLOOKUP(WWWW[[#This Row],[Site Name]],SiteDB6[[Site Name]:[CCCM Management]],6,FALSE)</f>
        <v>Yes</v>
      </c>
      <c r="EJ177" s="964" t="str">
        <f>VLOOKUP(WWWW[[#This Row],[Site Name]],SiteDB6[[Site Name]:[CCCM Focal Agency]],7,FALSE)</f>
        <v>KBC-MYT</v>
      </c>
      <c r="EK177" s="964" t="str">
        <f>VLOOKUP(WWWW[[#This Row],[Site Name]],SiteDB6[[Site Name]:[Location Type 1]],9,FALSE)</f>
        <v>Camp</v>
      </c>
      <c r="EL177" s="964" t="str">
        <f>VLOOKUP(WWWW[[#This Row],[Site Name]],SiteDB6[[Site Name]:[Type of Accommodation]],10,FALSE)</f>
        <v>Camp</v>
      </c>
      <c r="EM177" s="964" t="str">
        <f>VLOOKUP(WWWW[[#This Row],[Site Name]],SiteDB6[[Site Name]:[Ethnic or GCA/NGCA]],11,FALSE)</f>
        <v>GCA</v>
      </c>
      <c r="EN177" s="964">
        <f>VLOOKUP(WWWW[[#This Row],[Site Name]],SiteDB6[[Site Name]:[Lat]],12,FALSE)</f>
        <v>25.422194000000001</v>
      </c>
      <c r="EO177" s="964">
        <f>VLOOKUP(WWWW[[#This Row],[Site Name]],SiteDB6[[Site Name]:[Long]],13,FALSE)</f>
        <v>97.394547000000003</v>
      </c>
      <c r="EP177" s="964" t="str">
        <f>VLOOKUP(WWWW[[#This Row],[Site Name]],SiteDB6[[Site Name]:[Pcode]],3,FALSE)</f>
        <v>MMR001CMP002</v>
      </c>
      <c r="EQ177" s="969" t="str">
        <f t="shared" si="5"/>
        <v>Covered</v>
      </c>
      <c r="ER177" s="969" t="s">
        <v>3147</v>
      </c>
      <c r="ES177" s="964">
        <f>VLOOKUP(WWWW[[#This Row],[Site Name]],SiteDB6[[Site Name]:[Pop
(Kachin/Shan-CCCM as of March 2023)]],16,FALSE)</f>
        <v>76</v>
      </c>
      <c r="ET177" s="964">
        <f>VLOOKUP(WWWW[[#This Row],[Site Name]],SiteDB6[[Site Name]:[Pop
(Kachin/Shan-CCCM as of March 2023)]],17,FALSE)</f>
        <v>328</v>
      </c>
    </row>
    <row r="178" spans="1:150" hidden="1">
      <c r="A178" s="962" t="s">
        <v>2977</v>
      </c>
      <c r="B178" s="1068" t="s">
        <v>3203</v>
      </c>
      <c r="C178" s="963" t="s">
        <v>141</v>
      </c>
      <c r="D178" s="963" t="s">
        <v>3112</v>
      </c>
      <c r="E178" s="963" t="s">
        <v>37</v>
      </c>
      <c r="F178" s="963" t="s">
        <v>159</v>
      </c>
      <c r="G178" s="964" t="str">
        <f>VLOOKUP(WWWW[[#This Row],[Site Name]],SiteDB6[[Site Name]:[Location Type]],8,FALSE)</f>
        <v>Camp</v>
      </c>
      <c r="H178" s="963" t="s">
        <v>168</v>
      </c>
      <c r="I178" s="965">
        <v>111</v>
      </c>
      <c r="J178" s="965">
        <v>595</v>
      </c>
      <c r="K178" s="966">
        <v>44811</v>
      </c>
      <c r="L178" s="967">
        <v>45175</v>
      </c>
      <c r="M178" s="965"/>
      <c r="N178" s="965">
        <v>2</v>
      </c>
      <c r="O178" s="965"/>
      <c r="P178" s="965"/>
      <c r="Q178" s="968" t="s">
        <v>41</v>
      </c>
      <c r="R178" s="965">
        <v>2</v>
      </c>
      <c r="S178" s="965">
        <v>2</v>
      </c>
      <c r="T178" s="445">
        <v>2</v>
      </c>
      <c r="U178" s="965"/>
      <c r="V178" s="965"/>
      <c r="W178" s="965">
        <v>3</v>
      </c>
      <c r="X178" s="965"/>
      <c r="Y178" s="965"/>
      <c r="Z178" s="965"/>
      <c r="AA178" s="965"/>
      <c r="AB178" s="965"/>
      <c r="AC178" s="965"/>
      <c r="AD178" s="965"/>
      <c r="AE178" s="965"/>
      <c r="AF178" s="965"/>
      <c r="AG178" s="965"/>
      <c r="AH178" s="965">
        <v>2</v>
      </c>
      <c r="AI178" s="965"/>
      <c r="AJ178" s="965"/>
      <c r="AK178" s="965"/>
      <c r="AL178" s="965"/>
      <c r="AM178" s="965"/>
      <c r="AN178" s="965"/>
      <c r="AO178" s="445"/>
      <c r="AP178" s="969"/>
      <c r="AQ178" s="965">
        <v>13</v>
      </c>
      <c r="AR178" s="965"/>
      <c r="AS178" s="970"/>
      <c r="AT178" s="965"/>
      <c r="AU178" s="965"/>
      <c r="AV178" s="965"/>
      <c r="AW178" s="965"/>
      <c r="AX178" s="965">
        <v>13</v>
      </c>
      <c r="AY178" s="964" t="s">
        <v>41</v>
      </c>
      <c r="AZ178" s="969" t="s">
        <v>137</v>
      </c>
      <c r="BA178" s="965"/>
      <c r="BB178" s="965"/>
      <c r="BC178" s="965"/>
      <c r="BD178" s="445"/>
      <c r="BE178" s="445"/>
      <c r="BF178" s="964"/>
      <c r="BG178" s="965">
        <v>7</v>
      </c>
      <c r="BH178" s="965"/>
      <c r="BI178" s="965"/>
      <c r="BJ178" s="965">
        <v>4</v>
      </c>
      <c r="BK178" s="965"/>
      <c r="BL178" s="965">
        <v>1</v>
      </c>
      <c r="BM178" s="965"/>
      <c r="BN178" s="965"/>
      <c r="BO178" s="965"/>
      <c r="BP178" s="964"/>
      <c r="BQ178" s="971"/>
      <c r="BR178" s="970"/>
      <c r="BS178" s="964"/>
      <c r="BT178" s="420"/>
      <c r="BU178" s="420"/>
      <c r="BV178" s="422"/>
      <c r="BW178" s="420"/>
      <c r="BX178" s="445"/>
      <c r="BY178" s="445"/>
      <c r="BZ178" s="445"/>
      <c r="CA178" s="445"/>
      <c r="CB178" s="445"/>
      <c r="CC178" s="702"/>
      <c r="CD178" s="445"/>
      <c r="CE178" s="972" t="str">
        <f>IFERROR(WWWW[[#This Row],['#_Water sources passed]]/WWWW[[#This Row],['#_Water sources tested for fecal coliform ]],"no test")</f>
        <v>no test</v>
      </c>
      <c r="CF178" s="970" t="str">
        <f>IFERROR(WWWW[[#This Row],['#_Household passed]]/WWWW[[#This Row],['#_Household water samples tested for fecal coliform]],"no test")</f>
        <v>no test</v>
      </c>
      <c r="CG178" s="971" t="str">
        <f>IF(AND(WWWW[[#This Row],[% of water sources passed]]="no test",WWWW[[#This Row],[% Household passed]]="no test"),"No Test","Tested")</f>
        <v>No Test</v>
      </c>
      <c r="CH178" s="971">
        <f>WWWW[[#This Row],['#_Constructed/existing protected hand dug well]]-WWWW[[#This Row],['#_Non-functional protected hand dug well]]</f>
        <v>2</v>
      </c>
      <c r="CI178" s="971">
        <f>(WWWW[[#This Row],['#_Constructed/Existing tube wells/boreholes/handpumps_WASH_agency]]+WWWW[[#This Row],['#_Non-Cluster partner water tube-wells/boreholes/handpumps]])-WWWW[[#This Row],['#_Non-functional tube wells/boreholes/handpumps]]</f>
        <v>3</v>
      </c>
      <c r="CJ178" s="971">
        <f>WWWW[[#This Row],['#_Constructed/Existingwater storage tank with gravity fed reticulation system]]-WWWW[[#This Row],['#_Non-functional storage tank gravity fed reticulation system]]</f>
        <v>0</v>
      </c>
      <c r="CK178" s="971">
        <f>(WWWW[[#This Row],['#_Water_Liters_supplied_by_Water boating or water trucking]]/90)/15</f>
        <v>0</v>
      </c>
      <c r="CL178" s="971">
        <f>WWWW[[#This Row],['#_Water_Liters_from_Constructed/Existing water distribution system from river or natural spring]]/90/15</f>
        <v>0</v>
      </c>
      <c r="CM178" s="421">
        <f>IF(WWWW[[#This Row],['#_of water points in TLS/CFS]]*500&gt;WWWW[[#This Row],[Total PoP ]],WWWW[[#This Row],[Total PoP ]],WWWW[[#This Row],['#_of water points in TLS/CFS]]*500)</f>
        <v>0</v>
      </c>
      <c r="CN178" s="421">
        <f>IF(WWWW[[#This Row],['#_of water points in THF]]*500&gt;WWWW[[#This Row],[Total PoP ]],WWWW[[#This Row],[Total PoP ]],WWWW[[#This Row],['#_of water points in THF]]*500)</f>
        <v>0</v>
      </c>
      <c r="CO178" s="421"/>
      <c r="CP17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8" s="970">
        <f>IF(WWWW[[#This Row],[Location Type 1]]="Village",WWWW[[#This Row],[Access to safe drinking water for Village]],WWWW[[#This Row],[Access to safe drinking water for Camp]])</f>
        <v>1</v>
      </c>
      <c r="CS178" s="968">
        <f>WWWW[[#This Row],[%Equitable and continuous access to sufficient quantity of safe drinking water]]*WWWW[[#This Row],[Total PoP ]]</f>
        <v>595</v>
      </c>
      <c r="CT178" s="970">
        <f>IF((WWWW[[#This Row],['#_Constructed/Existing protected/fenced ponds]]*250)/WWWW[[#This Row],[Total PoP ]]&gt;1,1,(WWWW[[#This Row],['#_Constructed/Existing protected/fenced ponds]]*250)/WWWW[[#This Row],[Total PoP ]])</f>
        <v>0</v>
      </c>
      <c r="CU178" s="968">
        <f>WWWW[[#This Row],[% Access to unimproved water points]]*WWWW[[#This Row],[Total PoP ]]</f>
        <v>0</v>
      </c>
      <c r="CV17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v>
      </c>
      <c r="CX178" s="968">
        <f>WWWW[[#This Row],[HRP1]]/500</f>
        <v>1.19</v>
      </c>
      <c r="CY178" s="973">
        <f>1-WWWW[[#This Row],[% Equitable and continuous access to sufficient quantity of domestic water]]</f>
        <v>0</v>
      </c>
      <c r="CZ178" s="968">
        <f>WWWW[[#This Row],[%equitable and continuous access to sufficient quantity of safe drinking and domestic water''s GAP]]*WWWW[[#This Row],[Total PoP ]]</f>
        <v>0</v>
      </c>
      <c r="DA178" s="971">
        <f>IF(WWWW[[#This Row],[Total required water points]]-WWWW[[#This Row],['#Water points coverage]]&lt;0,0,WWWW[[#This Row],[Total required water points]]-WWWW[[#This Row],['#Water points coverage]])</f>
        <v>0</v>
      </c>
      <c r="DB178" s="971">
        <f>ROUND(IF(WWWW[[#This Row],[Total PoP ]]&lt;500,1,WWWW[[#This Row],[Total PoP ]]/500),0)</f>
        <v>1</v>
      </c>
      <c r="DC178" s="971">
        <f>(WWWW[[#This Row],['#_Constructed latrines_by_WASHAgencies]]+WWWW[[#This Row],['#_Non Cluster partner latrines]])-WWWW[[#This Row],['#_Non-functional latrines]]</f>
        <v>13</v>
      </c>
      <c r="DD178" s="619">
        <f>WWWW[[#This Row],[HRP2]]/WWWW[[#This Row],[Total PoP ]]</f>
        <v>0.43697478991596639</v>
      </c>
      <c r="DE17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260</v>
      </c>
      <c r="DF17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8" s="421">
        <f>IF(WWWW[[#This Row],['# of functional latrines in THF supported by WASH partners during the reporting period2]]="",0,WWWW[[#This Row],['# of functional latrines in THF supported by WASH partners during the reporting period2]]*50)</f>
        <v>0</v>
      </c>
      <c r="DI178" s="971">
        <f>ROUND(IF(WWWW[[#This Row],[Location Type 1]]="camp",WWWW[[#This Row],[Total PoP ]]/20,IF(WWWW[[#This Row],[Location Type 1]]="Temporary Location",WWWW[[#This Row],[Total PoP ]]/50,(WWWW[[#This Row],[Total PoP ]]/6))),0)</f>
        <v>30</v>
      </c>
      <c r="DJ178" s="971">
        <f>IF(WWWW[[#This Row],[Total required Latrines]]-(WWWW[[#This Row],['#_Constructed latrines_by_WASHAgencies]]+WWWW[[#This Row],['#_Non Cluster partner latrines]])&lt;0,0,WWWW[[#This Row],[Total required Latrines]]-(WWWW[[#This Row],['#_Constructed latrines_by_WASHAgencies]]+WWWW[[#This Row],['#_Non Cluster partner latrines]]))</f>
        <v>17</v>
      </c>
      <c r="DK178" s="973">
        <f>1-WWWW[[#This Row],[% people access to functioning Latrine]]</f>
        <v>0.56302521008403361</v>
      </c>
      <c r="DL178" s="972">
        <f>IF(OR(WWWW[[#This Row],['#_Non-functional latrines]]="",WWWW[[#This Row],['#_Non-functional latrines]]=0),0,WWWW[[#This Row],['#_Non-functional latrines]]/(WWWW[[#This Row],['#_Constructed latrines_by_WASHAgencies]]+WWWW[[#This Row],['#_Non Cluster partner latrines]]))</f>
        <v>0</v>
      </c>
      <c r="DM178" s="968">
        <f>IF(500*(WWWW[[#This Row],['#_male hygiene promoters]]+WWWW[[#This Row],['#_female hygiene promoters]])&gt;WWWW[[#This Row],[Total PoP ]],WWWW[[#This Row],[Total PoP ]],500*(WWWW[[#This Row],['#_male hygiene promoters]]+WWWW[[#This Row],['#_female hygiene promoters]]))</f>
        <v>500</v>
      </c>
      <c r="DN17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8" s="971">
        <f>IF(WWWW[[#This Row],['# People with access to soap]]&gt;WWWW[[#This Row],['# People with access to Sanity Pads]],WWWW[[#This Row],['# People with access to soap]],WWWW[[#This Row],['# People with access to Sanity Pads]])</f>
        <v>0</v>
      </c>
      <c r="DQ178"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78" s="973">
        <f>IF(WWWW[[#This Row],[HRP3]]/WWWW[[#This Row],[Total PoP ]]&gt;1,1,WWWW[[#This Row],[HRP3]]/WWWW[[#This Row],[Total PoP ]])</f>
        <v>0.84033613445378152</v>
      </c>
      <c r="DS178" s="972">
        <f>1-WWWW[[#This Row],[Hygiene Coverage%]]</f>
        <v>0.15966386554621848</v>
      </c>
      <c r="DT178" s="970">
        <f>WWWW[[#This Row],['# people reached by regular dedicated hygiene promotion_5]]/WWWW[[#This Row],[Total PoP ]]</f>
        <v>0.84033613445378152</v>
      </c>
      <c r="DU17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8" s="971">
        <f>WWWW[[#This Row],['#_Constructed/Existing hand washing stations]]-WWWW[[#This Row],['#_Non-Functional_hand_washing_stations]]</f>
        <v>7</v>
      </c>
      <c r="DX178" s="968">
        <f>IF(WWWW[[#This Row],['# Functional hand washing stations during reporting period]]*20&gt;WWWW[[#This Row],[Total HH]],WWWW[[#This Row],[Total HH]],WWWW[[#This Row],['# Functional hand washing stations during reporting period]]*20)</f>
        <v>111</v>
      </c>
      <c r="DY178" s="968">
        <f>IF(WWWW[[#This Row],[Is sufficient soap available for TLS? (Yes/No)]]="yes",WWWW[[#This Row],['#_Constructed/Existing hand washing stations at TLS/CFS/THF]],0)</f>
        <v>0</v>
      </c>
      <c r="DZ178" s="425">
        <f>IF(WWWW[[#This Row],['# Functional hand washing stations during reporting period]]*100&gt;WWWW[[#This Row],[Total PoP ]],WWWW[[#This Row],[Total PoP ]],WWWW[[#This Row],['# Functional hand washing stations during reporting period]]*100)</f>
        <v>595</v>
      </c>
      <c r="EA178" s="425" t="str">
        <f>IF(OR(WWWW[[#This Row],['#_students at TLS_CFS]]="",WWWW[[#This Row],['#_students at TLS_CFS]]=0),"No","Yes")</f>
        <v>No</v>
      </c>
      <c r="EB17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8" s="570">
        <f>WWWW[[#This Row],[%_of_affected_people_surveyed_who_report_feeling_satistfied_with_the_latrine_design_and_sanitation_service]]*WWWW[[#This Row],[Total PoP ]]</f>
        <v>0</v>
      </c>
      <c r="ED178" s="570">
        <f>WWWW[[#This Row],[%_of_affected_people_surveyed_who_report_feeling_satistfied_with_the_water_point_design_and_water_service]]*WWWW[[#This Row],[Total PoP ]]</f>
        <v>0</v>
      </c>
      <c r="EE178" s="570">
        <f>WWWW[[#This Row],[%_of_complaints_received_that_result_in_timely_corrective_action_and_feedback_to_the_community]]*WWWW[[#This Row],[Total PoP ]]</f>
        <v>0</v>
      </c>
      <c r="EF17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8" s="964" t="str">
        <f>VLOOKUP(WWWW[[#This Row],[Site Name]],SiteDB6[[Site Name]:[CCCM Management]],6,FALSE)</f>
        <v>Yes</v>
      </c>
      <c r="EJ178" s="964" t="str">
        <f>VLOOKUP(WWWW[[#This Row],[Site Name]],SiteDB6[[Site Name]:[CCCM Focal Agency]],7,FALSE)</f>
        <v>KBC-MYT</v>
      </c>
      <c r="EK178" s="964" t="str">
        <f>VLOOKUP(WWWW[[#This Row],[Site Name]],SiteDB6[[Site Name]:[Location Type 1]],9,FALSE)</f>
        <v>Camp</v>
      </c>
      <c r="EL178" s="964" t="str">
        <f>VLOOKUP(WWWW[[#This Row],[Site Name]],SiteDB6[[Site Name]:[Type of Accommodation]],10,FALSE)</f>
        <v>Camp</v>
      </c>
      <c r="EM178" s="964" t="str">
        <f>VLOOKUP(WWWW[[#This Row],[Site Name]],SiteDB6[[Site Name]:[Ethnic or GCA/NGCA]],11,FALSE)</f>
        <v>GCA</v>
      </c>
      <c r="EN178" s="964">
        <f>VLOOKUP(WWWW[[#This Row],[Site Name]],SiteDB6[[Site Name]:[Lat]],12,FALSE)</f>
        <v>25.412313000000001</v>
      </c>
      <c r="EO178" s="964">
        <f>VLOOKUP(WWWW[[#This Row],[Site Name]],SiteDB6[[Site Name]:[Long]],13,FALSE)</f>
        <v>97.399628000000007</v>
      </c>
      <c r="EP178" s="964" t="str">
        <f>VLOOKUP(WWWW[[#This Row],[Site Name]],SiteDB6[[Site Name]:[Pcode]],3,FALSE)</f>
        <v>MMR001CMP006</v>
      </c>
      <c r="EQ178" s="969" t="str">
        <f t="shared" si="5"/>
        <v>Covered</v>
      </c>
      <c r="ER178" s="969" t="s">
        <v>3147</v>
      </c>
      <c r="ES178" s="964">
        <f>VLOOKUP(WWWW[[#This Row],[Site Name]],SiteDB6[[Site Name]:[Pop
(Kachin/Shan-CCCM as of March 2023)]],16,FALSE)</f>
        <v>111</v>
      </c>
      <c r="ET178" s="964">
        <f>VLOOKUP(WWWW[[#This Row],[Site Name]],SiteDB6[[Site Name]:[Pop
(Kachin/Shan-CCCM as of March 2023)]],17,FALSE)</f>
        <v>569</v>
      </c>
    </row>
    <row r="179" spans="1:150" hidden="1">
      <c r="A179" s="962" t="s">
        <v>2977</v>
      </c>
      <c r="B179" s="1068" t="s">
        <v>3203</v>
      </c>
      <c r="C179" s="963" t="s">
        <v>141</v>
      </c>
      <c r="D179" s="963" t="s">
        <v>3116</v>
      </c>
      <c r="E179" s="963" t="s">
        <v>37</v>
      </c>
      <c r="F179" s="963" t="s">
        <v>159</v>
      </c>
      <c r="G179" s="964" t="str">
        <f>VLOOKUP(WWWW[[#This Row],[Site Name]],SiteDB6[[Site Name]:[Location Type]],8,FALSE)</f>
        <v>Camp</v>
      </c>
      <c r="H179" s="963" t="s">
        <v>169</v>
      </c>
      <c r="I179" s="965">
        <v>104</v>
      </c>
      <c r="J179" s="965">
        <v>629</v>
      </c>
      <c r="K179" s="966">
        <v>44811</v>
      </c>
      <c r="L179" s="967">
        <v>45175</v>
      </c>
      <c r="M179" s="965"/>
      <c r="N179" s="965">
        <v>2</v>
      </c>
      <c r="O179" s="965"/>
      <c r="P179" s="965"/>
      <c r="Q179" s="968" t="s">
        <v>41</v>
      </c>
      <c r="R179" s="965">
        <v>2</v>
      </c>
      <c r="S179" s="965">
        <v>2</v>
      </c>
      <c r="T179" s="445">
        <v>3</v>
      </c>
      <c r="U179" s="965"/>
      <c r="V179" s="965"/>
      <c r="W179" s="965">
        <v>2</v>
      </c>
      <c r="X179" s="965"/>
      <c r="Y179" s="965"/>
      <c r="Z179" s="965"/>
      <c r="AA179" s="965"/>
      <c r="AB179" s="965"/>
      <c r="AC179" s="965"/>
      <c r="AD179" s="965"/>
      <c r="AE179" s="965"/>
      <c r="AF179" s="965"/>
      <c r="AG179" s="965"/>
      <c r="AH179" s="965">
        <v>2</v>
      </c>
      <c r="AI179" s="965"/>
      <c r="AJ179" s="965"/>
      <c r="AK179" s="965"/>
      <c r="AL179" s="965"/>
      <c r="AM179" s="965"/>
      <c r="AN179" s="965"/>
      <c r="AO179" s="445"/>
      <c r="AP179" s="969"/>
      <c r="AQ179" s="965">
        <v>17</v>
      </c>
      <c r="AR179" s="965"/>
      <c r="AS179" s="970"/>
      <c r="AT179" s="965"/>
      <c r="AU179" s="965"/>
      <c r="AV179" s="965"/>
      <c r="AW179" s="965"/>
      <c r="AX179" s="965">
        <v>17</v>
      </c>
      <c r="AY179" s="964" t="s">
        <v>41</v>
      </c>
      <c r="AZ179" s="969" t="s">
        <v>137</v>
      </c>
      <c r="BA179" s="965"/>
      <c r="BB179" s="965"/>
      <c r="BC179" s="965"/>
      <c r="BD179" s="445"/>
      <c r="BE179" s="445"/>
      <c r="BF179" s="964"/>
      <c r="BG179" s="965">
        <v>3</v>
      </c>
      <c r="BH179" s="965"/>
      <c r="BI179" s="965"/>
      <c r="BJ179" s="965">
        <v>2</v>
      </c>
      <c r="BK179" s="965"/>
      <c r="BL179" s="965"/>
      <c r="BM179" s="965"/>
      <c r="BN179" s="965"/>
      <c r="BO179" s="965"/>
      <c r="BP179" s="964"/>
      <c r="BQ179" s="971"/>
      <c r="BR179" s="970"/>
      <c r="BS179" s="964"/>
      <c r="BT179" s="420"/>
      <c r="BU179" s="420"/>
      <c r="BV179" s="422"/>
      <c r="BW179" s="420"/>
      <c r="BX179" s="445"/>
      <c r="BY179" s="445"/>
      <c r="BZ179" s="445"/>
      <c r="CA179" s="445"/>
      <c r="CB179" s="445"/>
      <c r="CC179" s="702"/>
      <c r="CD179" s="445"/>
      <c r="CE179" s="972" t="str">
        <f>IFERROR(WWWW[[#This Row],['#_Water sources passed]]/WWWW[[#This Row],['#_Water sources tested for fecal coliform ]],"no test")</f>
        <v>no test</v>
      </c>
      <c r="CF179" s="970" t="str">
        <f>IFERROR(WWWW[[#This Row],['#_Household passed]]/WWWW[[#This Row],['#_Household water samples tested for fecal coliform]],"no test")</f>
        <v>no test</v>
      </c>
      <c r="CG179" s="971" t="str">
        <f>IF(AND(WWWW[[#This Row],[% of water sources passed]]="no test",WWWW[[#This Row],[% Household passed]]="no test"),"No Test","Tested")</f>
        <v>No Test</v>
      </c>
      <c r="CH179" s="971">
        <f>WWWW[[#This Row],['#_Constructed/existing protected hand dug well]]-WWWW[[#This Row],['#_Non-functional protected hand dug well]]</f>
        <v>3</v>
      </c>
      <c r="CI179" s="971">
        <f>(WWWW[[#This Row],['#_Constructed/Existing tube wells/boreholes/handpumps_WASH_agency]]+WWWW[[#This Row],['#_Non-Cluster partner water tube-wells/boreholes/handpumps]])-WWWW[[#This Row],['#_Non-functional tube wells/boreholes/handpumps]]</f>
        <v>2</v>
      </c>
      <c r="CJ179" s="971">
        <f>WWWW[[#This Row],['#_Constructed/Existingwater storage tank with gravity fed reticulation system]]-WWWW[[#This Row],['#_Non-functional storage tank gravity fed reticulation system]]</f>
        <v>0</v>
      </c>
      <c r="CK179" s="971">
        <f>(WWWW[[#This Row],['#_Water_Liters_supplied_by_Water boating or water trucking]]/90)/15</f>
        <v>0</v>
      </c>
      <c r="CL179" s="971">
        <f>WWWW[[#This Row],['#_Water_Liters_from_Constructed/Existing water distribution system from river or natural spring]]/90/15</f>
        <v>0</v>
      </c>
      <c r="CM179" s="421">
        <f>IF(WWWW[[#This Row],['#_of water points in TLS/CFS]]*500&gt;WWWW[[#This Row],[Total PoP ]],WWWW[[#This Row],[Total PoP ]],WWWW[[#This Row],['#_of water points in TLS/CFS]]*500)</f>
        <v>0</v>
      </c>
      <c r="CN179" s="421">
        <f>IF(WWWW[[#This Row],['#_of water points in THF]]*500&gt;WWWW[[#This Row],[Total PoP ]],WWWW[[#This Row],[Total PoP ]],WWWW[[#This Row],['#_of water points in THF]]*500)</f>
        <v>0</v>
      </c>
      <c r="CO179" s="421"/>
      <c r="CP17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9" s="970">
        <f>IF(WWWW[[#This Row],[Location Type 1]]="Village",WWWW[[#This Row],[Access to safe drinking water for Village]],WWWW[[#This Row],[Access to safe drinking water for Camp]])</f>
        <v>1</v>
      </c>
      <c r="CS179" s="968">
        <f>WWWW[[#This Row],[%Equitable and continuous access to sufficient quantity of safe drinking water]]*WWWW[[#This Row],[Total PoP ]]</f>
        <v>629</v>
      </c>
      <c r="CT179" s="970">
        <f>IF((WWWW[[#This Row],['#_Constructed/Existing protected/fenced ponds]]*250)/WWWW[[#This Row],[Total PoP ]]&gt;1,1,(WWWW[[#This Row],['#_Constructed/Existing protected/fenced ponds]]*250)/WWWW[[#This Row],[Total PoP ]])</f>
        <v>0</v>
      </c>
      <c r="CU179" s="968">
        <f>WWWW[[#This Row],[% Access to unimproved water points]]*WWWW[[#This Row],[Total PoP ]]</f>
        <v>0</v>
      </c>
      <c r="CV17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CX179" s="968">
        <f>WWWW[[#This Row],[HRP1]]/500</f>
        <v>1.258</v>
      </c>
      <c r="CY179" s="973">
        <f>1-WWWW[[#This Row],[% Equitable and continuous access to sufficient quantity of domestic water]]</f>
        <v>0</v>
      </c>
      <c r="CZ179" s="968">
        <f>WWWW[[#This Row],[%equitable and continuous access to sufficient quantity of safe drinking and domestic water''s GAP]]*WWWW[[#This Row],[Total PoP ]]</f>
        <v>0</v>
      </c>
      <c r="DA179" s="971">
        <f>IF(WWWW[[#This Row],[Total required water points]]-WWWW[[#This Row],['#Water points coverage]]&lt;0,0,WWWW[[#This Row],[Total required water points]]-WWWW[[#This Row],['#Water points coverage]])</f>
        <v>0</v>
      </c>
      <c r="DB179" s="971">
        <f>ROUND(IF(WWWW[[#This Row],[Total PoP ]]&lt;500,1,WWWW[[#This Row],[Total PoP ]]/500),0)</f>
        <v>1</v>
      </c>
      <c r="DC179" s="971">
        <f>(WWWW[[#This Row],['#_Constructed latrines_by_WASHAgencies]]+WWWW[[#This Row],['#_Non Cluster partner latrines]])-WWWW[[#This Row],['#_Non-functional latrines]]</f>
        <v>17</v>
      </c>
      <c r="DD179" s="619">
        <f>WWWW[[#This Row],[HRP2]]/WWWW[[#This Row],[Total PoP ]]</f>
        <v>0.54054054054054057</v>
      </c>
      <c r="DE17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340</v>
      </c>
      <c r="DF17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9" s="421">
        <f>IF(WWWW[[#This Row],['# of functional latrines in THF supported by WASH partners during the reporting period2]]="",0,WWWW[[#This Row],['# of functional latrines in THF supported by WASH partners during the reporting period2]]*50)</f>
        <v>0</v>
      </c>
      <c r="DI179" s="971">
        <f>ROUND(IF(WWWW[[#This Row],[Location Type 1]]="camp",WWWW[[#This Row],[Total PoP ]]/20,IF(WWWW[[#This Row],[Location Type 1]]="Temporary Location",WWWW[[#This Row],[Total PoP ]]/50,(WWWW[[#This Row],[Total PoP ]]/6))),0)</f>
        <v>31</v>
      </c>
      <c r="DJ179" s="971">
        <f>IF(WWWW[[#This Row],[Total required Latrines]]-(WWWW[[#This Row],['#_Constructed latrines_by_WASHAgencies]]+WWWW[[#This Row],['#_Non Cluster partner latrines]])&lt;0,0,WWWW[[#This Row],[Total required Latrines]]-(WWWW[[#This Row],['#_Constructed latrines_by_WASHAgencies]]+WWWW[[#This Row],['#_Non Cluster partner latrines]]))</f>
        <v>14</v>
      </c>
      <c r="DK179" s="973">
        <f>1-WWWW[[#This Row],[% people access to functioning Latrine]]</f>
        <v>0.45945945945945943</v>
      </c>
      <c r="DL179" s="972">
        <f>IF(OR(WWWW[[#This Row],['#_Non-functional latrines]]="",WWWW[[#This Row],['#_Non-functional latrines]]=0),0,WWWW[[#This Row],['#_Non-functional latrines]]/(WWWW[[#This Row],['#_Constructed latrines_by_WASHAgencies]]+WWWW[[#This Row],['#_Non Cluster partner latrines]]))</f>
        <v>0</v>
      </c>
      <c r="DM179" s="968">
        <f>IF(500*(WWWW[[#This Row],['#_male hygiene promoters]]+WWWW[[#This Row],['#_female hygiene promoters]])&gt;WWWW[[#This Row],[Total PoP ]],WWWW[[#This Row],[Total PoP ]],500*(WWWW[[#This Row],['#_male hygiene promoters]]+WWWW[[#This Row],['#_female hygiene promoters]]))</f>
        <v>0</v>
      </c>
      <c r="DN17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9" s="971">
        <f>IF(WWWW[[#This Row],['# People with access to soap]]&gt;WWWW[[#This Row],['# People with access to Sanity Pads]],WWWW[[#This Row],['# People with access to soap]],WWWW[[#This Row],['# People with access to Sanity Pads]])</f>
        <v>0</v>
      </c>
      <c r="DQ179"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9" s="973">
        <f>IF(WWWW[[#This Row],[HRP3]]/WWWW[[#This Row],[Total PoP ]]&gt;1,1,WWWW[[#This Row],[HRP3]]/WWWW[[#This Row],[Total PoP ]])</f>
        <v>0</v>
      </c>
      <c r="DS179" s="972">
        <f>1-WWWW[[#This Row],[Hygiene Coverage%]]</f>
        <v>1</v>
      </c>
      <c r="DT179" s="970">
        <f>WWWW[[#This Row],['# people reached by regular dedicated hygiene promotion_5]]/WWWW[[#This Row],[Total PoP ]]</f>
        <v>0</v>
      </c>
      <c r="DU17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9" s="971">
        <f>WWWW[[#This Row],['#_Constructed/Existing hand washing stations]]-WWWW[[#This Row],['#_Non-Functional_hand_washing_stations]]</f>
        <v>3</v>
      </c>
      <c r="DX179" s="968">
        <f>IF(WWWW[[#This Row],['# Functional hand washing stations during reporting period]]*20&gt;WWWW[[#This Row],[Total HH]],WWWW[[#This Row],[Total HH]],WWWW[[#This Row],['# Functional hand washing stations during reporting period]]*20)</f>
        <v>60</v>
      </c>
      <c r="DY179" s="968">
        <f>IF(WWWW[[#This Row],[Is sufficient soap available for TLS? (Yes/No)]]="yes",WWWW[[#This Row],['#_Constructed/Existing hand washing stations at TLS/CFS/THF]],0)</f>
        <v>0</v>
      </c>
      <c r="DZ179" s="425">
        <f>IF(WWWW[[#This Row],['# Functional hand washing stations during reporting period]]*100&gt;WWWW[[#This Row],[Total PoP ]],WWWW[[#This Row],[Total PoP ]],WWWW[[#This Row],['# Functional hand washing stations during reporting period]]*100)</f>
        <v>300</v>
      </c>
      <c r="EA179" s="425" t="str">
        <f>IF(OR(WWWW[[#This Row],['#_students at TLS_CFS]]="",WWWW[[#This Row],['#_students at TLS_CFS]]=0),"No","Yes")</f>
        <v>No</v>
      </c>
      <c r="EB17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9" s="570">
        <f>WWWW[[#This Row],[%_of_affected_people_surveyed_who_report_feeling_satistfied_with_the_latrine_design_and_sanitation_service]]*WWWW[[#This Row],[Total PoP ]]</f>
        <v>0</v>
      </c>
      <c r="ED179" s="570">
        <f>WWWW[[#This Row],[%_of_affected_people_surveyed_who_report_feeling_satistfied_with_the_water_point_design_and_water_service]]*WWWW[[#This Row],[Total PoP ]]</f>
        <v>0</v>
      </c>
      <c r="EE179" s="570">
        <f>WWWW[[#This Row],[%_of_complaints_received_that_result_in_timely_corrective_action_and_feedback_to_the_community]]*WWWW[[#This Row],[Total PoP ]]</f>
        <v>0</v>
      </c>
      <c r="EF17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9" s="964" t="str">
        <f>VLOOKUP(WWWW[[#This Row],[Site Name]],SiteDB6[[Site Name]:[CCCM Management]],6,FALSE)</f>
        <v>Yes</v>
      </c>
      <c r="EJ179" s="964" t="str">
        <f>VLOOKUP(WWWW[[#This Row],[Site Name]],SiteDB6[[Site Name]:[CCCM Focal Agency]],7,FALSE)</f>
        <v>KBC-MYT</v>
      </c>
      <c r="EK179" s="964" t="str">
        <f>VLOOKUP(WWWW[[#This Row],[Site Name]],SiteDB6[[Site Name]:[Location Type 1]],9,FALSE)</f>
        <v>Camp</v>
      </c>
      <c r="EL179" s="964" t="str">
        <f>VLOOKUP(WWWW[[#This Row],[Site Name]],SiteDB6[[Site Name]:[Type of Accommodation]],10,FALSE)</f>
        <v>Camp</v>
      </c>
      <c r="EM179" s="964" t="str">
        <f>VLOOKUP(WWWW[[#This Row],[Site Name]],SiteDB6[[Site Name]:[Ethnic or GCA/NGCA]],11,FALSE)</f>
        <v>GCA</v>
      </c>
      <c r="EN179" s="964">
        <f>VLOOKUP(WWWW[[#This Row],[Site Name]],SiteDB6[[Site Name]:[Lat]],12,FALSE)</f>
        <v>25.440928</v>
      </c>
      <c r="EO179" s="964">
        <f>VLOOKUP(WWWW[[#This Row],[Site Name]],SiteDB6[[Site Name]:[Long]],13,FALSE)</f>
        <v>97.419403000000003</v>
      </c>
      <c r="EP179" s="964" t="str">
        <f>VLOOKUP(WWWW[[#This Row],[Site Name]],SiteDB6[[Site Name]:[Pcode]],3,FALSE)</f>
        <v>MMR001CMP009</v>
      </c>
      <c r="EQ179" s="969" t="str">
        <f t="shared" si="5"/>
        <v>Covered</v>
      </c>
      <c r="ER179" s="969" t="s">
        <v>3147</v>
      </c>
      <c r="ES179" s="964">
        <f>VLOOKUP(WWWW[[#This Row],[Site Name]],SiteDB6[[Site Name]:[Pop
(Kachin/Shan-CCCM as of March 2023)]],16,FALSE)</f>
        <v>107</v>
      </c>
      <c r="ET179" s="964">
        <f>VLOOKUP(WWWW[[#This Row],[Site Name]],SiteDB6[[Site Name]:[Pop
(Kachin/Shan-CCCM as of March 2023)]],17,FALSE)</f>
        <v>637</v>
      </c>
    </row>
    <row r="180" spans="1:150" hidden="1">
      <c r="A180" s="962" t="s">
        <v>2977</v>
      </c>
      <c r="B180" s="963" t="s">
        <v>141</v>
      </c>
      <c r="C180" s="963" t="s">
        <v>141</v>
      </c>
      <c r="D180" s="963" t="s">
        <v>241</v>
      </c>
      <c r="E180" s="963" t="s">
        <v>37</v>
      </c>
      <c r="F180" s="963" t="s">
        <v>159</v>
      </c>
      <c r="G180" s="964" t="str">
        <f>VLOOKUP(WWWW[[#This Row],[Site Name]],SiteDB6[[Site Name]:[Location Type]],8,FALSE)</f>
        <v>Camp</v>
      </c>
      <c r="H180" s="963" t="s">
        <v>170</v>
      </c>
      <c r="I180" s="965">
        <v>99</v>
      </c>
      <c r="J180" s="965">
        <v>543</v>
      </c>
      <c r="K180" s="966">
        <v>44811</v>
      </c>
      <c r="L180" s="967">
        <v>45175</v>
      </c>
      <c r="M180" s="965"/>
      <c r="N180" s="965">
        <v>1</v>
      </c>
      <c r="O180" s="965"/>
      <c r="P180" s="965"/>
      <c r="Q180" s="968" t="s">
        <v>41</v>
      </c>
      <c r="R180" s="965">
        <v>2</v>
      </c>
      <c r="S180" s="965">
        <v>2</v>
      </c>
      <c r="T180" s="445">
        <v>2</v>
      </c>
      <c r="U180" s="965"/>
      <c r="V180" s="965"/>
      <c r="W180" s="965">
        <v>3</v>
      </c>
      <c r="X180" s="965"/>
      <c r="Y180" s="965"/>
      <c r="Z180" s="965"/>
      <c r="AA180" s="965"/>
      <c r="AB180" s="965"/>
      <c r="AC180" s="965"/>
      <c r="AD180" s="965"/>
      <c r="AE180" s="965"/>
      <c r="AF180" s="965"/>
      <c r="AG180" s="965"/>
      <c r="AH180" s="965">
        <v>2</v>
      </c>
      <c r="AI180" s="965"/>
      <c r="AJ180" s="965"/>
      <c r="AK180" s="965"/>
      <c r="AL180" s="965"/>
      <c r="AM180" s="965"/>
      <c r="AN180" s="965"/>
      <c r="AO180" s="445"/>
      <c r="AP180" s="969"/>
      <c r="AQ180" s="965">
        <v>11</v>
      </c>
      <c r="AR180" s="965"/>
      <c r="AS180" s="970"/>
      <c r="AT180" s="965"/>
      <c r="AU180" s="965"/>
      <c r="AV180" s="965"/>
      <c r="AW180" s="965"/>
      <c r="AX180" s="965">
        <v>11</v>
      </c>
      <c r="AY180" s="964" t="s">
        <v>41</v>
      </c>
      <c r="AZ180" s="969" t="s">
        <v>137</v>
      </c>
      <c r="BA180" s="965"/>
      <c r="BB180" s="965"/>
      <c r="BC180" s="965"/>
      <c r="BD180" s="445"/>
      <c r="BE180" s="445"/>
      <c r="BF180" s="964"/>
      <c r="BG180" s="965">
        <v>3</v>
      </c>
      <c r="BH180" s="965"/>
      <c r="BI180" s="965"/>
      <c r="BJ180" s="965">
        <v>2</v>
      </c>
      <c r="BK180" s="965"/>
      <c r="BL180" s="965">
        <v>1</v>
      </c>
      <c r="BM180" s="965"/>
      <c r="BN180" s="965"/>
      <c r="BO180" s="965"/>
      <c r="BP180" s="964"/>
      <c r="BQ180" s="971"/>
      <c r="BR180" s="970"/>
      <c r="BS180" s="964"/>
      <c r="BT180" s="420"/>
      <c r="BU180" s="420"/>
      <c r="BV180" s="422"/>
      <c r="BW180" s="420"/>
      <c r="BX180" s="445"/>
      <c r="BY180" s="445"/>
      <c r="BZ180" s="445"/>
      <c r="CA180" s="445"/>
      <c r="CB180" s="445"/>
      <c r="CC180" s="702"/>
      <c r="CD180" s="445"/>
      <c r="CE180" s="972" t="str">
        <f>IFERROR(WWWW[[#This Row],['#_Water sources passed]]/WWWW[[#This Row],['#_Water sources tested for fecal coliform ]],"no test")</f>
        <v>no test</v>
      </c>
      <c r="CF180" s="970" t="str">
        <f>IFERROR(WWWW[[#This Row],['#_Household passed]]/WWWW[[#This Row],['#_Household water samples tested for fecal coliform]],"no test")</f>
        <v>no test</v>
      </c>
      <c r="CG180" s="971" t="str">
        <f>IF(AND(WWWW[[#This Row],[% of water sources passed]]="no test",WWWW[[#This Row],[% Household passed]]="no test"),"No Test","Tested")</f>
        <v>No Test</v>
      </c>
      <c r="CH180" s="971">
        <f>WWWW[[#This Row],['#_Constructed/existing protected hand dug well]]-WWWW[[#This Row],['#_Non-functional protected hand dug well]]</f>
        <v>2</v>
      </c>
      <c r="CI180" s="971">
        <f>(WWWW[[#This Row],['#_Constructed/Existing tube wells/boreholes/handpumps_WASH_agency]]+WWWW[[#This Row],['#_Non-Cluster partner water tube-wells/boreholes/handpumps]])-WWWW[[#This Row],['#_Non-functional tube wells/boreholes/handpumps]]</f>
        <v>3</v>
      </c>
      <c r="CJ180" s="971">
        <f>WWWW[[#This Row],['#_Constructed/Existingwater storage tank with gravity fed reticulation system]]-WWWW[[#This Row],['#_Non-functional storage tank gravity fed reticulation system]]</f>
        <v>0</v>
      </c>
      <c r="CK180" s="971">
        <f>(WWWW[[#This Row],['#_Water_Liters_supplied_by_Water boating or water trucking]]/90)/15</f>
        <v>0</v>
      </c>
      <c r="CL180" s="971">
        <f>WWWW[[#This Row],['#_Water_Liters_from_Constructed/Existing water distribution system from river or natural spring]]/90/15</f>
        <v>0</v>
      </c>
      <c r="CM180" s="421">
        <f>IF(WWWW[[#This Row],['#_of water points in TLS/CFS]]*500&gt;WWWW[[#This Row],[Total PoP ]],WWWW[[#This Row],[Total PoP ]],WWWW[[#This Row],['#_of water points in TLS/CFS]]*500)</f>
        <v>0</v>
      </c>
      <c r="CN180" s="421">
        <f>IF(WWWW[[#This Row],['#_of water points in THF]]*500&gt;WWWW[[#This Row],[Total PoP ]],WWWW[[#This Row],[Total PoP ]],WWWW[[#This Row],['#_of water points in THF]]*500)</f>
        <v>0</v>
      </c>
      <c r="CO180" s="421"/>
      <c r="CP18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0" s="970">
        <f>IF(WWWW[[#This Row],[Location Type 1]]="Village",WWWW[[#This Row],[Access to safe drinking water for Village]],WWWW[[#This Row],[Access to safe drinking water for Camp]])</f>
        <v>1</v>
      </c>
      <c r="CS180" s="968">
        <f>WWWW[[#This Row],[%Equitable and continuous access to sufficient quantity of safe drinking water]]*WWWW[[#This Row],[Total PoP ]]</f>
        <v>543</v>
      </c>
      <c r="CT180" s="970">
        <f>IF((WWWW[[#This Row],['#_Constructed/Existing protected/fenced ponds]]*250)/WWWW[[#This Row],[Total PoP ]]&gt;1,1,(WWWW[[#This Row],['#_Constructed/Existing protected/fenced ponds]]*250)/WWWW[[#This Row],[Total PoP ]])</f>
        <v>0</v>
      </c>
      <c r="CU180" s="968">
        <f>WWWW[[#This Row],[% Access to unimproved water points]]*WWWW[[#This Row],[Total PoP ]]</f>
        <v>0</v>
      </c>
      <c r="CV18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543</v>
      </c>
      <c r="CX180" s="968">
        <f>WWWW[[#This Row],[HRP1]]/500</f>
        <v>1.0860000000000001</v>
      </c>
      <c r="CY180" s="973">
        <f>1-WWWW[[#This Row],[% Equitable and continuous access to sufficient quantity of domestic water]]</f>
        <v>0</v>
      </c>
      <c r="CZ180" s="968">
        <f>WWWW[[#This Row],[%equitable and continuous access to sufficient quantity of safe drinking and domestic water''s GAP]]*WWWW[[#This Row],[Total PoP ]]</f>
        <v>0</v>
      </c>
      <c r="DA180" s="971">
        <f>IF(WWWW[[#This Row],[Total required water points]]-WWWW[[#This Row],['#Water points coverage]]&lt;0,0,WWWW[[#This Row],[Total required water points]]-WWWW[[#This Row],['#Water points coverage]])</f>
        <v>0</v>
      </c>
      <c r="DB180" s="971">
        <f>ROUND(IF(WWWW[[#This Row],[Total PoP ]]&lt;500,1,WWWW[[#This Row],[Total PoP ]]/500),0)</f>
        <v>1</v>
      </c>
      <c r="DC180" s="971">
        <f>(WWWW[[#This Row],['#_Constructed latrines_by_WASHAgencies]]+WWWW[[#This Row],['#_Non Cluster partner latrines]])-WWWW[[#This Row],['#_Non-functional latrines]]</f>
        <v>11</v>
      </c>
      <c r="DD180" s="619">
        <f>WWWW[[#This Row],[HRP2]]/WWWW[[#This Row],[Total PoP ]]</f>
        <v>0.40515653775322286</v>
      </c>
      <c r="DE18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18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0" s="421">
        <f>IF(WWWW[[#This Row],['# of functional latrines in THF supported by WASH partners during the reporting period2]]="",0,WWWW[[#This Row],['# of functional latrines in THF supported by WASH partners during the reporting period2]]*50)</f>
        <v>0</v>
      </c>
      <c r="DI180" s="971">
        <f>ROUND(IF(WWWW[[#This Row],[Location Type 1]]="camp",WWWW[[#This Row],[Total PoP ]]/20,IF(WWWW[[#This Row],[Location Type 1]]="Temporary Location",WWWW[[#This Row],[Total PoP ]]/50,(WWWW[[#This Row],[Total PoP ]]/6))),0)</f>
        <v>27</v>
      </c>
      <c r="DJ180" s="971">
        <f>IF(WWWW[[#This Row],[Total required Latrines]]-(WWWW[[#This Row],['#_Constructed latrines_by_WASHAgencies]]+WWWW[[#This Row],['#_Non Cluster partner latrines]])&lt;0,0,WWWW[[#This Row],[Total required Latrines]]-(WWWW[[#This Row],['#_Constructed latrines_by_WASHAgencies]]+WWWW[[#This Row],['#_Non Cluster partner latrines]]))</f>
        <v>16</v>
      </c>
      <c r="DK180" s="973">
        <f>1-WWWW[[#This Row],[% people access to functioning Latrine]]</f>
        <v>0.59484346224677709</v>
      </c>
      <c r="DL180" s="972">
        <f>IF(OR(WWWW[[#This Row],['#_Non-functional latrines]]="",WWWW[[#This Row],['#_Non-functional latrines]]=0),0,WWWW[[#This Row],['#_Non-functional latrines]]/(WWWW[[#This Row],['#_Constructed latrines_by_WASHAgencies]]+WWWW[[#This Row],['#_Non Cluster partner latrines]]))</f>
        <v>0</v>
      </c>
      <c r="DM180" s="968">
        <f>IF(500*(WWWW[[#This Row],['#_male hygiene promoters]]+WWWW[[#This Row],['#_female hygiene promoters]])&gt;WWWW[[#This Row],[Total PoP ]],WWWW[[#This Row],[Total PoP ]],500*(WWWW[[#This Row],['#_male hygiene promoters]]+WWWW[[#This Row],['#_female hygiene promoters]]))</f>
        <v>500</v>
      </c>
      <c r="DN18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0" s="971">
        <f>IF(WWWW[[#This Row],['# People with access to soap]]&gt;WWWW[[#This Row],['# People with access to Sanity Pads]],WWWW[[#This Row],['# People with access to soap]],WWWW[[#This Row],['# People with access to Sanity Pads]])</f>
        <v>0</v>
      </c>
      <c r="DQ180"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80" s="973">
        <f>IF(WWWW[[#This Row],[HRP3]]/WWWW[[#This Row],[Total PoP ]]&gt;1,1,WWWW[[#This Row],[HRP3]]/WWWW[[#This Row],[Total PoP ]])</f>
        <v>0.92081031307550643</v>
      </c>
      <c r="DS180" s="972">
        <f>1-WWWW[[#This Row],[Hygiene Coverage%]]</f>
        <v>7.9189686924493574E-2</v>
      </c>
      <c r="DT180" s="970">
        <f>WWWW[[#This Row],['# people reached by regular dedicated hygiene promotion_5]]/WWWW[[#This Row],[Total PoP ]]</f>
        <v>0.92081031307550643</v>
      </c>
      <c r="DU18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0" s="971">
        <f>WWWW[[#This Row],['#_Constructed/Existing hand washing stations]]-WWWW[[#This Row],['#_Non-Functional_hand_washing_stations]]</f>
        <v>3</v>
      </c>
      <c r="DX180" s="968">
        <f>IF(WWWW[[#This Row],['# Functional hand washing stations during reporting period]]*20&gt;WWWW[[#This Row],[Total HH]],WWWW[[#This Row],[Total HH]],WWWW[[#This Row],['# Functional hand washing stations during reporting period]]*20)</f>
        <v>60</v>
      </c>
      <c r="DY180" s="968">
        <f>IF(WWWW[[#This Row],[Is sufficient soap available for TLS? (Yes/No)]]="yes",WWWW[[#This Row],['#_Constructed/Existing hand washing stations at TLS/CFS/THF]],0)</f>
        <v>0</v>
      </c>
      <c r="DZ180" s="425">
        <f>IF(WWWW[[#This Row],['# Functional hand washing stations during reporting period]]*100&gt;WWWW[[#This Row],[Total PoP ]],WWWW[[#This Row],[Total PoP ]],WWWW[[#This Row],['# Functional hand washing stations during reporting period]]*100)</f>
        <v>300</v>
      </c>
      <c r="EA180" s="425" t="str">
        <f>IF(OR(WWWW[[#This Row],['#_students at TLS_CFS]]="",WWWW[[#This Row],['#_students at TLS_CFS]]=0),"No","Yes")</f>
        <v>No</v>
      </c>
      <c r="EB18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0" s="570">
        <f>WWWW[[#This Row],[%_of_affected_people_surveyed_who_report_feeling_satistfied_with_the_latrine_design_and_sanitation_service]]*WWWW[[#This Row],[Total PoP ]]</f>
        <v>0</v>
      </c>
      <c r="ED180" s="570">
        <f>WWWW[[#This Row],[%_of_affected_people_surveyed_who_report_feeling_satistfied_with_the_water_point_design_and_water_service]]*WWWW[[#This Row],[Total PoP ]]</f>
        <v>0</v>
      </c>
      <c r="EE180" s="570">
        <f>WWWW[[#This Row],[%_of_complaints_received_that_result_in_timely_corrective_action_and_feedback_to_the_community]]*WWWW[[#This Row],[Total PoP ]]</f>
        <v>0</v>
      </c>
      <c r="EF18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0" s="964" t="str">
        <f>VLOOKUP(WWWW[[#This Row],[Site Name]],SiteDB6[[Site Name]:[CCCM Management]],6,FALSE)</f>
        <v>Yes</v>
      </c>
      <c r="EJ180" s="964" t="str">
        <f>VLOOKUP(WWWW[[#This Row],[Site Name]],SiteDB6[[Site Name]:[CCCM Focal Agency]],7,FALSE)</f>
        <v>KBC-MYT</v>
      </c>
      <c r="EK180" s="964" t="str">
        <f>VLOOKUP(WWWW[[#This Row],[Site Name]],SiteDB6[[Site Name]:[Location Type 1]],9,FALSE)</f>
        <v>Camp</v>
      </c>
      <c r="EL180" s="964" t="str">
        <f>VLOOKUP(WWWW[[#This Row],[Site Name]],SiteDB6[[Site Name]:[Type of Accommodation]],10,FALSE)</f>
        <v>Camp</v>
      </c>
      <c r="EM180" s="964" t="str">
        <f>VLOOKUP(WWWW[[#This Row],[Site Name]],SiteDB6[[Site Name]:[Ethnic or GCA/NGCA]],11,FALSE)</f>
        <v>GCA</v>
      </c>
      <c r="EN180" s="964">
        <f>VLOOKUP(WWWW[[#This Row],[Site Name]],SiteDB6[[Site Name]:[Lat]],12,FALSE)</f>
        <v>25.415482000000001</v>
      </c>
      <c r="EO180" s="964">
        <f>VLOOKUP(WWWW[[#This Row],[Site Name]],SiteDB6[[Site Name]:[Long]],13,FALSE)</f>
        <v>97.386718999999999</v>
      </c>
      <c r="EP180" s="964" t="str">
        <f>VLOOKUP(WWWW[[#This Row],[Site Name]],SiteDB6[[Site Name]:[Pcode]],3,FALSE)</f>
        <v>MMR001CMP001</v>
      </c>
      <c r="EQ180" s="969" t="str">
        <f t="shared" si="5"/>
        <v>Covered</v>
      </c>
      <c r="ER180" s="969" t="s">
        <v>3147</v>
      </c>
      <c r="ES180" s="964">
        <f>VLOOKUP(WWWW[[#This Row],[Site Name]],SiteDB6[[Site Name]:[Pop
(Kachin/Shan-CCCM as of March 2023)]],16,FALSE)</f>
        <v>99</v>
      </c>
      <c r="ET180" s="964">
        <f>VLOOKUP(WWWW[[#This Row],[Site Name]],SiteDB6[[Site Name]:[Pop
(Kachin/Shan-CCCM as of March 2023)]],17,FALSE)</f>
        <v>550</v>
      </c>
    </row>
    <row r="181" spans="1:150" hidden="1">
      <c r="A181" s="962" t="s">
        <v>2977</v>
      </c>
      <c r="B181" s="963" t="s">
        <v>141</v>
      </c>
      <c r="C181" s="963" t="s">
        <v>141</v>
      </c>
      <c r="D181" s="963" t="s">
        <v>241</v>
      </c>
      <c r="E181" s="963" t="s">
        <v>37</v>
      </c>
      <c r="F181" s="963" t="s">
        <v>159</v>
      </c>
      <c r="G181" s="964" t="str">
        <f>VLOOKUP(WWWW[[#This Row],[Site Name]],SiteDB6[[Site Name]:[Location Type]],8,FALSE)</f>
        <v>Camp</v>
      </c>
      <c r="H181" s="963" t="s">
        <v>171</v>
      </c>
      <c r="I181" s="965">
        <v>32</v>
      </c>
      <c r="J181" s="965">
        <v>169</v>
      </c>
      <c r="K181" s="966">
        <v>44811</v>
      </c>
      <c r="L181" s="967">
        <v>45175</v>
      </c>
      <c r="M181" s="965"/>
      <c r="N181" s="965">
        <v>1</v>
      </c>
      <c r="O181" s="965"/>
      <c r="P181" s="965"/>
      <c r="Q181" s="968" t="s">
        <v>41</v>
      </c>
      <c r="R181" s="965">
        <v>2</v>
      </c>
      <c r="S181" s="965">
        <v>2</v>
      </c>
      <c r="T181" s="445">
        <v>3</v>
      </c>
      <c r="U181" s="965"/>
      <c r="V181" s="965"/>
      <c r="W181" s="965">
        <v>4</v>
      </c>
      <c r="X181" s="965"/>
      <c r="Y181" s="965"/>
      <c r="Z181" s="965"/>
      <c r="AA181" s="965"/>
      <c r="AB181" s="965"/>
      <c r="AC181" s="965"/>
      <c r="AD181" s="965"/>
      <c r="AE181" s="965"/>
      <c r="AF181" s="965"/>
      <c r="AG181" s="965"/>
      <c r="AH181" s="965">
        <v>3</v>
      </c>
      <c r="AI181" s="965"/>
      <c r="AJ181" s="965"/>
      <c r="AK181" s="965"/>
      <c r="AL181" s="965"/>
      <c r="AM181" s="965"/>
      <c r="AN181" s="965"/>
      <c r="AO181" s="445"/>
      <c r="AP181" s="969"/>
      <c r="AQ181" s="965">
        <v>5</v>
      </c>
      <c r="AR181" s="965"/>
      <c r="AS181" s="970"/>
      <c r="AT181" s="965"/>
      <c r="AU181" s="965"/>
      <c r="AV181" s="965"/>
      <c r="AW181" s="965"/>
      <c r="AX181" s="965">
        <v>5</v>
      </c>
      <c r="AY181" s="964" t="s">
        <v>41</v>
      </c>
      <c r="AZ181" s="969" t="s">
        <v>137</v>
      </c>
      <c r="BA181" s="965"/>
      <c r="BB181" s="965"/>
      <c r="BC181" s="965"/>
      <c r="BD181" s="445"/>
      <c r="BE181" s="445"/>
      <c r="BF181" s="964"/>
      <c r="BG181" s="965">
        <v>1</v>
      </c>
      <c r="BH181" s="965"/>
      <c r="BI181" s="965"/>
      <c r="BJ181" s="965">
        <v>3</v>
      </c>
      <c r="BK181" s="965"/>
      <c r="BL181" s="965"/>
      <c r="BM181" s="965"/>
      <c r="BN181" s="965"/>
      <c r="BO181" s="965"/>
      <c r="BP181" s="964"/>
      <c r="BQ181" s="971"/>
      <c r="BR181" s="970"/>
      <c r="BS181" s="964"/>
      <c r="BT181" s="420"/>
      <c r="BU181" s="420"/>
      <c r="BV181" s="422"/>
      <c r="BW181" s="420"/>
      <c r="BX181" s="445"/>
      <c r="BY181" s="445"/>
      <c r="BZ181" s="445"/>
      <c r="CA181" s="445"/>
      <c r="CB181" s="445"/>
      <c r="CC181" s="702"/>
      <c r="CD181" s="445"/>
      <c r="CE181" s="972" t="str">
        <f>IFERROR(WWWW[[#This Row],['#_Water sources passed]]/WWWW[[#This Row],['#_Water sources tested for fecal coliform ]],"no test")</f>
        <v>no test</v>
      </c>
      <c r="CF181" s="970" t="str">
        <f>IFERROR(WWWW[[#This Row],['#_Household passed]]/WWWW[[#This Row],['#_Household water samples tested for fecal coliform]],"no test")</f>
        <v>no test</v>
      </c>
      <c r="CG181" s="971" t="str">
        <f>IF(AND(WWWW[[#This Row],[% of water sources passed]]="no test",WWWW[[#This Row],[% Household passed]]="no test"),"No Test","Tested")</f>
        <v>No Test</v>
      </c>
      <c r="CH181" s="971">
        <f>WWWW[[#This Row],['#_Constructed/existing protected hand dug well]]-WWWW[[#This Row],['#_Non-functional protected hand dug well]]</f>
        <v>3</v>
      </c>
      <c r="CI181" s="971">
        <f>(WWWW[[#This Row],['#_Constructed/Existing tube wells/boreholes/handpumps_WASH_agency]]+WWWW[[#This Row],['#_Non-Cluster partner water tube-wells/boreholes/handpumps]])-WWWW[[#This Row],['#_Non-functional tube wells/boreholes/handpumps]]</f>
        <v>4</v>
      </c>
      <c r="CJ181" s="971">
        <f>WWWW[[#This Row],['#_Constructed/Existingwater storage tank with gravity fed reticulation system]]-WWWW[[#This Row],['#_Non-functional storage tank gravity fed reticulation system]]</f>
        <v>0</v>
      </c>
      <c r="CK181" s="971">
        <f>(WWWW[[#This Row],['#_Water_Liters_supplied_by_Water boating or water trucking]]/90)/15</f>
        <v>0</v>
      </c>
      <c r="CL181" s="971">
        <f>WWWW[[#This Row],['#_Water_Liters_from_Constructed/Existing water distribution system from river or natural spring]]/90/15</f>
        <v>0</v>
      </c>
      <c r="CM181" s="421">
        <f>IF(WWWW[[#This Row],['#_of water points in TLS/CFS]]*500&gt;WWWW[[#This Row],[Total PoP ]],WWWW[[#This Row],[Total PoP ]],WWWW[[#This Row],['#_of water points in TLS/CFS]]*500)</f>
        <v>0</v>
      </c>
      <c r="CN181" s="421">
        <f>IF(WWWW[[#This Row],['#_of water points in THF]]*500&gt;WWWW[[#This Row],[Total PoP ]],WWWW[[#This Row],[Total PoP ]],WWWW[[#This Row],['#_of water points in THF]]*500)</f>
        <v>0</v>
      </c>
      <c r="CO181" s="421"/>
      <c r="CP18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1" s="970">
        <f>IF(WWWW[[#This Row],[Location Type 1]]="Village",WWWW[[#This Row],[Access to safe drinking water for Village]],WWWW[[#This Row],[Access to safe drinking water for Camp]])</f>
        <v>1</v>
      </c>
      <c r="CS181" s="968">
        <f>WWWW[[#This Row],[%Equitable and continuous access to sufficient quantity of safe drinking water]]*WWWW[[#This Row],[Total PoP ]]</f>
        <v>169</v>
      </c>
      <c r="CT181" s="970">
        <f>IF((WWWW[[#This Row],['#_Constructed/Existing protected/fenced ponds]]*250)/WWWW[[#This Row],[Total PoP ]]&gt;1,1,(WWWW[[#This Row],['#_Constructed/Existing protected/fenced ponds]]*250)/WWWW[[#This Row],[Total PoP ]])</f>
        <v>0</v>
      </c>
      <c r="CU181" s="968">
        <f>WWWW[[#This Row],[% Access to unimproved water points]]*WWWW[[#This Row],[Total PoP ]]</f>
        <v>0</v>
      </c>
      <c r="CV18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X181" s="968">
        <f>WWWW[[#This Row],[HRP1]]/500</f>
        <v>0.33800000000000002</v>
      </c>
      <c r="CY181" s="973">
        <f>1-WWWW[[#This Row],[% Equitable and continuous access to sufficient quantity of domestic water]]</f>
        <v>0</v>
      </c>
      <c r="CZ181" s="968">
        <f>WWWW[[#This Row],[%equitable and continuous access to sufficient quantity of safe drinking and domestic water''s GAP]]*WWWW[[#This Row],[Total PoP ]]</f>
        <v>0</v>
      </c>
      <c r="DA181" s="971">
        <f>IF(WWWW[[#This Row],[Total required water points]]-WWWW[[#This Row],['#Water points coverage]]&lt;0,0,WWWW[[#This Row],[Total required water points]]-WWWW[[#This Row],['#Water points coverage]])</f>
        <v>0.66199999999999992</v>
      </c>
      <c r="DB181" s="971">
        <f>ROUND(IF(WWWW[[#This Row],[Total PoP ]]&lt;500,1,WWWW[[#This Row],[Total PoP ]]/500),0)</f>
        <v>1</v>
      </c>
      <c r="DC181" s="971">
        <f>(WWWW[[#This Row],['#_Constructed latrines_by_WASHAgencies]]+WWWW[[#This Row],['#_Non Cluster partner latrines]])-WWWW[[#This Row],['#_Non-functional latrines]]</f>
        <v>5</v>
      </c>
      <c r="DD181" s="619">
        <f>WWWW[[#This Row],[HRP2]]/WWWW[[#This Row],[Total PoP ]]</f>
        <v>0.59171597633136097</v>
      </c>
      <c r="DE18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18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1" s="421">
        <f>IF(WWWW[[#This Row],['# of functional latrines in THF supported by WASH partners during the reporting period2]]="",0,WWWW[[#This Row],['# of functional latrines in THF supported by WASH partners during the reporting period2]]*50)</f>
        <v>0</v>
      </c>
      <c r="DI181" s="971">
        <f>ROUND(IF(WWWW[[#This Row],[Location Type 1]]="camp",WWWW[[#This Row],[Total PoP ]]/20,IF(WWWW[[#This Row],[Location Type 1]]="Temporary Location",WWWW[[#This Row],[Total PoP ]]/50,(WWWW[[#This Row],[Total PoP ]]/6))),0)</f>
        <v>8</v>
      </c>
      <c r="DJ181" s="971">
        <f>IF(WWWW[[#This Row],[Total required Latrines]]-(WWWW[[#This Row],['#_Constructed latrines_by_WASHAgencies]]+WWWW[[#This Row],['#_Non Cluster partner latrines]])&lt;0,0,WWWW[[#This Row],[Total required Latrines]]-(WWWW[[#This Row],['#_Constructed latrines_by_WASHAgencies]]+WWWW[[#This Row],['#_Non Cluster partner latrines]]))</f>
        <v>3</v>
      </c>
      <c r="DK181" s="973">
        <f>1-WWWW[[#This Row],[% people access to functioning Latrine]]</f>
        <v>0.40828402366863903</v>
      </c>
      <c r="DL181" s="972">
        <f>IF(OR(WWWW[[#This Row],['#_Non-functional latrines]]="",WWWW[[#This Row],['#_Non-functional latrines]]=0),0,WWWW[[#This Row],['#_Non-functional latrines]]/(WWWW[[#This Row],['#_Constructed latrines_by_WASHAgencies]]+WWWW[[#This Row],['#_Non Cluster partner latrines]]))</f>
        <v>0</v>
      </c>
      <c r="DM181" s="968">
        <f>IF(500*(WWWW[[#This Row],['#_male hygiene promoters]]+WWWW[[#This Row],['#_female hygiene promoters]])&gt;WWWW[[#This Row],[Total PoP ]],WWWW[[#This Row],[Total PoP ]],500*(WWWW[[#This Row],['#_male hygiene promoters]]+WWWW[[#This Row],['#_female hygiene promoters]]))</f>
        <v>0</v>
      </c>
      <c r="DN18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1" s="971">
        <f>IF(WWWW[[#This Row],['# People with access to soap]]&gt;WWWW[[#This Row],['# People with access to Sanity Pads]],WWWW[[#This Row],['# People with access to soap]],WWWW[[#This Row],['# People with access to Sanity Pads]])</f>
        <v>0</v>
      </c>
      <c r="DQ18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81" s="973">
        <f>IF(WWWW[[#This Row],[HRP3]]/WWWW[[#This Row],[Total PoP ]]&gt;1,1,WWWW[[#This Row],[HRP3]]/WWWW[[#This Row],[Total PoP ]])</f>
        <v>0</v>
      </c>
      <c r="DS181" s="972">
        <f>1-WWWW[[#This Row],[Hygiene Coverage%]]</f>
        <v>1</v>
      </c>
      <c r="DT181" s="970">
        <f>WWWW[[#This Row],['# people reached by regular dedicated hygiene promotion_5]]/WWWW[[#This Row],[Total PoP ]]</f>
        <v>0</v>
      </c>
      <c r="DU18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1" s="971">
        <f>WWWW[[#This Row],['#_Constructed/Existing hand washing stations]]-WWWW[[#This Row],['#_Non-Functional_hand_washing_stations]]</f>
        <v>1</v>
      </c>
      <c r="DX181" s="968">
        <f>IF(WWWW[[#This Row],['# Functional hand washing stations during reporting period]]*20&gt;WWWW[[#This Row],[Total HH]],WWWW[[#This Row],[Total HH]],WWWW[[#This Row],['# Functional hand washing stations during reporting period]]*20)</f>
        <v>20</v>
      </c>
      <c r="DY181" s="968">
        <f>IF(WWWW[[#This Row],[Is sufficient soap available for TLS? (Yes/No)]]="yes",WWWW[[#This Row],['#_Constructed/Existing hand washing stations at TLS/CFS/THF]],0)</f>
        <v>0</v>
      </c>
      <c r="DZ181" s="425">
        <f>IF(WWWW[[#This Row],['# Functional hand washing stations during reporting period]]*100&gt;WWWW[[#This Row],[Total PoP ]],WWWW[[#This Row],[Total PoP ]],WWWW[[#This Row],['# Functional hand washing stations during reporting period]]*100)</f>
        <v>100</v>
      </c>
      <c r="EA181" s="425" t="str">
        <f>IF(OR(WWWW[[#This Row],['#_students at TLS_CFS]]="",WWWW[[#This Row],['#_students at TLS_CFS]]=0),"No","Yes")</f>
        <v>No</v>
      </c>
      <c r="EB18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1" s="570">
        <f>WWWW[[#This Row],[%_of_affected_people_surveyed_who_report_feeling_satistfied_with_the_latrine_design_and_sanitation_service]]*WWWW[[#This Row],[Total PoP ]]</f>
        <v>0</v>
      </c>
      <c r="ED181" s="570">
        <f>WWWW[[#This Row],[%_of_affected_people_surveyed_who_report_feeling_satistfied_with_the_water_point_design_and_water_service]]*WWWW[[#This Row],[Total PoP ]]</f>
        <v>0</v>
      </c>
      <c r="EE181" s="570">
        <f>WWWW[[#This Row],[%_of_complaints_received_that_result_in_timely_corrective_action_and_feedback_to_the_community]]*WWWW[[#This Row],[Total PoP ]]</f>
        <v>0</v>
      </c>
      <c r="EF18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1" s="964" t="str">
        <f>VLOOKUP(WWWW[[#This Row],[Site Name]],SiteDB6[[Site Name]:[CCCM Management]],6,FALSE)</f>
        <v>Yes</v>
      </c>
      <c r="EJ181" s="964" t="str">
        <f>VLOOKUP(WWWW[[#This Row],[Site Name]],SiteDB6[[Site Name]:[CCCM Focal Agency]],7,FALSE)</f>
        <v>KBC-MYT</v>
      </c>
      <c r="EK181" s="964" t="str">
        <f>VLOOKUP(WWWW[[#This Row],[Site Name]],SiteDB6[[Site Name]:[Location Type 1]],9,FALSE)</f>
        <v>Camp</v>
      </c>
      <c r="EL181" s="964" t="str">
        <f>VLOOKUP(WWWW[[#This Row],[Site Name]],SiteDB6[[Site Name]:[Type of Accommodation]],10,FALSE)</f>
        <v>Camp</v>
      </c>
      <c r="EM181" s="964" t="str">
        <f>VLOOKUP(WWWW[[#This Row],[Site Name]],SiteDB6[[Site Name]:[Ethnic or GCA/NGCA]],11,FALSE)</f>
        <v>GCA</v>
      </c>
      <c r="EN181" s="964">
        <f>VLOOKUP(WWWW[[#This Row],[Site Name]],SiteDB6[[Site Name]:[Lat]],12,FALSE)</f>
        <v>25.404752999999999</v>
      </c>
      <c r="EO181" s="964">
        <f>VLOOKUP(WWWW[[#This Row],[Site Name]],SiteDB6[[Site Name]:[Long]],13,FALSE)</f>
        <v>97.377662999999998</v>
      </c>
      <c r="EP181" s="964" t="str">
        <f>VLOOKUP(WWWW[[#This Row],[Site Name]],SiteDB6[[Site Name]:[Pcode]],3,FALSE)</f>
        <v>MMR001CMP003</v>
      </c>
      <c r="EQ181" s="969" t="str">
        <f t="shared" si="5"/>
        <v>Covered</v>
      </c>
      <c r="ER181" s="969" t="s">
        <v>3147</v>
      </c>
      <c r="ES181" s="964">
        <f>VLOOKUP(WWWW[[#This Row],[Site Name]],SiteDB6[[Site Name]:[Pop
(Kachin/Shan-CCCM as of March 2023)]],16,FALSE)</f>
        <v>32</v>
      </c>
      <c r="ET181" s="964">
        <f>VLOOKUP(WWWW[[#This Row],[Site Name]],SiteDB6[[Site Name]:[Pop
(Kachin/Shan-CCCM as of March 2023)]],17,FALSE)</f>
        <v>171</v>
      </c>
    </row>
    <row r="182" spans="1:150" hidden="1">
      <c r="A182" s="962" t="s">
        <v>2977</v>
      </c>
      <c r="B182" s="963" t="s">
        <v>141</v>
      </c>
      <c r="C182" s="963" t="s">
        <v>141</v>
      </c>
      <c r="D182" s="963" t="s">
        <v>241</v>
      </c>
      <c r="E182" s="963" t="s">
        <v>37</v>
      </c>
      <c r="F182" s="963" t="s">
        <v>159</v>
      </c>
      <c r="G182" s="964" t="str">
        <f>VLOOKUP(WWWW[[#This Row],[Site Name]],SiteDB6[[Site Name]:[Location Type]],8,FALSE)</f>
        <v>Camp</v>
      </c>
      <c r="H182" s="963" t="s">
        <v>172</v>
      </c>
      <c r="I182" s="965">
        <v>47</v>
      </c>
      <c r="J182" s="965">
        <v>241</v>
      </c>
      <c r="K182" s="966">
        <v>44811</v>
      </c>
      <c r="L182" s="967">
        <v>45175</v>
      </c>
      <c r="M182" s="965"/>
      <c r="N182" s="965">
        <v>1</v>
      </c>
      <c r="O182" s="965"/>
      <c r="P182" s="965"/>
      <c r="Q182" s="968" t="s">
        <v>41</v>
      </c>
      <c r="R182" s="965">
        <v>2</v>
      </c>
      <c r="S182" s="965">
        <v>3</v>
      </c>
      <c r="T182" s="445">
        <v>2</v>
      </c>
      <c r="U182" s="965"/>
      <c r="V182" s="965"/>
      <c r="W182" s="965">
        <v>1</v>
      </c>
      <c r="X182" s="965"/>
      <c r="Y182" s="965"/>
      <c r="Z182" s="965"/>
      <c r="AA182" s="965"/>
      <c r="AB182" s="965"/>
      <c r="AC182" s="965"/>
      <c r="AD182" s="965"/>
      <c r="AE182" s="965"/>
      <c r="AF182" s="965"/>
      <c r="AG182" s="965"/>
      <c r="AH182" s="965">
        <v>3</v>
      </c>
      <c r="AI182" s="965"/>
      <c r="AJ182" s="965"/>
      <c r="AK182" s="965"/>
      <c r="AL182" s="965"/>
      <c r="AM182" s="965"/>
      <c r="AN182" s="965"/>
      <c r="AO182" s="445"/>
      <c r="AP182" s="969"/>
      <c r="AQ182" s="965">
        <v>13</v>
      </c>
      <c r="AR182" s="965"/>
      <c r="AS182" s="970"/>
      <c r="AT182" s="965"/>
      <c r="AU182" s="965"/>
      <c r="AV182" s="965"/>
      <c r="AW182" s="965"/>
      <c r="AX182" s="965">
        <v>13</v>
      </c>
      <c r="AY182" s="964" t="s">
        <v>41</v>
      </c>
      <c r="AZ182" s="969" t="s">
        <v>137</v>
      </c>
      <c r="BA182" s="965"/>
      <c r="BB182" s="965"/>
      <c r="BC182" s="965"/>
      <c r="BD182" s="445"/>
      <c r="BE182" s="445"/>
      <c r="BF182" s="964"/>
      <c r="BG182" s="965">
        <v>1</v>
      </c>
      <c r="BH182" s="965"/>
      <c r="BI182" s="965"/>
      <c r="BJ182" s="965">
        <v>1</v>
      </c>
      <c r="BK182" s="965"/>
      <c r="BL182" s="965"/>
      <c r="BM182" s="965"/>
      <c r="BN182" s="965"/>
      <c r="BO182" s="965"/>
      <c r="BP182" s="964"/>
      <c r="BQ182" s="971"/>
      <c r="BR182" s="970"/>
      <c r="BS182" s="964"/>
      <c r="BT182" s="420"/>
      <c r="BU182" s="420"/>
      <c r="BV182" s="422"/>
      <c r="BW182" s="420"/>
      <c r="BX182" s="445"/>
      <c r="BY182" s="445"/>
      <c r="BZ182" s="445"/>
      <c r="CA182" s="445"/>
      <c r="CB182" s="445"/>
      <c r="CC182" s="702"/>
      <c r="CD182" s="445"/>
      <c r="CE182" s="972" t="str">
        <f>IFERROR(WWWW[[#This Row],['#_Water sources passed]]/WWWW[[#This Row],['#_Water sources tested for fecal coliform ]],"no test")</f>
        <v>no test</v>
      </c>
      <c r="CF182" s="970" t="str">
        <f>IFERROR(WWWW[[#This Row],['#_Household passed]]/WWWW[[#This Row],['#_Household water samples tested for fecal coliform]],"no test")</f>
        <v>no test</v>
      </c>
      <c r="CG182" s="971" t="str">
        <f>IF(AND(WWWW[[#This Row],[% of water sources passed]]="no test",WWWW[[#This Row],[% Household passed]]="no test"),"No Test","Tested")</f>
        <v>No Test</v>
      </c>
      <c r="CH182" s="971">
        <f>WWWW[[#This Row],['#_Constructed/existing protected hand dug well]]-WWWW[[#This Row],['#_Non-functional protected hand dug well]]</f>
        <v>2</v>
      </c>
      <c r="CI182" s="971">
        <f>(WWWW[[#This Row],['#_Constructed/Existing tube wells/boreholes/handpumps_WASH_agency]]+WWWW[[#This Row],['#_Non-Cluster partner water tube-wells/boreholes/handpumps]])-WWWW[[#This Row],['#_Non-functional tube wells/boreholes/handpumps]]</f>
        <v>1</v>
      </c>
      <c r="CJ182" s="971">
        <f>WWWW[[#This Row],['#_Constructed/Existingwater storage tank with gravity fed reticulation system]]-WWWW[[#This Row],['#_Non-functional storage tank gravity fed reticulation system]]</f>
        <v>0</v>
      </c>
      <c r="CK182" s="971">
        <f>(WWWW[[#This Row],['#_Water_Liters_supplied_by_Water boating or water trucking]]/90)/15</f>
        <v>0</v>
      </c>
      <c r="CL182" s="971">
        <f>WWWW[[#This Row],['#_Water_Liters_from_Constructed/Existing water distribution system from river or natural spring]]/90/15</f>
        <v>0</v>
      </c>
      <c r="CM182" s="421">
        <f>IF(WWWW[[#This Row],['#_of water points in TLS/CFS]]*500&gt;WWWW[[#This Row],[Total PoP ]],WWWW[[#This Row],[Total PoP ]],WWWW[[#This Row],['#_of water points in TLS/CFS]]*500)</f>
        <v>0</v>
      </c>
      <c r="CN182" s="421">
        <f>IF(WWWW[[#This Row],['#_of water points in THF]]*500&gt;WWWW[[#This Row],[Total PoP ]],WWWW[[#This Row],[Total PoP ]],WWWW[[#This Row],['#_of water points in THF]]*500)</f>
        <v>0</v>
      </c>
      <c r="CO182" s="421"/>
      <c r="CP18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2" s="970">
        <f>IF(WWWW[[#This Row],[Location Type 1]]="Village",WWWW[[#This Row],[Access to safe drinking water for Village]],WWWW[[#This Row],[Access to safe drinking water for Camp]])</f>
        <v>1</v>
      </c>
      <c r="CS182" s="968">
        <f>WWWW[[#This Row],[%Equitable and continuous access to sufficient quantity of safe drinking water]]*WWWW[[#This Row],[Total PoP ]]</f>
        <v>241</v>
      </c>
      <c r="CT182" s="970">
        <f>IF((WWWW[[#This Row],['#_Constructed/Existing protected/fenced ponds]]*250)/WWWW[[#This Row],[Total PoP ]]&gt;1,1,(WWWW[[#This Row],['#_Constructed/Existing protected/fenced ponds]]*250)/WWWW[[#This Row],[Total PoP ]])</f>
        <v>0</v>
      </c>
      <c r="CU182" s="968">
        <f>WWWW[[#This Row],[% Access to unimproved water points]]*WWWW[[#This Row],[Total PoP ]]</f>
        <v>0</v>
      </c>
      <c r="CV18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CX182" s="968">
        <f>WWWW[[#This Row],[HRP1]]/500</f>
        <v>0.48199999999999998</v>
      </c>
      <c r="CY182" s="973">
        <f>1-WWWW[[#This Row],[% Equitable and continuous access to sufficient quantity of domestic water]]</f>
        <v>0</v>
      </c>
      <c r="CZ182" s="968">
        <f>WWWW[[#This Row],[%equitable and continuous access to sufficient quantity of safe drinking and domestic water''s GAP]]*WWWW[[#This Row],[Total PoP ]]</f>
        <v>0</v>
      </c>
      <c r="DA182" s="971">
        <f>IF(WWWW[[#This Row],[Total required water points]]-WWWW[[#This Row],['#Water points coverage]]&lt;0,0,WWWW[[#This Row],[Total required water points]]-WWWW[[#This Row],['#Water points coverage]])</f>
        <v>0.51800000000000002</v>
      </c>
      <c r="DB182" s="971">
        <f>ROUND(IF(WWWW[[#This Row],[Total PoP ]]&lt;500,1,WWWW[[#This Row],[Total PoP ]]/500),0)</f>
        <v>1</v>
      </c>
      <c r="DC182" s="971">
        <f>(WWWW[[#This Row],['#_Constructed latrines_by_WASHAgencies]]+WWWW[[#This Row],['#_Non Cluster partner latrines]])-WWWW[[#This Row],['#_Non-functional latrines]]</f>
        <v>13</v>
      </c>
      <c r="DD182" s="619">
        <f>WWWW[[#This Row],[HRP2]]/WWWW[[#This Row],[Total PoP ]]</f>
        <v>1</v>
      </c>
      <c r="DE18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241</v>
      </c>
      <c r="DF18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2" s="421">
        <f>IF(WWWW[[#This Row],['# of functional latrines in THF supported by WASH partners during the reporting period2]]="",0,WWWW[[#This Row],['# of functional latrines in THF supported by WASH partners during the reporting period2]]*50)</f>
        <v>0</v>
      </c>
      <c r="DI182" s="971">
        <f>ROUND(IF(WWWW[[#This Row],[Location Type 1]]="camp",WWWW[[#This Row],[Total PoP ]]/20,IF(WWWW[[#This Row],[Location Type 1]]="Temporary Location",WWWW[[#This Row],[Total PoP ]]/50,(WWWW[[#This Row],[Total PoP ]]/6))),0)</f>
        <v>12</v>
      </c>
      <c r="DJ182" s="971">
        <f>IF(WWWW[[#This Row],[Total required Latrines]]-(WWWW[[#This Row],['#_Constructed latrines_by_WASHAgencies]]+WWWW[[#This Row],['#_Non Cluster partner latrines]])&lt;0,0,WWWW[[#This Row],[Total required Latrines]]-(WWWW[[#This Row],['#_Constructed latrines_by_WASHAgencies]]+WWWW[[#This Row],['#_Non Cluster partner latrines]]))</f>
        <v>0</v>
      </c>
      <c r="DK182" s="973">
        <f>1-WWWW[[#This Row],[% people access to functioning Latrine]]</f>
        <v>0</v>
      </c>
      <c r="DL182" s="972">
        <f>IF(OR(WWWW[[#This Row],['#_Non-functional latrines]]="",WWWW[[#This Row],['#_Non-functional latrines]]=0),0,WWWW[[#This Row],['#_Non-functional latrines]]/(WWWW[[#This Row],['#_Constructed latrines_by_WASHAgencies]]+WWWW[[#This Row],['#_Non Cluster partner latrines]]))</f>
        <v>0</v>
      </c>
      <c r="DM182" s="968">
        <f>IF(500*(WWWW[[#This Row],['#_male hygiene promoters]]+WWWW[[#This Row],['#_female hygiene promoters]])&gt;WWWW[[#This Row],[Total PoP ]],WWWW[[#This Row],[Total PoP ]],500*(WWWW[[#This Row],['#_male hygiene promoters]]+WWWW[[#This Row],['#_female hygiene promoters]]))</f>
        <v>0</v>
      </c>
      <c r="DN18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2" s="971">
        <f>IF(WWWW[[#This Row],['# People with access to soap]]&gt;WWWW[[#This Row],['# People with access to Sanity Pads]],WWWW[[#This Row],['# People with access to soap]],WWWW[[#This Row],['# People with access to Sanity Pads]])</f>
        <v>0</v>
      </c>
      <c r="DQ18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82" s="973">
        <f>IF(WWWW[[#This Row],[HRP3]]/WWWW[[#This Row],[Total PoP ]]&gt;1,1,WWWW[[#This Row],[HRP3]]/WWWW[[#This Row],[Total PoP ]])</f>
        <v>0</v>
      </c>
      <c r="DS182" s="972">
        <f>1-WWWW[[#This Row],[Hygiene Coverage%]]</f>
        <v>1</v>
      </c>
      <c r="DT182" s="970">
        <f>WWWW[[#This Row],['# people reached by regular dedicated hygiene promotion_5]]/WWWW[[#This Row],[Total PoP ]]</f>
        <v>0</v>
      </c>
      <c r="DU18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2" s="971">
        <f>WWWW[[#This Row],['#_Constructed/Existing hand washing stations]]-WWWW[[#This Row],['#_Non-Functional_hand_washing_stations]]</f>
        <v>1</v>
      </c>
      <c r="DX182" s="968">
        <f>IF(WWWW[[#This Row],['# Functional hand washing stations during reporting period]]*20&gt;WWWW[[#This Row],[Total HH]],WWWW[[#This Row],[Total HH]],WWWW[[#This Row],['# Functional hand washing stations during reporting period]]*20)</f>
        <v>20</v>
      </c>
      <c r="DY182" s="968">
        <f>IF(WWWW[[#This Row],[Is sufficient soap available for TLS? (Yes/No)]]="yes",WWWW[[#This Row],['#_Constructed/Existing hand washing stations at TLS/CFS/THF]],0)</f>
        <v>0</v>
      </c>
      <c r="DZ182" s="425">
        <f>IF(WWWW[[#This Row],['# Functional hand washing stations during reporting period]]*100&gt;WWWW[[#This Row],[Total PoP ]],WWWW[[#This Row],[Total PoP ]],WWWW[[#This Row],['# Functional hand washing stations during reporting period]]*100)</f>
        <v>100</v>
      </c>
      <c r="EA182" s="425" t="str">
        <f>IF(OR(WWWW[[#This Row],['#_students at TLS_CFS]]="",WWWW[[#This Row],['#_students at TLS_CFS]]=0),"No","Yes")</f>
        <v>No</v>
      </c>
      <c r="EB18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2" s="570">
        <f>WWWW[[#This Row],[%_of_affected_people_surveyed_who_report_feeling_satistfied_with_the_latrine_design_and_sanitation_service]]*WWWW[[#This Row],[Total PoP ]]</f>
        <v>0</v>
      </c>
      <c r="ED182" s="570">
        <f>WWWW[[#This Row],[%_of_affected_people_surveyed_who_report_feeling_satistfied_with_the_water_point_design_and_water_service]]*WWWW[[#This Row],[Total PoP ]]</f>
        <v>0</v>
      </c>
      <c r="EE182" s="570">
        <f>WWWW[[#This Row],[%_of_complaints_received_that_result_in_timely_corrective_action_and_feedback_to_the_community]]*WWWW[[#This Row],[Total PoP ]]</f>
        <v>0</v>
      </c>
      <c r="EF18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2" s="964" t="str">
        <f>VLOOKUP(WWWW[[#This Row],[Site Name]],SiteDB6[[Site Name]:[CCCM Management]],6,FALSE)</f>
        <v>Yes</v>
      </c>
      <c r="EJ182" s="964" t="str">
        <f>VLOOKUP(WWWW[[#This Row],[Site Name]],SiteDB6[[Site Name]:[CCCM Focal Agency]],7,FALSE)</f>
        <v>KBC-MYT</v>
      </c>
      <c r="EK182" s="964" t="str">
        <f>VLOOKUP(WWWW[[#This Row],[Site Name]],SiteDB6[[Site Name]:[Location Type 1]],9,FALSE)</f>
        <v>Camp</v>
      </c>
      <c r="EL182" s="964" t="str">
        <f>VLOOKUP(WWWW[[#This Row],[Site Name]],SiteDB6[[Site Name]:[Type of Accommodation]],10,FALSE)</f>
        <v>Camp</v>
      </c>
      <c r="EM182" s="964" t="str">
        <f>VLOOKUP(WWWW[[#This Row],[Site Name]],SiteDB6[[Site Name]:[Ethnic or GCA/NGCA]],11,FALSE)</f>
        <v>GCA</v>
      </c>
      <c r="EN182" s="964">
        <f>VLOOKUP(WWWW[[#This Row],[Site Name]],SiteDB6[[Site Name]:[Lat]],12,FALSE)</f>
        <v>25.437125999999999</v>
      </c>
      <c r="EO182" s="964">
        <f>VLOOKUP(WWWW[[#This Row],[Site Name]],SiteDB6[[Site Name]:[Long]],13,FALSE)</f>
        <v>97.387276</v>
      </c>
      <c r="EP182" s="964" t="str">
        <f>VLOOKUP(WWWW[[#This Row],[Site Name]],SiteDB6[[Site Name]:[Pcode]],3,FALSE)</f>
        <v>MMR001CMP005</v>
      </c>
      <c r="EQ182" s="969" t="str">
        <f t="shared" si="5"/>
        <v>Covered</v>
      </c>
      <c r="ER182" s="969" t="s">
        <v>3147</v>
      </c>
      <c r="ES182" s="964">
        <f>VLOOKUP(WWWW[[#This Row],[Site Name]],SiteDB6[[Site Name]:[Pop
(Kachin/Shan-CCCM as of March 2023)]],16,FALSE)</f>
        <v>47</v>
      </c>
      <c r="ET182" s="964">
        <f>VLOOKUP(WWWW[[#This Row],[Site Name]],SiteDB6[[Site Name]:[Pop
(Kachin/Shan-CCCM as of March 2023)]],17,FALSE)</f>
        <v>240</v>
      </c>
    </row>
    <row r="183" spans="1:150" hidden="1">
      <c r="A183" s="962" t="s">
        <v>2977</v>
      </c>
      <c r="B183" s="963" t="s">
        <v>141</v>
      </c>
      <c r="C183" s="963" t="s">
        <v>141</v>
      </c>
      <c r="D183" s="963" t="s">
        <v>241</v>
      </c>
      <c r="E183" s="963" t="s">
        <v>37</v>
      </c>
      <c r="F183" s="963" t="s">
        <v>159</v>
      </c>
      <c r="G183" s="964" t="str">
        <f>VLOOKUP(WWWW[[#This Row],[Site Name]],SiteDB6[[Site Name]:[Location Type]],8,FALSE)</f>
        <v>Camp</v>
      </c>
      <c r="H183" s="963" t="s">
        <v>1614</v>
      </c>
      <c r="I183" s="965">
        <v>156</v>
      </c>
      <c r="J183" s="965">
        <v>973</v>
      </c>
      <c r="K183" s="966">
        <v>44811</v>
      </c>
      <c r="L183" s="967">
        <v>45175</v>
      </c>
      <c r="M183" s="965"/>
      <c r="N183" s="965">
        <v>2</v>
      </c>
      <c r="O183" s="965"/>
      <c r="P183" s="965"/>
      <c r="Q183" s="968" t="s">
        <v>41</v>
      </c>
      <c r="R183" s="965">
        <v>2</v>
      </c>
      <c r="S183" s="965">
        <v>3</v>
      </c>
      <c r="T183" s="445">
        <v>2</v>
      </c>
      <c r="U183" s="965"/>
      <c r="V183" s="965"/>
      <c r="W183" s="965">
        <v>3</v>
      </c>
      <c r="X183" s="965"/>
      <c r="Y183" s="965"/>
      <c r="Z183" s="965"/>
      <c r="AA183" s="965"/>
      <c r="AB183" s="965"/>
      <c r="AC183" s="965"/>
      <c r="AD183" s="965"/>
      <c r="AE183" s="965"/>
      <c r="AF183" s="965"/>
      <c r="AG183" s="965"/>
      <c r="AH183" s="965">
        <v>4</v>
      </c>
      <c r="AI183" s="965"/>
      <c r="AJ183" s="965"/>
      <c r="AK183" s="965"/>
      <c r="AL183" s="965"/>
      <c r="AM183" s="965"/>
      <c r="AN183" s="965"/>
      <c r="AO183" s="445"/>
      <c r="AP183" s="969"/>
      <c r="AQ183" s="965">
        <v>28</v>
      </c>
      <c r="AR183" s="965"/>
      <c r="AS183" s="970"/>
      <c r="AT183" s="965"/>
      <c r="AU183" s="965"/>
      <c r="AV183" s="965"/>
      <c r="AW183" s="965"/>
      <c r="AX183" s="965">
        <v>10</v>
      </c>
      <c r="AY183" s="964" t="s">
        <v>41</v>
      </c>
      <c r="AZ183" s="969" t="s">
        <v>137</v>
      </c>
      <c r="BA183" s="965"/>
      <c r="BB183" s="965"/>
      <c r="BC183" s="965"/>
      <c r="BD183" s="445"/>
      <c r="BE183" s="445"/>
      <c r="BF183" s="964"/>
      <c r="BG183" s="965">
        <v>3</v>
      </c>
      <c r="BH183" s="965"/>
      <c r="BI183" s="965"/>
      <c r="BJ183" s="965">
        <v>2</v>
      </c>
      <c r="BK183" s="965"/>
      <c r="BL183" s="965">
        <v>1</v>
      </c>
      <c r="BM183" s="965"/>
      <c r="BN183" s="965"/>
      <c r="BO183" s="965"/>
      <c r="BP183" s="964"/>
      <c r="BQ183" s="971"/>
      <c r="BR183" s="970"/>
      <c r="BS183" s="964"/>
      <c r="BT183" s="420"/>
      <c r="BU183" s="420"/>
      <c r="BV183" s="422"/>
      <c r="BW183" s="420"/>
      <c r="BX183" s="445"/>
      <c r="BY183" s="445"/>
      <c r="BZ183" s="445"/>
      <c r="CA183" s="445"/>
      <c r="CB183" s="445"/>
      <c r="CC183" s="702"/>
      <c r="CD183" s="445"/>
      <c r="CE183" s="972" t="str">
        <f>IFERROR(WWWW[[#This Row],['#_Water sources passed]]/WWWW[[#This Row],['#_Water sources tested for fecal coliform ]],"no test")</f>
        <v>no test</v>
      </c>
      <c r="CF183" s="970" t="str">
        <f>IFERROR(WWWW[[#This Row],['#_Household passed]]/WWWW[[#This Row],['#_Household water samples tested for fecal coliform]],"no test")</f>
        <v>no test</v>
      </c>
      <c r="CG183" s="971" t="str">
        <f>IF(AND(WWWW[[#This Row],[% of water sources passed]]="no test",WWWW[[#This Row],[% Household passed]]="no test"),"No Test","Tested")</f>
        <v>No Test</v>
      </c>
      <c r="CH183" s="971">
        <f>WWWW[[#This Row],['#_Constructed/existing protected hand dug well]]-WWWW[[#This Row],['#_Non-functional protected hand dug well]]</f>
        <v>2</v>
      </c>
      <c r="CI183" s="971">
        <f>(WWWW[[#This Row],['#_Constructed/Existing tube wells/boreholes/handpumps_WASH_agency]]+WWWW[[#This Row],['#_Non-Cluster partner water tube-wells/boreholes/handpumps]])-WWWW[[#This Row],['#_Non-functional tube wells/boreholes/handpumps]]</f>
        <v>3</v>
      </c>
      <c r="CJ183" s="971">
        <f>WWWW[[#This Row],['#_Constructed/Existingwater storage tank with gravity fed reticulation system]]-WWWW[[#This Row],['#_Non-functional storage tank gravity fed reticulation system]]</f>
        <v>0</v>
      </c>
      <c r="CK183" s="971">
        <f>(WWWW[[#This Row],['#_Water_Liters_supplied_by_Water boating or water trucking]]/90)/15</f>
        <v>0</v>
      </c>
      <c r="CL183" s="971">
        <f>WWWW[[#This Row],['#_Water_Liters_from_Constructed/Existing water distribution system from river or natural spring]]/90/15</f>
        <v>0</v>
      </c>
      <c r="CM183" s="421">
        <f>IF(WWWW[[#This Row],['#_of water points in TLS/CFS]]*500&gt;WWWW[[#This Row],[Total PoP ]],WWWW[[#This Row],[Total PoP ]],WWWW[[#This Row],['#_of water points in TLS/CFS]]*500)</f>
        <v>0</v>
      </c>
      <c r="CN183" s="421">
        <f>IF(WWWW[[#This Row],['#_of water points in THF]]*500&gt;WWWW[[#This Row],[Total PoP ]],WWWW[[#This Row],[Total PoP ]],WWWW[[#This Row],['#_of water points in THF]]*500)</f>
        <v>0</v>
      </c>
      <c r="CO183" s="421"/>
      <c r="CP18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3" s="970">
        <f>IF(WWWW[[#This Row],[Location Type 1]]="Village",WWWW[[#This Row],[Access to safe drinking water for Village]],WWWW[[#This Row],[Access to safe drinking water for Camp]])</f>
        <v>1</v>
      </c>
      <c r="CS183" s="968">
        <f>WWWW[[#This Row],[%Equitable and continuous access to sufficient quantity of safe drinking water]]*WWWW[[#This Row],[Total PoP ]]</f>
        <v>973</v>
      </c>
      <c r="CT183" s="970">
        <f>IF((WWWW[[#This Row],['#_Constructed/Existing protected/fenced ponds]]*250)/WWWW[[#This Row],[Total PoP ]]&gt;1,1,(WWWW[[#This Row],['#_Constructed/Existing protected/fenced ponds]]*250)/WWWW[[#This Row],[Total PoP ]])</f>
        <v>0</v>
      </c>
      <c r="CU183" s="968">
        <f>WWWW[[#This Row],[% Access to unimproved water points]]*WWWW[[#This Row],[Total PoP ]]</f>
        <v>0</v>
      </c>
      <c r="CV18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973</v>
      </c>
      <c r="CX183" s="968">
        <f>WWWW[[#This Row],[HRP1]]/500</f>
        <v>1.946</v>
      </c>
      <c r="CY183" s="973">
        <f>1-WWWW[[#This Row],[% Equitable and continuous access to sufficient quantity of domestic water]]</f>
        <v>0</v>
      </c>
      <c r="CZ183" s="968">
        <f>WWWW[[#This Row],[%equitable and continuous access to sufficient quantity of safe drinking and domestic water''s GAP]]*WWWW[[#This Row],[Total PoP ]]</f>
        <v>0</v>
      </c>
      <c r="DA183" s="971">
        <f>IF(WWWW[[#This Row],[Total required water points]]-WWWW[[#This Row],['#Water points coverage]]&lt;0,0,WWWW[[#This Row],[Total required water points]]-WWWW[[#This Row],['#Water points coverage]])</f>
        <v>5.4000000000000048E-2</v>
      </c>
      <c r="DB183" s="971">
        <f>ROUND(IF(WWWW[[#This Row],[Total PoP ]]&lt;500,1,WWWW[[#This Row],[Total PoP ]]/500),0)</f>
        <v>2</v>
      </c>
      <c r="DC183" s="971">
        <f>(WWWW[[#This Row],['#_Constructed latrines_by_WASHAgencies]]+WWWW[[#This Row],['#_Non Cluster partner latrines]])-WWWW[[#This Row],['#_Non-functional latrines]]</f>
        <v>28</v>
      </c>
      <c r="DD183" s="619">
        <f>WWWW[[#This Row],[HRP2]]/WWWW[[#This Row],[Total PoP ]]</f>
        <v>0.57553956834532372</v>
      </c>
      <c r="DE18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18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3" s="421">
        <f>IF(WWWW[[#This Row],['# of functional latrines in THF supported by WASH partners during the reporting period2]]="",0,WWWW[[#This Row],['# of functional latrines in THF supported by WASH partners during the reporting period2]]*50)</f>
        <v>0</v>
      </c>
      <c r="DI183" s="971">
        <f>ROUND(IF(WWWW[[#This Row],[Location Type 1]]="camp",WWWW[[#This Row],[Total PoP ]]/20,IF(WWWW[[#This Row],[Location Type 1]]="Temporary Location",WWWW[[#This Row],[Total PoP ]]/50,(WWWW[[#This Row],[Total PoP ]]/6))),0)</f>
        <v>49</v>
      </c>
      <c r="DJ183" s="971">
        <f>IF(WWWW[[#This Row],[Total required Latrines]]-(WWWW[[#This Row],['#_Constructed latrines_by_WASHAgencies]]+WWWW[[#This Row],['#_Non Cluster partner latrines]])&lt;0,0,WWWW[[#This Row],[Total required Latrines]]-(WWWW[[#This Row],['#_Constructed latrines_by_WASHAgencies]]+WWWW[[#This Row],['#_Non Cluster partner latrines]]))</f>
        <v>21</v>
      </c>
      <c r="DK183" s="973">
        <f>1-WWWW[[#This Row],[% people access to functioning Latrine]]</f>
        <v>0.42446043165467628</v>
      </c>
      <c r="DL183" s="972">
        <f>IF(OR(WWWW[[#This Row],['#_Non-functional latrines]]="",WWWW[[#This Row],['#_Non-functional latrines]]=0),0,WWWW[[#This Row],['#_Non-functional latrines]]/(WWWW[[#This Row],['#_Constructed latrines_by_WASHAgencies]]+WWWW[[#This Row],['#_Non Cluster partner latrines]]))</f>
        <v>0</v>
      </c>
      <c r="DM183" s="968">
        <f>IF(500*(WWWW[[#This Row],['#_male hygiene promoters]]+WWWW[[#This Row],['#_female hygiene promoters]])&gt;WWWW[[#This Row],[Total PoP ]],WWWW[[#This Row],[Total PoP ]],500*(WWWW[[#This Row],['#_male hygiene promoters]]+WWWW[[#This Row],['#_female hygiene promoters]]))</f>
        <v>500</v>
      </c>
      <c r="DN18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3" s="971">
        <f>IF(WWWW[[#This Row],['# People with access to soap]]&gt;WWWW[[#This Row],['# People with access to Sanity Pads]],WWWW[[#This Row],['# People with access to soap]],WWWW[[#This Row],['# People with access to Sanity Pads]])</f>
        <v>0</v>
      </c>
      <c r="DQ183"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83" s="973">
        <f>IF(WWWW[[#This Row],[HRP3]]/WWWW[[#This Row],[Total PoP ]]&gt;1,1,WWWW[[#This Row],[HRP3]]/WWWW[[#This Row],[Total PoP ]])</f>
        <v>0.51387461459403905</v>
      </c>
      <c r="DS183" s="972">
        <f>1-WWWW[[#This Row],[Hygiene Coverage%]]</f>
        <v>0.48612538540596095</v>
      </c>
      <c r="DT183" s="970">
        <f>WWWW[[#This Row],['# people reached by regular dedicated hygiene promotion_5]]/WWWW[[#This Row],[Total PoP ]]</f>
        <v>0.51387461459403905</v>
      </c>
      <c r="DU18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3" s="971">
        <f>WWWW[[#This Row],['#_Constructed/Existing hand washing stations]]-WWWW[[#This Row],['#_Non-Functional_hand_washing_stations]]</f>
        <v>3</v>
      </c>
      <c r="DX183" s="968">
        <f>IF(WWWW[[#This Row],['# Functional hand washing stations during reporting period]]*20&gt;WWWW[[#This Row],[Total HH]],WWWW[[#This Row],[Total HH]],WWWW[[#This Row],['# Functional hand washing stations during reporting period]]*20)</f>
        <v>60</v>
      </c>
      <c r="DY183" s="968">
        <f>IF(WWWW[[#This Row],[Is sufficient soap available for TLS? (Yes/No)]]="yes",WWWW[[#This Row],['#_Constructed/Existing hand washing stations at TLS/CFS/THF]],0)</f>
        <v>0</v>
      </c>
      <c r="DZ183" s="425">
        <f>IF(WWWW[[#This Row],['# Functional hand washing stations during reporting period]]*100&gt;WWWW[[#This Row],[Total PoP ]],WWWW[[#This Row],[Total PoP ]],WWWW[[#This Row],['# Functional hand washing stations during reporting period]]*100)</f>
        <v>300</v>
      </c>
      <c r="EA183" s="425" t="str">
        <f>IF(OR(WWWW[[#This Row],['#_students at TLS_CFS]]="",WWWW[[#This Row],['#_students at TLS_CFS]]=0),"No","Yes")</f>
        <v>No</v>
      </c>
      <c r="EB18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3" s="570">
        <f>WWWW[[#This Row],[%_of_affected_people_surveyed_who_report_feeling_satistfied_with_the_latrine_design_and_sanitation_service]]*WWWW[[#This Row],[Total PoP ]]</f>
        <v>0</v>
      </c>
      <c r="ED183" s="570">
        <f>WWWW[[#This Row],[%_of_affected_people_surveyed_who_report_feeling_satistfied_with_the_water_point_design_and_water_service]]*WWWW[[#This Row],[Total PoP ]]</f>
        <v>0</v>
      </c>
      <c r="EE183" s="570">
        <f>WWWW[[#This Row],[%_of_complaints_received_that_result_in_timely_corrective_action_and_feedback_to_the_community]]*WWWW[[#This Row],[Total PoP ]]</f>
        <v>0</v>
      </c>
      <c r="EF18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3" s="964" t="str">
        <f>VLOOKUP(WWWW[[#This Row],[Site Name]],SiteDB6[[Site Name]:[CCCM Management]],6,FALSE)</f>
        <v>Yes</v>
      </c>
      <c r="EJ183" s="964" t="str">
        <f>VLOOKUP(WWWW[[#This Row],[Site Name]],SiteDB6[[Site Name]:[CCCM Focal Agency]],7,FALSE)</f>
        <v>KBC-MYT</v>
      </c>
      <c r="EK183" s="964" t="str">
        <f>VLOOKUP(WWWW[[#This Row],[Site Name]],SiteDB6[[Site Name]:[Location Type 1]],9,FALSE)</f>
        <v>Camp</v>
      </c>
      <c r="EL183" s="964" t="str">
        <f>VLOOKUP(WWWW[[#This Row],[Site Name]],SiteDB6[[Site Name]:[Type of Accommodation]],10,FALSE)</f>
        <v>Camp</v>
      </c>
      <c r="EM183" s="964" t="str">
        <f>VLOOKUP(WWWW[[#This Row],[Site Name]],SiteDB6[[Site Name]:[Ethnic or GCA/NGCA]],11,FALSE)</f>
        <v>GCA</v>
      </c>
      <c r="EN183" s="964">
        <f>VLOOKUP(WWWW[[#This Row],[Site Name]],SiteDB6[[Site Name]:[Lat]],12,FALSE)</f>
        <v>25.480989999999998</v>
      </c>
      <c r="EO183" s="964">
        <f>VLOOKUP(WWWW[[#This Row],[Site Name]],SiteDB6[[Site Name]:[Long]],13,FALSE)</f>
        <v>97.431079999999994</v>
      </c>
      <c r="EP183" s="964" t="str">
        <f>VLOOKUP(WWWW[[#This Row],[Site Name]],SiteDB6[[Site Name]:[Pcode]],3,FALSE)</f>
        <v>MMR001CMP263</v>
      </c>
      <c r="EQ183" s="969" t="str">
        <f t="shared" si="5"/>
        <v>Covered</v>
      </c>
      <c r="ER183" s="969" t="s">
        <v>3147</v>
      </c>
      <c r="ES183" s="964">
        <f>VLOOKUP(WWWW[[#This Row],[Site Name]],SiteDB6[[Site Name]:[Pop
(Kachin/Shan-CCCM as of March 2023)]],16,FALSE)</f>
        <v>197</v>
      </c>
      <c r="ET183" s="964">
        <f>VLOOKUP(WWWW[[#This Row],[Site Name]],SiteDB6[[Site Name]:[Pop
(Kachin/Shan-CCCM as of March 2023)]],17,FALSE)</f>
        <v>981</v>
      </c>
    </row>
    <row r="184" spans="1:150" hidden="1">
      <c r="A184" s="962" t="s">
        <v>2977</v>
      </c>
      <c r="B184" s="962" t="s">
        <v>192</v>
      </c>
      <c r="C184" s="962" t="s">
        <v>192</v>
      </c>
      <c r="D184" s="963" t="s">
        <v>2899</v>
      </c>
      <c r="E184" s="963" t="s">
        <v>37</v>
      </c>
      <c r="F184" s="963" t="s">
        <v>214</v>
      </c>
      <c r="G184" s="964" t="str">
        <f>VLOOKUP(WWWW[[#This Row],[Site Name]],SiteDB6[[Site Name]:[Location Type]],8,FALSE)</f>
        <v>Camp</v>
      </c>
      <c r="H184" s="963" t="s">
        <v>216</v>
      </c>
      <c r="I184" s="965">
        <v>43</v>
      </c>
      <c r="J184" s="965">
        <v>182</v>
      </c>
      <c r="K184" s="966" t="s">
        <v>3154</v>
      </c>
      <c r="L184" s="967" t="s">
        <v>3155</v>
      </c>
      <c r="M184" s="965"/>
      <c r="N184" s="965"/>
      <c r="O184" s="965"/>
      <c r="P184" s="965"/>
      <c r="Q184" s="968" t="s">
        <v>41</v>
      </c>
      <c r="R184" s="965">
        <v>1</v>
      </c>
      <c r="S184" s="965">
        <v>3</v>
      </c>
      <c r="T184" s="445"/>
      <c r="U184" s="965"/>
      <c r="V184" s="965"/>
      <c r="W184" s="965">
        <v>2</v>
      </c>
      <c r="X184" s="965"/>
      <c r="Y184" s="965"/>
      <c r="Z184" s="965"/>
      <c r="AA184" s="965"/>
      <c r="AB184" s="965"/>
      <c r="AC184" s="965"/>
      <c r="AD184" s="965"/>
      <c r="AE184" s="965"/>
      <c r="AF184" s="965"/>
      <c r="AG184" s="965">
        <v>1</v>
      </c>
      <c r="AH184" s="965"/>
      <c r="AI184" s="965"/>
      <c r="AJ184" s="965"/>
      <c r="AK184" s="965"/>
      <c r="AL184" s="965"/>
      <c r="AM184" s="965"/>
      <c r="AN184" s="965"/>
      <c r="AO184" s="445"/>
      <c r="AP184" s="969"/>
      <c r="AQ184" s="965">
        <v>10</v>
      </c>
      <c r="AR184" s="965"/>
      <c r="AS184" s="970"/>
      <c r="AT184" s="965"/>
      <c r="AU184" s="965"/>
      <c r="AV184" s="965"/>
      <c r="AW184" s="965"/>
      <c r="AX184" s="965"/>
      <c r="AY184" s="964" t="s">
        <v>41</v>
      </c>
      <c r="AZ184" s="969" t="s">
        <v>137</v>
      </c>
      <c r="BA184" s="965"/>
      <c r="BB184" s="965"/>
      <c r="BC184" s="965"/>
      <c r="BD184" s="445"/>
      <c r="BE184" s="445"/>
      <c r="BF184" s="964"/>
      <c r="BG184" s="965">
        <v>3</v>
      </c>
      <c r="BH184" s="965"/>
      <c r="BI184" s="965"/>
      <c r="BJ184" s="965">
        <v>2</v>
      </c>
      <c r="BK184" s="965"/>
      <c r="BL184" s="965"/>
      <c r="BM184" s="965"/>
      <c r="BN184" s="965"/>
      <c r="BO184" s="965"/>
      <c r="BP184" s="964"/>
      <c r="BQ184" s="971"/>
      <c r="BR184" s="970"/>
      <c r="BS184" s="964"/>
      <c r="BT184" s="420"/>
      <c r="BU184" s="420"/>
      <c r="BV184" s="422"/>
      <c r="BW184" s="420"/>
      <c r="BX184" s="445"/>
      <c r="BY184" s="445"/>
      <c r="BZ184" s="445"/>
      <c r="CA184" s="445"/>
      <c r="CB184" s="445"/>
      <c r="CC184" s="702"/>
      <c r="CD184" s="445"/>
      <c r="CE184" s="972" t="str">
        <f>IFERROR(WWWW[[#This Row],['#_Water sources passed]]/WWWW[[#This Row],['#_Water sources tested for fecal coliform ]],"no test")</f>
        <v>no test</v>
      </c>
      <c r="CF184" s="970" t="str">
        <f>IFERROR(WWWW[[#This Row],['#_Household passed]]/WWWW[[#This Row],['#_Household water samples tested for fecal coliform]],"no test")</f>
        <v>no test</v>
      </c>
      <c r="CG184" s="971" t="str">
        <f>IF(AND(WWWW[[#This Row],[% of water sources passed]]="no test",WWWW[[#This Row],[% Household passed]]="no test"),"No Test","Tested")</f>
        <v>No Test</v>
      </c>
      <c r="CH184" s="971">
        <f>WWWW[[#This Row],['#_Constructed/existing protected hand dug well]]-WWWW[[#This Row],['#_Non-functional protected hand dug well]]</f>
        <v>0</v>
      </c>
      <c r="CI184" s="971">
        <f>(WWWW[[#This Row],['#_Constructed/Existing tube wells/boreholes/handpumps_WASH_agency]]+WWWW[[#This Row],['#_Non-Cluster partner water tube-wells/boreholes/handpumps]])-WWWW[[#This Row],['#_Non-functional tube wells/boreholes/handpumps]]</f>
        <v>2</v>
      </c>
      <c r="CJ184" s="971">
        <f>WWWW[[#This Row],['#_Constructed/Existingwater storage tank with gravity fed reticulation system]]-WWWW[[#This Row],['#_Non-functional storage tank gravity fed reticulation system]]</f>
        <v>0</v>
      </c>
      <c r="CK184" s="971">
        <f>(WWWW[[#This Row],['#_Water_Liters_supplied_by_Water boating or water trucking]]/90)/15</f>
        <v>0</v>
      </c>
      <c r="CL184" s="971">
        <f>WWWW[[#This Row],['#_Water_Liters_from_Constructed/Existing water distribution system from river or natural spring]]/90/15</f>
        <v>0</v>
      </c>
      <c r="CM184" s="421">
        <f>IF(WWWW[[#This Row],['#_of water points in TLS/CFS]]*500&gt;WWWW[[#This Row],[Total PoP ]],WWWW[[#This Row],[Total PoP ]],WWWW[[#This Row],['#_of water points in TLS/CFS]]*500)</f>
        <v>0</v>
      </c>
      <c r="CN184" s="421">
        <f>IF(WWWW[[#This Row],['#_of water points in THF]]*500&gt;WWWW[[#This Row],[Total PoP ]],WWWW[[#This Row],[Total PoP ]],WWWW[[#This Row],['#_of water points in THF]]*500)</f>
        <v>0</v>
      </c>
      <c r="CO184" s="421"/>
      <c r="CP18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4" s="970">
        <f>IF(WWWW[[#This Row],[Location Type 1]]="Village",WWWW[[#This Row],[Access to safe drinking water for Village]],WWWW[[#This Row],[Access to safe drinking water for Camp]])</f>
        <v>1</v>
      </c>
      <c r="CS184" s="968">
        <f>WWWW[[#This Row],[%Equitable and continuous access to sufficient quantity of safe drinking water]]*WWWW[[#This Row],[Total PoP ]]</f>
        <v>182</v>
      </c>
      <c r="CT184" s="970">
        <f>IF((WWWW[[#This Row],['#_Constructed/Existing protected/fenced ponds]]*250)/WWWW[[#This Row],[Total PoP ]]&gt;1,1,(WWWW[[#This Row],['#_Constructed/Existing protected/fenced ponds]]*250)/WWWW[[#This Row],[Total PoP ]])</f>
        <v>0</v>
      </c>
      <c r="CU184" s="968">
        <f>WWWW[[#This Row],[% Access to unimproved water points]]*WWWW[[#This Row],[Total PoP ]]</f>
        <v>0</v>
      </c>
      <c r="CV18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X184" s="968">
        <f>WWWW[[#This Row],[HRP1]]/500</f>
        <v>0.36399999999999999</v>
      </c>
      <c r="CY184" s="973">
        <f>1-WWWW[[#This Row],[% Equitable and continuous access to sufficient quantity of domestic water]]</f>
        <v>0</v>
      </c>
      <c r="CZ184" s="968">
        <f>WWWW[[#This Row],[%equitable and continuous access to sufficient quantity of safe drinking and domestic water''s GAP]]*WWWW[[#This Row],[Total PoP ]]</f>
        <v>0</v>
      </c>
      <c r="DA184" s="971">
        <f>IF(WWWW[[#This Row],[Total required water points]]-WWWW[[#This Row],['#Water points coverage]]&lt;0,0,WWWW[[#This Row],[Total required water points]]-WWWW[[#This Row],['#Water points coverage]])</f>
        <v>0.63600000000000001</v>
      </c>
      <c r="DB184" s="971">
        <f>ROUND(IF(WWWW[[#This Row],[Total PoP ]]&lt;500,1,WWWW[[#This Row],[Total PoP ]]/500),0)</f>
        <v>1</v>
      </c>
      <c r="DC184" s="971">
        <f>(WWWW[[#This Row],['#_Constructed latrines_by_WASHAgencies]]+WWWW[[#This Row],['#_Non Cluster partner latrines]])-WWWW[[#This Row],['#_Non-functional latrines]]</f>
        <v>10</v>
      </c>
      <c r="DD184" s="619">
        <f>WWWW[[#This Row],[HRP2]]/WWWW[[#This Row],[Total PoP ]]</f>
        <v>1</v>
      </c>
      <c r="DE18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18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4" s="421">
        <f>IF(WWWW[[#This Row],['# of functional latrines in THF supported by WASH partners during the reporting period2]]="",0,WWWW[[#This Row],['# of functional latrines in THF supported by WASH partners during the reporting period2]]*50)</f>
        <v>0</v>
      </c>
      <c r="DI184" s="971">
        <f>ROUND(IF(WWWW[[#This Row],[Location Type 1]]="camp",WWWW[[#This Row],[Total PoP ]]/20,IF(WWWW[[#This Row],[Location Type 1]]="Temporary Location",WWWW[[#This Row],[Total PoP ]]/50,(WWWW[[#This Row],[Total PoP ]]/6))),0)</f>
        <v>9</v>
      </c>
      <c r="DJ184" s="971">
        <f>IF(WWWW[[#This Row],[Total required Latrines]]-(WWWW[[#This Row],['#_Constructed latrines_by_WASHAgencies]]+WWWW[[#This Row],['#_Non Cluster partner latrines]])&lt;0,0,WWWW[[#This Row],[Total required Latrines]]-(WWWW[[#This Row],['#_Constructed latrines_by_WASHAgencies]]+WWWW[[#This Row],['#_Non Cluster partner latrines]]))</f>
        <v>0</v>
      </c>
      <c r="DK184" s="973">
        <f>1-WWWW[[#This Row],[% people access to functioning Latrine]]</f>
        <v>0</v>
      </c>
      <c r="DL184" s="972">
        <f>IF(OR(WWWW[[#This Row],['#_Non-functional latrines]]="",WWWW[[#This Row],['#_Non-functional latrines]]=0),0,WWWW[[#This Row],['#_Non-functional latrines]]/(WWWW[[#This Row],['#_Constructed latrines_by_WASHAgencies]]+WWWW[[#This Row],['#_Non Cluster partner latrines]]))</f>
        <v>0</v>
      </c>
      <c r="DM184" s="968">
        <f>IF(500*(WWWW[[#This Row],['#_male hygiene promoters]]+WWWW[[#This Row],['#_female hygiene promoters]])&gt;WWWW[[#This Row],[Total PoP ]],WWWW[[#This Row],[Total PoP ]],500*(WWWW[[#This Row],['#_male hygiene promoters]]+WWWW[[#This Row],['#_female hygiene promoters]]))</f>
        <v>0</v>
      </c>
      <c r="DN18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4" s="971">
        <f>IF(WWWW[[#This Row],['# People with access to soap]]&gt;WWWW[[#This Row],['# People with access to Sanity Pads]],WWWW[[#This Row],['# People with access to soap]],WWWW[[#This Row],['# People with access to Sanity Pads]])</f>
        <v>0</v>
      </c>
      <c r="DQ184"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84" s="973">
        <f>IF(WWWW[[#This Row],[HRP3]]/WWWW[[#This Row],[Total PoP ]]&gt;1,1,WWWW[[#This Row],[HRP3]]/WWWW[[#This Row],[Total PoP ]])</f>
        <v>0</v>
      </c>
      <c r="DS184" s="972">
        <f>1-WWWW[[#This Row],[Hygiene Coverage%]]</f>
        <v>1</v>
      </c>
      <c r="DT184" s="970">
        <f>WWWW[[#This Row],['# people reached by regular dedicated hygiene promotion_5]]/WWWW[[#This Row],[Total PoP ]]</f>
        <v>0</v>
      </c>
      <c r="DU18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4" s="971">
        <f>WWWW[[#This Row],['#_Constructed/Existing hand washing stations]]-WWWW[[#This Row],['#_Non-Functional_hand_washing_stations]]</f>
        <v>3</v>
      </c>
      <c r="DX184" s="968">
        <f>IF(WWWW[[#This Row],['# Functional hand washing stations during reporting period]]*20&gt;WWWW[[#This Row],[Total HH]],WWWW[[#This Row],[Total HH]],WWWW[[#This Row],['# Functional hand washing stations during reporting period]]*20)</f>
        <v>43</v>
      </c>
      <c r="DY184" s="968">
        <f>IF(WWWW[[#This Row],[Is sufficient soap available for TLS? (Yes/No)]]="yes",WWWW[[#This Row],['#_Constructed/Existing hand washing stations at TLS/CFS/THF]],0)</f>
        <v>0</v>
      </c>
      <c r="DZ184" s="425">
        <f>IF(WWWW[[#This Row],['# Functional hand washing stations during reporting period]]*100&gt;WWWW[[#This Row],[Total PoP ]],WWWW[[#This Row],[Total PoP ]],WWWW[[#This Row],['# Functional hand washing stations during reporting period]]*100)</f>
        <v>182</v>
      </c>
      <c r="EA184" s="425" t="str">
        <f>IF(OR(WWWW[[#This Row],['#_students at TLS_CFS]]="",WWWW[[#This Row],['#_students at TLS_CFS]]=0),"No","Yes")</f>
        <v>No</v>
      </c>
      <c r="EB18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4" s="570">
        <f>WWWW[[#This Row],[%_of_affected_people_surveyed_who_report_feeling_satistfied_with_the_latrine_design_and_sanitation_service]]*WWWW[[#This Row],[Total PoP ]]</f>
        <v>0</v>
      </c>
      <c r="ED184" s="570">
        <f>WWWW[[#This Row],[%_of_affected_people_surveyed_who_report_feeling_satistfied_with_the_water_point_design_and_water_service]]*WWWW[[#This Row],[Total PoP ]]</f>
        <v>0</v>
      </c>
      <c r="EE184" s="570">
        <f>WWWW[[#This Row],[%_of_complaints_received_that_result_in_timely_corrective_action_and_feedback_to_the_community]]*WWWW[[#This Row],[Total PoP ]]</f>
        <v>0</v>
      </c>
      <c r="EF18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4" s="964" t="str">
        <f>VLOOKUP(WWWW[[#This Row],[Site Name]],SiteDB6[[Site Name]:[CCCM Management]],6,FALSE)</f>
        <v>Yes</v>
      </c>
      <c r="EJ184" s="964" t="str">
        <f>VLOOKUP(WWWW[[#This Row],[Site Name]],SiteDB6[[Site Name]:[CCCM Focal Agency]],7,FALSE)</f>
        <v>KMSS-BMO</v>
      </c>
      <c r="EK184" s="964" t="str">
        <f>VLOOKUP(WWWW[[#This Row],[Site Name]],SiteDB6[[Site Name]:[Location Type 1]],9,FALSE)</f>
        <v>Camp</v>
      </c>
      <c r="EL184" s="964" t="str">
        <f>VLOOKUP(WWWW[[#This Row],[Site Name]],SiteDB6[[Site Name]:[Type of Accommodation]],10,FALSE)</f>
        <v>Camp</v>
      </c>
      <c r="EM184" s="964" t="str">
        <f>VLOOKUP(WWWW[[#This Row],[Site Name]],SiteDB6[[Site Name]:[Ethnic or GCA/NGCA]],11,FALSE)</f>
        <v>GCA</v>
      </c>
      <c r="EN184" s="964">
        <f>VLOOKUP(WWWW[[#This Row],[Site Name]],SiteDB6[[Site Name]:[Lat]],12,FALSE)</f>
        <v>24.200367</v>
      </c>
      <c r="EO184" s="964">
        <f>VLOOKUP(WWWW[[#This Row],[Site Name]],SiteDB6[[Site Name]:[Long]],13,FALSE)</f>
        <v>96.807353000000006</v>
      </c>
      <c r="EP184" s="964" t="str">
        <f>VLOOKUP(WWWW[[#This Row],[Site Name]],SiteDB6[[Site Name]:[Pcode]],3,FALSE)</f>
        <v>MMR001CMP068</v>
      </c>
      <c r="EQ184" s="969" t="str">
        <f t="shared" si="5"/>
        <v>Covered</v>
      </c>
      <c r="ER184" s="969" t="s">
        <v>3147</v>
      </c>
      <c r="ES184" s="964">
        <f>VLOOKUP(WWWW[[#This Row],[Site Name]],SiteDB6[[Site Name]:[Pop
(Kachin/Shan-CCCM as of March 2023)]],16,FALSE)</f>
        <v>33</v>
      </c>
      <c r="ET184" s="964">
        <f>VLOOKUP(WWWW[[#This Row],[Site Name]],SiteDB6[[Site Name]:[Pop
(Kachin/Shan-CCCM as of March 2023)]],17,FALSE)</f>
        <v>152</v>
      </c>
    </row>
    <row r="185" spans="1:150" hidden="1">
      <c r="A185" s="962" t="s">
        <v>2977</v>
      </c>
      <c r="B185" s="963" t="s">
        <v>141</v>
      </c>
      <c r="C185" s="963" t="s">
        <v>141</v>
      </c>
      <c r="D185" s="963" t="s">
        <v>241</v>
      </c>
      <c r="E185" s="963" t="s">
        <v>37</v>
      </c>
      <c r="F185" s="963" t="s">
        <v>184</v>
      </c>
      <c r="G185" s="964" t="str">
        <f>VLOOKUP(WWWW[[#This Row],[Site Name]],SiteDB6[[Site Name]:[Location Type]],8,FALSE)</f>
        <v>Camp</v>
      </c>
      <c r="H185" s="963" t="s">
        <v>185</v>
      </c>
      <c r="I185" s="965">
        <v>116</v>
      </c>
      <c r="J185" s="965">
        <v>673</v>
      </c>
      <c r="K185" s="966">
        <v>44811</v>
      </c>
      <c r="L185" s="967">
        <v>45175</v>
      </c>
      <c r="M185" s="965"/>
      <c r="N185" s="965">
        <v>2</v>
      </c>
      <c r="O185" s="965"/>
      <c r="P185" s="965"/>
      <c r="Q185" s="968" t="s">
        <v>41</v>
      </c>
      <c r="R185" s="965">
        <v>3</v>
      </c>
      <c r="S185" s="965">
        <v>1</v>
      </c>
      <c r="T185" s="445">
        <v>27</v>
      </c>
      <c r="U185" s="965">
        <v>12</v>
      </c>
      <c r="V185" s="965"/>
      <c r="W185" s="965"/>
      <c r="X185" s="965"/>
      <c r="Y185" s="965"/>
      <c r="Z185" s="965"/>
      <c r="AA185" s="965"/>
      <c r="AB185" s="965"/>
      <c r="AC185" s="965"/>
      <c r="AD185" s="965"/>
      <c r="AE185" s="965"/>
      <c r="AF185" s="965"/>
      <c r="AG185" s="965"/>
      <c r="AH185" s="965"/>
      <c r="AI185" s="965"/>
      <c r="AJ185" s="965"/>
      <c r="AK185" s="965"/>
      <c r="AL185" s="965"/>
      <c r="AM185" s="965"/>
      <c r="AN185" s="965"/>
      <c r="AO185" s="445"/>
      <c r="AP185" s="969"/>
      <c r="AQ185" s="965">
        <v>65</v>
      </c>
      <c r="AR185" s="965">
        <v>15</v>
      </c>
      <c r="AS185" s="970"/>
      <c r="AT185" s="965"/>
      <c r="AU185" s="965"/>
      <c r="AV185" s="965"/>
      <c r="AW185" s="965"/>
      <c r="AX185" s="965"/>
      <c r="AY185" s="964" t="s">
        <v>41</v>
      </c>
      <c r="AZ185" s="969" t="s">
        <v>137</v>
      </c>
      <c r="BA185" s="965"/>
      <c r="BB185" s="965">
        <v>2</v>
      </c>
      <c r="BC185" s="965"/>
      <c r="BD185" s="445"/>
      <c r="BE185" s="445"/>
      <c r="BF185" s="964"/>
      <c r="BG185" s="965">
        <v>3</v>
      </c>
      <c r="BH185" s="965"/>
      <c r="BI185" s="965"/>
      <c r="BJ185" s="965">
        <v>2</v>
      </c>
      <c r="BK185" s="965"/>
      <c r="BL185" s="965">
        <v>1</v>
      </c>
      <c r="BM185" s="965"/>
      <c r="BN185" s="965"/>
      <c r="BO185" s="965"/>
      <c r="BP185" s="964"/>
      <c r="BQ185" s="971"/>
      <c r="BR185" s="970"/>
      <c r="BS185" s="964"/>
      <c r="BT185" s="420"/>
      <c r="BU185" s="420"/>
      <c r="BV185" s="422"/>
      <c r="BW185" s="420"/>
      <c r="BX185" s="445"/>
      <c r="BY185" s="445"/>
      <c r="BZ185" s="445"/>
      <c r="CA185" s="445"/>
      <c r="CB185" s="445"/>
      <c r="CC185" s="702"/>
      <c r="CD185" s="445"/>
      <c r="CE185" s="972" t="str">
        <f>IFERROR(WWWW[[#This Row],['#_Water sources passed]]/WWWW[[#This Row],['#_Water sources tested for fecal coliform ]],"no test")</f>
        <v>no test</v>
      </c>
      <c r="CF185" s="970" t="str">
        <f>IFERROR(WWWW[[#This Row],['#_Household passed]]/WWWW[[#This Row],['#_Household water samples tested for fecal coliform]],"no test")</f>
        <v>no test</v>
      </c>
      <c r="CG185" s="971" t="str">
        <f>IF(AND(WWWW[[#This Row],[% of water sources passed]]="no test",WWWW[[#This Row],[% Household passed]]="no test"),"No Test","Tested")</f>
        <v>No Test</v>
      </c>
      <c r="CH185" s="971">
        <f>WWWW[[#This Row],['#_Constructed/existing protected hand dug well]]-WWWW[[#This Row],['#_Non-functional protected hand dug well]]</f>
        <v>15</v>
      </c>
      <c r="CI185" s="971">
        <f>(WWWW[[#This Row],['#_Constructed/Existing tube wells/boreholes/handpumps_WASH_agency]]+WWWW[[#This Row],['#_Non-Cluster partner water tube-wells/boreholes/handpumps]])-WWWW[[#This Row],['#_Non-functional tube wells/boreholes/handpumps]]</f>
        <v>0</v>
      </c>
      <c r="CJ185" s="971">
        <f>WWWW[[#This Row],['#_Constructed/Existingwater storage tank with gravity fed reticulation system]]-WWWW[[#This Row],['#_Non-functional storage tank gravity fed reticulation system]]</f>
        <v>0</v>
      </c>
      <c r="CK185" s="971">
        <f>(WWWW[[#This Row],['#_Water_Liters_supplied_by_Water boating or water trucking]]/90)/15</f>
        <v>0</v>
      </c>
      <c r="CL185" s="971">
        <f>WWWW[[#This Row],['#_Water_Liters_from_Constructed/Existing water distribution system from river or natural spring]]/90/15</f>
        <v>0</v>
      </c>
      <c r="CM185" s="421">
        <f>IF(WWWW[[#This Row],['#_of water points in TLS/CFS]]*500&gt;WWWW[[#This Row],[Total PoP ]],WWWW[[#This Row],[Total PoP ]],WWWW[[#This Row],['#_of water points in TLS/CFS]]*500)</f>
        <v>0</v>
      </c>
      <c r="CN185" s="421">
        <f>IF(WWWW[[#This Row],['#_of water points in THF]]*500&gt;WWWW[[#This Row],[Total PoP ]],WWWW[[#This Row],[Total PoP ]],WWWW[[#This Row],['#_of water points in THF]]*500)</f>
        <v>0</v>
      </c>
      <c r="CO185" s="421"/>
      <c r="CP18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5" s="970">
        <f>IF(WWWW[[#This Row],[Location Type 1]]="Village",WWWW[[#This Row],[Access to safe drinking water for Village]],WWWW[[#This Row],[Access to safe drinking water for Camp]])</f>
        <v>1</v>
      </c>
      <c r="CS185" s="968">
        <f>WWWW[[#This Row],[%Equitable and continuous access to sufficient quantity of safe drinking water]]*WWWW[[#This Row],[Total PoP ]]</f>
        <v>673</v>
      </c>
      <c r="CT185" s="970">
        <f>IF((WWWW[[#This Row],['#_Constructed/Existing protected/fenced ponds]]*250)/WWWW[[#This Row],[Total PoP ]]&gt;1,1,(WWWW[[#This Row],['#_Constructed/Existing protected/fenced ponds]]*250)/WWWW[[#This Row],[Total PoP ]])</f>
        <v>0</v>
      </c>
      <c r="CU185" s="968">
        <f>WWWW[[#This Row],[% Access to unimproved water points]]*WWWW[[#This Row],[Total PoP ]]</f>
        <v>0</v>
      </c>
      <c r="CV18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673</v>
      </c>
      <c r="CX185" s="968">
        <f>WWWW[[#This Row],[HRP1]]/500</f>
        <v>1.3460000000000001</v>
      </c>
      <c r="CY185" s="973">
        <f>1-WWWW[[#This Row],[% Equitable and continuous access to sufficient quantity of domestic water]]</f>
        <v>0</v>
      </c>
      <c r="CZ185" s="968">
        <f>WWWW[[#This Row],[%equitable and continuous access to sufficient quantity of safe drinking and domestic water''s GAP]]*WWWW[[#This Row],[Total PoP ]]</f>
        <v>0</v>
      </c>
      <c r="DA185" s="971">
        <f>IF(WWWW[[#This Row],[Total required water points]]-WWWW[[#This Row],['#Water points coverage]]&lt;0,0,WWWW[[#This Row],[Total required water points]]-WWWW[[#This Row],['#Water points coverage]])</f>
        <v>0</v>
      </c>
      <c r="DB185" s="971">
        <f>ROUND(IF(WWWW[[#This Row],[Total PoP ]]&lt;500,1,WWWW[[#This Row],[Total PoP ]]/500),0)</f>
        <v>1</v>
      </c>
      <c r="DC185" s="971">
        <f>(WWWW[[#This Row],['#_Constructed latrines_by_WASHAgencies]]+WWWW[[#This Row],['#_Non Cluster partner latrines]])-WWWW[[#This Row],['#_Non-functional latrines]]</f>
        <v>80</v>
      </c>
      <c r="DD185" s="619">
        <f>WWWW[[#This Row],[HRP2]]/WWWW[[#This Row],[Total PoP ]]</f>
        <v>1</v>
      </c>
      <c r="DE18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673</v>
      </c>
      <c r="DF18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5" s="421">
        <f>IF(WWWW[[#This Row],['# of functional latrines in THF supported by WASH partners during the reporting period2]]="",0,WWWW[[#This Row],['# of functional latrines in THF supported by WASH partners during the reporting period2]]*50)</f>
        <v>0</v>
      </c>
      <c r="DI185" s="971">
        <f>ROUND(IF(WWWW[[#This Row],[Location Type 1]]="camp",WWWW[[#This Row],[Total PoP ]]/20,IF(WWWW[[#This Row],[Location Type 1]]="Temporary Location",WWWW[[#This Row],[Total PoP ]]/50,(WWWW[[#This Row],[Total PoP ]]/6))),0)</f>
        <v>34</v>
      </c>
      <c r="DJ185" s="971">
        <f>IF(WWWW[[#This Row],[Total required Latrines]]-(WWWW[[#This Row],['#_Constructed latrines_by_WASHAgencies]]+WWWW[[#This Row],['#_Non Cluster partner latrines]])&lt;0,0,WWWW[[#This Row],[Total required Latrines]]-(WWWW[[#This Row],['#_Constructed latrines_by_WASHAgencies]]+WWWW[[#This Row],['#_Non Cluster partner latrines]]))</f>
        <v>0</v>
      </c>
      <c r="DK185" s="973">
        <f>1-WWWW[[#This Row],[% people access to functioning Latrine]]</f>
        <v>0</v>
      </c>
      <c r="DL185" s="972">
        <f>IF(OR(WWWW[[#This Row],['#_Non-functional latrines]]="",WWWW[[#This Row],['#_Non-functional latrines]]=0),0,WWWW[[#This Row],['#_Non-functional latrines]]/(WWWW[[#This Row],['#_Constructed latrines_by_WASHAgencies]]+WWWW[[#This Row],['#_Non Cluster partner latrines]]))</f>
        <v>0</v>
      </c>
      <c r="DM185" s="968">
        <f>IF(500*(WWWW[[#This Row],['#_male hygiene promoters]]+WWWW[[#This Row],['#_female hygiene promoters]])&gt;WWWW[[#This Row],[Total PoP ]],WWWW[[#This Row],[Total PoP ]],500*(WWWW[[#This Row],['#_male hygiene promoters]]+WWWW[[#This Row],['#_female hygiene promoters]]))</f>
        <v>500</v>
      </c>
      <c r="DN18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5" s="971">
        <f>IF(WWWW[[#This Row],['# People with access to soap]]&gt;WWWW[[#This Row],['# People with access to Sanity Pads]],WWWW[[#This Row],['# People with access to soap]],WWWW[[#This Row],['# People with access to Sanity Pads]])</f>
        <v>0</v>
      </c>
      <c r="DQ185" s="971">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85" s="973">
        <f>IF(WWWW[[#This Row],[HRP3]]/WWWW[[#This Row],[Total PoP ]]&gt;1,1,WWWW[[#This Row],[HRP3]]/WWWW[[#This Row],[Total PoP ]])</f>
        <v>0.74294205052005946</v>
      </c>
      <c r="DS185" s="972">
        <f>1-WWWW[[#This Row],[Hygiene Coverage%]]</f>
        <v>0.25705794947994054</v>
      </c>
      <c r="DT185" s="970">
        <f>WWWW[[#This Row],['# people reached by regular dedicated hygiene promotion_5]]/WWWW[[#This Row],[Total PoP ]]</f>
        <v>0.74294205052005946</v>
      </c>
      <c r="DU18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5" s="971">
        <f>WWWW[[#This Row],['#_Constructed/Existing hand washing stations]]-WWWW[[#This Row],['#_Non-Functional_hand_washing_stations]]</f>
        <v>3</v>
      </c>
      <c r="DX185" s="968">
        <f>IF(WWWW[[#This Row],['# Functional hand washing stations during reporting period]]*20&gt;WWWW[[#This Row],[Total HH]],WWWW[[#This Row],[Total HH]],WWWW[[#This Row],['# Functional hand washing stations during reporting period]]*20)</f>
        <v>60</v>
      </c>
      <c r="DY185" s="968">
        <f>IF(WWWW[[#This Row],[Is sufficient soap available for TLS? (Yes/No)]]="yes",WWWW[[#This Row],['#_Constructed/Existing hand washing stations at TLS/CFS/THF]],0)</f>
        <v>0</v>
      </c>
      <c r="DZ185" s="425">
        <f>IF(WWWW[[#This Row],['# Functional hand washing stations during reporting period]]*100&gt;WWWW[[#This Row],[Total PoP ]],WWWW[[#This Row],[Total PoP ]],WWWW[[#This Row],['# Functional hand washing stations during reporting period]]*100)</f>
        <v>300</v>
      </c>
      <c r="EA185" s="425" t="str">
        <f>IF(OR(WWWW[[#This Row],['#_students at TLS_CFS]]="",WWWW[[#This Row],['#_students at TLS_CFS]]=0),"No","Yes")</f>
        <v>No</v>
      </c>
      <c r="EB18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5" s="570">
        <f>WWWW[[#This Row],[%_of_affected_people_surveyed_who_report_feeling_satistfied_with_the_latrine_design_and_sanitation_service]]*WWWW[[#This Row],[Total PoP ]]</f>
        <v>0</v>
      </c>
      <c r="ED185" s="570">
        <f>WWWW[[#This Row],[%_of_affected_people_surveyed_who_report_feeling_satistfied_with_the_water_point_design_and_water_service]]*WWWW[[#This Row],[Total PoP ]]</f>
        <v>0</v>
      </c>
      <c r="EE185" s="570">
        <f>WWWW[[#This Row],[%_of_complaints_received_that_result_in_timely_corrective_action_and_feedback_to_the_community]]*WWWW[[#This Row],[Total PoP ]]</f>
        <v>0</v>
      </c>
      <c r="EF18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5" s="964" t="str">
        <f>VLOOKUP(WWWW[[#This Row],[Site Name]],SiteDB6[[Site Name]:[CCCM Management]],6,FALSE)</f>
        <v>Yes</v>
      </c>
      <c r="EJ185" s="964" t="str">
        <f>VLOOKUP(WWWW[[#This Row],[Site Name]],SiteDB6[[Site Name]:[CCCM Focal Agency]],7,FALSE)</f>
        <v>KBC-MYT</v>
      </c>
      <c r="EK185" s="964" t="str">
        <f>VLOOKUP(WWWW[[#This Row],[Site Name]],SiteDB6[[Site Name]:[Location Type 1]],9,FALSE)</f>
        <v>Camp</v>
      </c>
      <c r="EL185" s="964" t="str">
        <f>VLOOKUP(WWWW[[#This Row],[Site Name]],SiteDB6[[Site Name]:[Type of Accommodation]],10,FALSE)</f>
        <v>Camp</v>
      </c>
      <c r="EM185" s="964" t="str">
        <f>VLOOKUP(WWWW[[#This Row],[Site Name]],SiteDB6[[Site Name]:[Ethnic or GCA/NGCA]],11,FALSE)</f>
        <v>NGCA</v>
      </c>
      <c r="EN185" s="964">
        <f>VLOOKUP(WWWW[[#This Row],[Site Name]],SiteDB6[[Site Name]:[Lat]],12,FALSE)</f>
        <v>26.569633</v>
      </c>
      <c r="EO185" s="964">
        <f>VLOOKUP(WWWW[[#This Row],[Site Name]],SiteDB6[[Site Name]:[Long]],13,FALSE)</f>
        <v>97.745480999999998</v>
      </c>
      <c r="EP185" s="964" t="str">
        <f>VLOOKUP(WWWW[[#This Row],[Site Name]],SiteDB6[[Site Name]:[Pcode]],3,FALSE)</f>
        <v>MMR001CMP238</v>
      </c>
      <c r="EQ185" s="969" t="str">
        <f t="shared" ref="EQ185:EQ203" si="6">IF(C185="none","Notcovered","Covered")</f>
        <v>Covered</v>
      </c>
      <c r="ER185" s="969" t="s">
        <v>3147</v>
      </c>
      <c r="ES185" s="964">
        <f>VLOOKUP(WWWW[[#This Row],[Site Name]],SiteDB6[[Site Name]:[Pop
(Kachin/Shan-CCCM as of March 2023)]],16,FALSE)</f>
        <v>123</v>
      </c>
      <c r="ET185" s="964">
        <f>VLOOKUP(WWWW[[#This Row],[Site Name]],SiteDB6[[Site Name]:[Pop
(Kachin/Shan-CCCM as of March 2023)]],17,FALSE)</f>
        <v>646</v>
      </c>
    </row>
    <row r="186" spans="1:150" hidden="1">
      <c r="A186" s="962" t="s">
        <v>2977</v>
      </c>
      <c r="B186" s="963" t="s">
        <v>141</v>
      </c>
      <c r="C186" s="963" t="s">
        <v>141</v>
      </c>
      <c r="D186" s="963" t="s">
        <v>241</v>
      </c>
      <c r="E186" s="963" t="s">
        <v>37</v>
      </c>
      <c r="F186" s="963" t="s">
        <v>184</v>
      </c>
      <c r="G186" s="964" t="str">
        <f>VLOOKUP(WWWW[[#This Row],[Site Name]],SiteDB6[[Site Name]:[Location Type]],8,FALSE)</f>
        <v>Camp</v>
      </c>
      <c r="H186" s="963" t="s">
        <v>187</v>
      </c>
      <c r="I186" s="965">
        <v>71</v>
      </c>
      <c r="J186" s="965">
        <v>362</v>
      </c>
      <c r="K186" s="966">
        <v>44811</v>
      </c>
      <c r="L186" s="967">
        <v>45175</v>
      </c>
      <c r="M186" s="965"/>
      <c r="N186" s="965">
        <v>2</v>
      </c>
      <c r="O186" s="965"/>
      <c r="P186" s="965"/>
      <c r="Q186" s="968" t="s">
        <v>41</v>
      </c>
      <c r="R186" s="965">
        <v>3</v>
      </c>
      <c r="S186" s="965">
        <v>2</v>
      </c>
      <c r="T186" s="445">
        <v>16</v>
      </c>
      <c r="U186" s="965">
        <v>8</v>
      </c>
      <c r="V186" s="965"/>
      <c r="W186" s="965"/>
      <c r="X186" s="965"/>
      <c r="Y186" s="965"/>
      <c r="Z186" s="965"/>
      <c r="AA186" s="965"/>
      <c r="AB186" s="965"/>
      <c r="AC186" s="965"/>
      <c r="AD186" s="965"/>
      <c r="AE186" s="965"/>
      <c r="AF186" s="965"/>
      <c r="AG186" s="965"/>
      <c r="AH186" s="965"/>
      <c r="AI186" s="965"/>
      <c r="AJ186" s="965"/>
      <c r="AK186" s="965"/>
      <c r="AL186" s="965"/>
      <c r="AM186" s="965"/>
      <c r="AN186" s="965"/>
      <c r="AO186" s="445"/>
      <c r="AP186" s="969"/>
      <c r="AQ186" s="965">
        <v>73</v>
      </c>
      <c r="AR186" s="965">
        <v>23</v>
      </c>
      <c r="AS186" s="970"/>
      <c r="AT186" s="965"/>
      <c r="AU186" s="965"/>
      <c r="AV186" s="965"/>
      <c r="AW186" s="965"/>
      <c r="AX186" s="965"/>
      <c r="AY186" s="964" t="s">
        <v>41</v>
      </c>
      <c r="AZ186" s="969" t="s">
        <v>137</v>
      </c>
      <c r="BA186" s="965"/>
      <c r="BB186" s="965">
        <v>24</v>
      </c>
      <c r="BC186" s="965">
        <v>5</v>
      </c>
      <c r="BD186" s="445">
        <v>5</v>
      </c>
      <c r="BE186" s="445"/>
      <c r="BF186" s="964"/>
      <c r="BG186" s="965">
        <v>1</v>
      </c>
      <c r="BH186" s="965"/>
      <c r="BI186" s="965"/>
      <c r="BJ186" s="965">
        <v>1</v>
      </c>
      <c r="BK186" s="965"/>
      <c r="BL186" s="965"/>
      <c r="BM186" s="965"/>
      <c r="BN186" s="965"/>
      <c r="BO186" s="965"/>
      <c r="BP186" s="964"/>
      <c r="BQ186" s="971"/>
      <c r="BR186" s="970"/>
      <c r="BS186" s="964"/>
      <c r="BT186" s="420"/>
      <c r="BU186" s="420"/>
      <c r="BV186" s="422"/>
      <c r="BW186" s="420"/>
      <c r="BX186" s="445"/>
      <c r="BY186" s="445"/>
      <c r="BZ186" s="445"/>
      <c r="CA186" s="445"/>
      <c r="CB186" s="445"/>
      <c r="CC186" s="702"/>
      <c r="CD186" s="445"/>
      <c r="CE186" s="972" t="str">
        <f>IFERROR(WWWW[[#This Row],['#_Water sources passed]]/WWWW[[#This Row],['#_Water sources tested for fecal coliform ]],"no test")</f>
        <v>no test</v>
      </c>
      <c r="CF186" s="970" t="str">
        <f>IFERROR(WWWW[[#This Row],['#_Household passed]]/WWWW[[#This Row],['#_Household water samples tested for fecal coliform]],"no test")</f>
        <v>no test</v>
      </c>
      <c r="CG186" s="971" t="str">
        <f>IF(AND(WWWW[[#This Row],[% of water sources passed]]="no test",WWWW[[#This Row],[% Household passed]]="no test"),"No Test","Tested")</f>
        <v>No Test</v>
      </c>
      <c r="CH186" s="971">
        <f>WWWW[[#This Row],['#_Constructed/existing protected hand dug well]]-WWWW[[#This Row],['#_Non-functional protected hand dug well]]</f>
        <v>8</v>
      </c>
      <c r="CI186" s="971">
        <f>(WWWW[[#This Row],['#_Constructed/Existing tube wells/boreholes/handpumps_WASH_agency]]+WWWW[[#This Row],['#_Non-Cluster partner water tube-wells/boreholes/handpumps]])-WWWW[[#This Row],['#_Non-functional tube wells/boreholes/handpumps]]</f>
        <v>0</v>
      </c>
      <c r="CJ186" s="971">
        <f>WWWW[[#This Row],['#_Constructed/Existingwater storage tank with gravity fed reticulation system]]-WWWW[[#This Row],['#_Non-functional storage tank gravity fed reticulation system]]</f>
        <v>0</v>
      </c>
      <c r="CK186" s="971">
        <f>(WWWW[[#This Row],['#_Water_Liters_supplied_by_Water boating or water trucking]]/90)/15</f>
        <v>0</v>
      </c>
      <c r="CL186" s="971">
        <f>WWWW[[#This Row],['#_Water_Liters_from_Constructed/Existing water distribution system from river or natural spring]]/90/15</f>
        <v>0</v>
      </c>
      <c r="CM186" s="421">
        <f>IF(WWWW[[#This Row],['#_of water points in TLS/CFS]]*500&gt;WWWW[[#This Row],[Total PoP ]],WWWW[[#This Row],[Total PoP ]],WWWW[[#This Row],['#_of water points in TLS/CFS]]*500)</f>
        <v>0</v>
      </c>
      <c r="CN186" s="421">
        <f>IF(WWWW[[#This Row],['#_of water points in THF]]*500&gt;WWWW[[#This Row],[Total PoP ]],WWWW[[#This Row],[Total PoP ]],WWWW[[#This Row],['#_of water points in THF]]*500)</f>
        <v>0</v>
      </c>
      <c r="CO186" s="421"/>
      <c r="CP18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6" s="970">
        <f>IF(WWWW[[#This Row],[Location Type 1]]="Village",WWWW[[#This Row],[Access to safe drinking water for Village]],WWWW[[#This Row],[Access to safe drinking water for Camp]])</f>
        <v>1</v>
      </c>
      <c r="CS186" s="968">
        <f>WWWW[[#This Row],[%Equitable and continuous access to sufficient quantity of safe drinking water]]*WWWW[[#This Row],[Total PoP ]]</f>
        <v>362</v>
      </c>
      <c r="CT186" s="970">
        <f>IF((WWWW[[#This Row],['#_Constructed/Existing protected/fenced ponds]]*250)/WWWW[[#This Row],[Total PoP ]]&gt;1,1,(WWWW[[#This Row],['#_Constructed/Existing protected/fenced ponds]]*250)/WWWW[[#This Row],[Total PoP ]])</f>
        <v>0</v>
      </c>
      <c r="CU186" s="968">
        <f>WWWW[[#This Row],[% Access to unimproved water points]]*WWWW[[#This Row],[Total PoP ]]</f>
        <v>0</v>
      </c>
      <c r="CV18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362</v>
      </c>
      <c r="CX186" s="968">
        <f>WWWW[[#This Row],[HRP1]]/500</f>
        <v>0.72399999999999998</v>
      </c>
      <c r="CY186" s="973">
        <f>1-WWWW[[#This Row],[% Equitable and continuous access to sufficient quantity of domestic water]]</f>
        <v>0</v>
      </c>
      <c r="CZ186" s="968">
        <f>WWWW[[#This Row],[%equitable and continuous access to sufficient quantity of safe drinking and domestic water''s GAP]]*WWWW[[#This Row],[Total PoP ]]</f>
        <v>0</v>
      </c>
      <c r="DA186" s="971">
        <f>IF(WWWW[[#This Row],[Total required water points]]-WWWW[[#This Row],['#Water points coverage]]&lt;0,0,WWWW[[#This Row],[Total required water points]]-WWWW[[#This Row],['#Water points coverage]])</f>
        <v>0.27600000000000002</v>
      </c>
      <c r="DB186" s="971">
        <f>ROUND(IF(WWWW[[#This Row],[Total PoP ]]&lt;500,1,WWWW[[#This Row],[Total PoP ]]/500),0)</f>
        <v>1</v>
      </c>
      <c r="DC186" s="971">
        <f>(WWWW[[#This Row],['#_Constructed latrines_by_WASHAgencies]]+WWWW[[#This Row],['#_Non Cluster partner latrines]])-WWWW[[#This Row],['#_Non-functional latrines]]</f>
        <v>96</v>
      </c>
      <c r="DD186" s="619">
        <f>WWWW[[#This Row],[HRP2]]/WWWW[[#This Row],[Total PoP ]]</f>
        <v>1</v>
      </c>
      <c r="DE18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362</v>
      </c>
      <c r="DF18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6" s="421">
        <f>IF(WWWW[[#This Row],['# of functional latrines in THF supported by WASH partners during the reporting period2]]="",0,WWWW[[#This Row],['# of functional latrines in THF supported by WASH partners during the reporting period2]]*50)</f>
        <v>250</v>
      </c>
      <c r="DI186" s="971">
        <f>ROUND(IF(WWWW[[#This Row],[Location Type 1]]="camp",WWWW[[#This Row],[Total PoP ]]/20,IF(WWWW[[#This Row],[Location Type 1]]="Temporary Location",WWWW[[#This Row],[Total PoP ]]/50,(WWWW[[#This Row],[Total PoP ]]/6))),0)</f>
        <v>18</v>
      </c>
      <c r="DJ186" s="971">
        <f>IF(WWWW[[#This Row],[Total required Latrines]]-(WWWW[[#This Row],['#_Constructed latrines_by_WASHAgencies]]+WWWW[[#This Row],['#_Non Cluster partner latrines]])&lt;0,0,WWWW[[#This Row],[Total required Latrines]]-(WWWW[[#This Row],['#_Constructed latrines_by_WASHAgencies]]+WWWW[[#This Row],['#_Non Cluster partner latrines]]))</f>
        <v>0</v>
      </c>
      <c r="DK186" s="973">
        <f>1-WWWW[[#This Row],[% people access to functioning Latrine]]</f>
        <v>0</v>
      </c>
      <c r="DL186" s="972">
        <f>IF(OR(WWWW[[#This Row],['#_Non-functional latrines]]="",WWWW[[#This Row],['#_Non-functional latrines]]=0),0,WWWW[[#This Row],['#_Non-functional latrines]]/(WWWW[[#This Row],['#_Constructed latrines_by_WASHAgencies]]+WWWW[[#This Row],['#_Non Cluster partner latrines]]))</f>
        <v>0</v>
      </c>
      <c r="DM186" s="968">
        <f>IF(500*(WWWW[[#This Row],['#_male hygiene promoters]]+WWWW[[#This Row],['#_female hygiene promoters]])&gt;WWWW[[#This Row],[Total PoP ]],WWWW[[#This Row],[Total PoP ]],500*(WWWW[[#This Row],['#_male hygiene promoters]]+WWWW[[#This Row],['#_female hygiene promoters]]))</f>
        <v>0</v>
      </c>
      <c r="DN18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6" s="971">
        <f>IF(WWWW[[#This Row],['# People with access to soap]]&gt;WWWW[[#This Row],['# People with access to Sanity Pads]],WWWW[[#This Row],['# People with access to soap]],WWWW[[#This Row],['# People with access to Sanity Pads]])</f>
        <v>0</v>
      </c>
      <c r="DQ186"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86" s="973">
        <f>IF(WWWW[[#This Row],[HRP3]]/WWWW[[#This Row],[Total PoP ]]&gt;1,1,WWWW[[#This Row],[HRP3]]/WWWW[[#This Row],[Total PoP ]])</f>
        <v>0</v>
      </c>
      <c r="DS186" s="972">
        <f>1-WWWW[[#This Row],[Hygiene Coverage%]]</f>
        <v>1</v>
      </c>
      <c r="DT186" s="970">
        <f>WWWW[[#This Row],['# people reached by regular dedicated hygiene promotion_5]]/WWWW[[#This Row],[Total PoP ]]</f>
        <v>0</v>
      </c>
      <c r="DU18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6" s="971">
        <f>WWWW[[#This Row],['#_Constructed/Existing hand washing stations]]-WWWW[[#This Row],['#_Non-Functional_hand_washing_stations]]</f>
        <v>1</v>
      </c>
      <c r="DX186" s="968">
        <f>IF(WWWW[[#This Row],['# Functional hand washing stations during reporting period]]*20&gt;WWWW[[#This Row],[Total HH]],WWWW[[#This Row],[Total HH]],WWWW[[#This Row],['# Functional hand washing stations during reporting period]]*20)</f>
        <v>20</v>
      </c>
      <c r="DY186" s="968">
        <f>IF(WWWW[[#This Row],[Is sufficient soap available for TLS? (Yes/No)]]="yes",WWWW[[#This Row],['#_Constructed/Existing hand washing stations at TLS/CFS/THF]],0)</f>
        <v>0</v>
      </c>
      <c r="DZ186" s="425">
        <f>IF(WWWW[[#This Row],['# Functional hand washing stations during reporting period]]*100&gt;WWWW[[#This Row],[Total PoP ]],WWWW[[#This Row],[Total PoP ]],WWWW[[#This Row],['# Functional hand washing stations during reporting period]]*100)</f>
        <v>100</v>
      </c>
      <c r="EA186" s="425" t="str">
        <f>IF(OR(WWWW[[#This Row],['#_students at TLS_CFS]]="",WWWW[[#This Row],['#_students at TLS_CFS]]=0),"No","Yes")</f>
        <v>No</v>
      </c>
      <c r="EB18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6" s="570">
        <f>WWWW[[#This Row],[%_of_affected_people_surveyed_who_report_feeling_satistfied_with_the_latrine_design_and_sanitation_service]]*WWWW[[#This Row],[Total PoP ]]</f>
        <v>0</v>
      </c>
      <c r="ED186" s="570">
        <f>WWWW[[#This Row],[%_of_affected_people_surveyed_who_report_feeling_satistfied_with_the_water_point_design_and_water_service]]*WWWW[[#This Row],[Total PoP ]]</f>
        <v>0</v>
      </c>
      <c r="EE186" s="570">
        <f>WWWW[[#This Row],[%_of_complaints_received_that_result_in_timely_corrective_action_and_feedback_to_the_community]]*WWWW[[#This Row],[Total PoP ]]</f>
        <v>0</v>
      </c>
      <c r="EF18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I186" s="964" t="str">
        <f>VLOOKUP(WWWW[[#This Row],[Site Name]],SiteDB6[[Site Name]:[CCCM Management]],6,FALSE)</f>
        <v>Yes</v>
      </c>
      <c r="EJ186" s="964" t="str">
        <f>VLOOKUP(WWWW[[#This Row],[Site Name]],SiteDB6[[Site Name]:[CCCM Focal Agency]],7,FALSE)</f>
        <v>KBC-MYT</v>
      </c>
      <c r="EK186" s="964" t="str">
        <f>VLOOKUP(WWWW[[#This Row],[Site Name]],SiteDB6[[Site Name]:[Location Type 1]],9,FALSE)</f>
        <v>Camp</v>
      </c>
      <c r="EL186" s="964" t="str">
        <f>VLOOKUP(WWWW[[#This Row],[Site Name]],SiteDB6[[Site Name]:[Type of Accommodation]],10,FALSE)</f>
        <v>Camp</v>
      </c>
      <c r="EM186" s="964" t="str">
        <f>VLOOKUP(WWWW[[#This Row],[Site Name]],SiteDB6[[Site Name]:[Ethnic or GCA/NGCA]],11,FALSE)</f>
        <v>NGCA</v>
      </c>
      <c r="EN186" s="964">
        <f>VLOOKUP(WWWW[[#This Row],[Site Name]],SiteDB6[[Site Name]:[Lat]],12,FALSE)</f>
        <v>26.548506</v>
      </c>
      <c r="EO186" s="964">
        <f>VLOOKUP(WWWW[[#This Row],[Site Name]],SiteDB6[[Site Name]:[Long]],13,FALSE)</f>
        <v>97.75609</v>
      </c>
      <c r="EP186" s="964" t="str">
        <f>VLOOKUP(WWWW[[#This Row],[Site Name]],SiteDB6[[Site Name]:[Pcode]],3,FALSE)</f>
        <v>MMR001CMP239</v>
      </c>
      <c r="EQ186" s="969" t="str">
        <f t="shared" si="6"/>
        <v>Covered</v>
      </c>
      <c r="ER186" s="969" t="s">
        <v>3147</v>
      </c>
      <c r="ES186" s="964">
        <f>VLOOKUP(WWWW[[#This Row],[Site Name]],SiteDB6[[Site Name]:[Pop
(Kachin/Shan-CCCM as of March 2023)]],16,FALSE)</f>
        <v>68</v>
      </c>
      <c r="ET186" s="964">
        <f>VLOOKUP(WWWW[[#This Row],[Site Name]],SiteDB6[[Site Name]:[Pop
(Kachin/Shan-CCCM as of March 2023)]],17,FALSE)</f>
        <v>355</v>
      </c>
    </row>
    <row r="187" spans="1:150" hidden="1">
      <c r="A187" s="962" t="s">
        <v>2977</v>
      </c>
      <c r="B187" s="963" t="s">
        <v>141</v>
      </c>
      <c r="C187" s="963" t="s">
        <v>141</v>
      </c>
      <c r="D187" s="963" t="s">
        <v>241</v>
      </c>
      <c r="E187" s="963" t="s">
        <v>37</v>
      </c>
      <c r="F187" s="963" t="s">
        <v>863</v>
      </c>
      <c r="G187" s="964" t="str">
        <f>VLOOKUP(WWWW[[#This Row],[Site Name]],SiteDB6[[Site Name]:[Location Type]],8,FALSE)</f>
        <v>Camp</v>
      </c>
      <c r="H187" s="963" t="s">
        <v>1615</v>
      </c>
      <c r="I187" s="965">
        <v>96</v>
      </c>
      <c r="J187" s="965">
        <v>413</v>
      </c>
      <c r="K187" s="966">
        <v>44811</v>
      </c>
      <c r="L187" s="967">
        <v>45175</v>
      </c>
      <c r="M187" s="965"/>
      <c r="N187" s="965">
        <v>2</v>
      </c>
      <c r="O187" s="965"/>
      <c r="P187" s="965"/>
      <c r="Q187" s="968" t="s">
        <v>41</v>
      </c>
      <c r="R187" s="965">
        <v>2</v>
      </c>
      <c r="S187" s="965">
        <v>2</v>
      </c>
      <c r="T187" s="445">
        <v>4</v>
      </c>
      <c r="U187" s="965"/>
      <c r="V187" s="965"/>
      <c r="W187" s="965">
        <v>3</v>
      </c>
      <c r="X187" s="965"/>
      <c r="Y187" s="965"/>
      <c r="Z187" s="965"/>
      <c r="AA187" s="965"/>
      <c r="AB187" s="965"/>
      <c r="AC187" s="965"/>
      <c r="AD187" s="965"/>
      <c r="AE187" s="965"/>
      <c r="AF187" s="965"/>
      <c r="AG187" s="965"/>
      <c r="AH187" s="965"/>
      <c r="AI187" s="965"/>
      <c r="AJ187" s="965"/>
      <c r="AK187" s="965"/>
      <c r="AL187" s="965"/>
      <c r="AM187" s="965"/>
      <c r="AN187" s="965"/>
      <c r="AO187" s="445"/>
      <c r="AP187" s="969"/>
      <c r="AQ187" s="965">
        <v>30</v>
      </c>
      <c r="AR187" s="965">
        <v>30</v>
      </c>
      <c r="AS187" s="970"/>
      <c r="AT187" s="965"/>
      <c r="AU187" s="965"/>
      <c r="AV187" s="965"/>
      <c r="AW187" s="965"/>
      <c r="AX187" s="965"/>
      <c r="AY187" s="964" t="s">
        <v>140</v>
      </c>
      <c r="AZ187" s="969" t="s">
        <v>140</v>
      </c>
      <c r="BA187" s="965"/>
      <c r="BB187" s="965"/>
      <c r="BC187" s="965"/>
      <c r="BD187" s="445"/>
      <c r="BE187" s="445"/>
      <c r="BF187" s="964"/>
      <c r="BG187" s="965">
        <v>3</v>
      </c>
      <c r="BH187" s="965"/>
      <c r="BI187" s="965">
        <v>5</v>
      </c>
      <c r="BJ187" s="965">
        <v>3</v>
      </c>
      <c r="BK187" s="965"/>
      <c r="BL187" s="965"/>
      <c r="BM187" s="965"/>
      <c r="BN187" s="965"/>
      <c r="BO187" s="965"/>
      <c r="BP187" s="964"/>
      <c r="BQ187" s="971"/>
      <c r="BR187" s="970"/>
      <c r="BS187" s="964"/>
      <c r="BT187" s="420"/>
      <c r="BU187" s="420"/>
      <c r="BV187" s="422"/>
      <c r="BW187" s="420"/>
      <c r="BX187" s="445"/>
      <c r="BY187" s="445"/>
      <c r="BZ187" s="445"/>
      <c r="CA187" s="445"/>
      <c r="CB187" s="445"/>
      <c r="CC187" s="702"/>
      <c r="CD187" s="445"/>
      <c r="CE187" s="972" t="str">
        <f>IFERROR(WWWW[[#This Row],['#_Water sources passed]]/WWWW[[#This Row],['#_Water sources tested for fecal coliform ]],"no test")</f>
        <v>no test</v>
      </c>
      <c r="CF187" s="970" t="str">
        <f>IFERROR(WWWW[[#This Row],['#_Household passed]]/WWWW[[#This Row],['#_Household water samples tested for fecal coliform]],"no test")</f>
        <v>no test</v>
      </c>
      <c r="CG187" s="971" t="str">
        <f>IF(AND(WWWW[[#This Row],[% of water sources passed]]="no test",WWWW[[#This Row],[% Household passed]]="no test"),"No Test","Tested")</f>
        <v>No Test</v>
      </c>
      <c r="CH187" s="971">
        <f>WWWW[[#This Row],['#_Constructed/existing protected hand dug well]]-WWWW[[#This Row],['#_Non-functional protected hand dug well]]</f>
        <v>4</v>
      </c>
      <c r="CI187" s="971">
        <f>(WWWW[[#This Row],['#_Constructed/Existing tube wells/boreholes/handpumps_WASH_agency]]+WWWW[[#This Row],['#_Non-Cluster partner water tube-wells/boreholes/handpumps]])-WWWW[[#This Row],['#_Non-functional tube wells/boreholes/handpumps]]</f>
        <v>3</v>
      </c>
      <c r="CJ187" s="971">
        <f>WWWW[[#This Row],['#_Constructed/Existingwater storage tank with gravity fed reticulation system]]-WWWW[[#This Row],['#_Non-functional storage tank gravity fed reticulation system]]</f>
        <v>0</v>
      </c>
      <c r="CK187" s="971">
        <f>(WWWW[[#This Row],['#_Water_Liters_supplied_by_Water boating or water trucking]]/90)/15</f>
        <v>0</v>
      </c>
      <c r="CL187" s="971">
        <f>WWWW[[#This Row],['#_Water_Liters_from_Constructed/Existing water distribution system from river or natural spring]]/90/15</f>
        <v>0</v>
      </c>
      <c r="CM187" s="421">
        <f>IF(WWWW[[#This Row],['#_of water points in TLS/CFS]]*500&gt;WWWW[[#This Row],[Total PoP ]],WWWW[[#This Row],[Total PoP ]],WWWW[[#This Row],['#_of water points in TLS/CFS]]*500)</f>
        <v>0</v>
      </c>
      <c r="CN187" s="421">
        <f>IF(WWWW[[#This Row],['#_of water points in THF]]*500&gt;WWWW[[#This Row],[Total PoP ]],WWWW[[#This Row],[Total PoP ]],WWWW[[#This Row],['#_of water points in THF]]*500)</f>
        <v>0</v>
      </c>
      <c r="CO187" s="421"/>
      <c r="CP18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7" s="970">
        <f>IF(WWWW[[#This Row],[Location Type 1]]="Village",WWWW[[#This Row],[Access to safe drinking water for Village]],WWWW[[#This Row],[Access to safe drinking water for Camp]])</f>
        <v>1</v>
      </c>
      <c r="CS187" s="968">
        <f>WWWW[[#This Row],[%Equitable and continuous access to sufficient quantity of safe drinking water]]*WWWW[[#This Row],[Total PoP ]]</f>
        <v>413</v>
      </c>
      <c r="CT187" s="970">
        <f>IF((WWWW[[#This Row],['#_Constructed/Existing protected/fenced ponds]]*250)/WWWW[[#This Row],[Total PoP ]]&gt;1,1,(WWWW[[#This Row],['#_Constructed/Existing protected/fenced ponds]]*250)/WWWW[[#This Row],[Total PoP ]])</f>
        <v>0</v>
      </c>
      <c r="CU187" s="968">
        <f>WWWW[[#This Row],[% Access to unimproved water points]]*WWWW[[#This Row],[Total PoP ]]</f>
        <v>0</v>
      </c>
      <c r="CV18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413</v>
      </c>
      <c r="CX187" s="968">
        <f>WWWW[[#This Row],[HRP1]]/500</f>
        <v>0.82599999999999996</v>
      </c>
      <c r="CY187" s="973">
        <f>1-WWWW[[#This Row],[% Equitable and continuous access to sufficient quantity of domestic water]]</f>
        <v>0</v>
      </c>
      <c r="CZ187" s="968">
        <f>WWWW[[#This Row],[%equitable and continuous access to sufficient quantity of safe drinking and domestic water''s GAP]]*WWWW[[#This Row],[Total PoP ]]</f>
        <v>0</v>
      </c>
      <c r="DA187" s="971">
        <f>IF(WWWW[[#This Row],[Total required water points]]-WWWW[[#This Row],['#Water points coverage]]&lt;0,0,WWWW[[#This Row],[Total required water points]]-WWWW[[#This Row],['#Water points coverage]])</f>
        <v>0.17400000000000004</v>
      </c>
      <c r="DB187" s="971">
        <f>ROUND(IF(WWWW[[#This Row],[Total PoP ]]&lt;500,1,WWWW[[#This Row],[Total PoP ]]/500),0)</f>
        <v>1</v>
      </c>
      <c r="DC187" s="971">
        <f>(WWWW[[#This Row],['#_Constructed latrines_by_WASHAgencies]]+WWWW[[#This Row],['#_Non Cluster partner latrines]])-WWWW[[#This Row],['#_Non-functional latrines]]</f>
        <v>60</v>
      </c>
      <c r="DD187" s="619">
        <f>WWWW[[#This Row],[HRP2]]/WWWW[[#This Row],[Total PoP ]]</f>
        <v>1</v>
      </c>
      <c r="DE18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413</v>
      </c>
      <c r="DF18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7" s="421">
        <f>IF(WWWW[[#This Row],['# of functional latrines in THF supported by WASH partners during the reporting period2]]="",0,WWWW[[#This Row],['# of functional latrines in THF supported by WASH partners during the reporting period2]]*50)</f>
        <v>0</v>
      </c>
      <c r="DI187" s="971">
        <f>ROUND(IF(WWWW[[#This Row],[Location Type 1]]="camp",WWWW[[#This Row],[Total PoP ]]/20,IF(WWWW[[#This Row],[Location Type 1]]="Temporary Location",WWWW[[#This Row],[Total PoP ]]/50,(WWWW[[#This Row],[Total PoP ]]/6))),0)</f>
        <v>21</v>
      </c>
      <c r="DJ187" s="971">
        <f>IF(WWWW[[#This Row],[Total required Latrines]]-(WWWW[[#This Row],['#_Constructed latrines_by_WASHAgencies]]+WWWW[[#This Row],['#_Non Cluster partner latrines]])&lt;0,0,WWWW[[#This Row],[Total required Latrines]]-(WWWW[[#This Row],['#_Constructed latrines_by_WASHAgencies]]+WWWW[[#This Row],['#_Non Cluster partner latrines]]))</f>
        <v>0</v>
      </c>
      <c r="DK187" s="973">
        <f>1-WWWW[[#This Row],[% people access to functioning Latrine]]</f>
        <v>0</v>
      </c>
      <c r="DL187" s="972">
        <f>IF(OR(WWWW[[#This Row],['#_Non-functional latrines]]="",WWWW[[#This Row],['#_Non-functional latrines]]=0),0,WWWW[[#This Row],['#_Non-functional latrines]]/(WWWW[[#This Row],['#_Constructed latrines_by_WASHAgencies]]+WWWW[[#This Row],['#_Non Cluster partner latrines]]))</f>
        <v>0</v>
      </c>
      <c r="DM187" s="968">
        <f>IF(500*(WWWW[[#This Row],['#_male hygiene promoters]]+WWWW[[#This Row],['#_female hygiene promoters]])&gt;WWWW[[#This Row],[Total PoP ]],WWWW[[#This Row],[Total PoP ]],500*(WWWW[[#This Row],['#_male hygiene promoters]]+WWWW[[#This Row],['#_female hygiene promoters]]))</f>
        <v>0</v>
      </c>
      <c r="DN18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7" s="971">
        <f>IF(WWWW[[#This Row],['# People with access to soap]]&gt;WWWW[[#This Row],['# People with access to Sanity Pads]],WWWW[[#This Row],['# People with access to soap]],WWWW[[#This Row],['# People with access to Sanity Pads]])</f>
        <v>0</v>
      </c>
      <c r="DQ187"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87" s="973">
        <f>IF(WWWW[[#This Row],[HRP3]]/WWWW[[#This Row],[Total PoP ]]&gt;1,1,WWWW[[#This Row],[HRP3]]/WWWW[[#This Row],[Total PoP ]])</f>
        <v>0</v>
      </c>
      <c r="DS187" s="972">
        <f>1-WWWW[[#This Row],[Hygiene Coverage%]]</f>
        <v>1</v>
      </c>
      <c r="DT187" s="970">
        <f>WWWW[[#This Row],['# people reached by regular dedicated hygiene promotion_5]]/WWWW[[#This Row],[Total PoP ]]</f>
        <v>0</v>
      </c>
      <c r="DU18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7" s="971">
        <f>WWWW[[#This Row],['#_Constructed/Existing hand washing stations]]-WWWW[[#This Row],['#_Non-Functional_hand_washing_stations]]</f>
        <v>3</v>
      </c>
      <c r="DX187" s="968">
        <f>IF(WWWW[[#This Row],['# Functional hand washing stations during reporting period]]*20&gt;WWWW[[#This Row],[Total HH]],WWWW[[#This Row],[Total HH]],WWWW[[#This Row],['# Functional hand washing stations during reporting period]]*20)</f>
        <v>60</v>
      </c>
      <c r="DY187" s="968">
        <f>IF(WWWW[[#This Row],[Is sufficient soap available for TLS? (Yes/No)]]="yes",WWWW[[#This Row],['#_Constructed/Existing hand washing stations at TLS/CFS/THF]],0)</f>
        <v>0</v>
      </c>
      <c r="DZ187" s="425">
        <f>IF(WWWW[[#This Row],['# Functional hand washing stations during reporting period]]*100&gt;WWWW[[#This Row],[Total PoP ]],WWWW[[#This Row],[Total PoP ]],WWWW[[#This Row],['# Functional hand washing stations during reporting period]]*100)</f>
        <v>300</v>
      </c>
      <c r="EA187" s="425" t="str">
        <f>IF(OR(WWWW[[#This Row],['#_students at TLS_CFS]]="",WWWW[[#This Row],['#_students at TLS_CFS]]=0),"No","Yes")</f>
        <v>No</v>
      </c>
      <c r="EB187"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7" s="570">
        <f>WWWW[[#This Row],[%_of_affected_people_surveyed_who_report_feeling_satistfied_with_the_latrine_design_and_sanitation_service]]*WWWW[[#This Row],[Total PoP ]]</f>
        <v>0</v>
      </c>
      <c r="ED187" s="570">
        <f>WWWW[[#This Row],[%_of_affected_people_surveyed_who_report_feeling_satistfied_with_the_water_point_design_and_water_service]]*WWWW[[#This Row],[Total PoP ]]</f>
        <v>0</v>
      </c>
      <c r="EE187" s="570">
        <f>WWWW[[#This Row],[%_of_complaints_received_that_result_in_timely_corrective_action_and_feedback_to_the_community]]*WWWW[[#This Row],[Total PoP ]]</f>
        <v>0</v>
      </c>
      <c r="EF18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7" s="964" t="str">
        <f>VLOOKUP(WWWW[[#This Row],[Site Name]],SiteDB6[[Site Name]:[CCCM Management]],6,FALSE)</f>
        <v>Yes</v>
      </c>
      <c r="EJ187" s="964" t="str">
        <f>VLOOKUP(WWWW[[#This Row],[Site Name]],SiteDB6[[Site Name]:[CCCM Focal Agency]],7,FALSE)</f>
        <v>KBC-MYT</v>
      </c>
      <c r="EK187" s="964" t="str">
        <f>VLOOKUP(WWWW[[#This Row],[Site Name]],SiteDB6[[Site Name]:[Location Type 1]],9,FALSE)</f>
        <v>Camp</v>
      </c>
      <c r="EL187" s="964" t="str">
        <f>VLOOKUP(WWWW[[#This Row],[Site Name]],SiteDB6[[Site Name]:[Type of Accommodation]],10,FALSE)</f>
        <v>Camp</v>
      </c>
      <c r="EM187" s="964" t="str">
        <f>VLOOKUP(WWWW[[#This Row],[Site Name]],SiteDB6[[Site Name]:[Ethnic or GCA/NGCA]],11,FALSE)</f>
        <v>GCA</v>
      </c>
      <c r="EN187" s="964">
        <f>VLOOKUP(WWWW[[#This Row],[Site Name]],SiteDB6[[Site Name]:[Lat]],12,FALSE)</f>
        <v>26.356223</v>
      </c>
      <c r="EO187" s="964">
        <f>VLOOKUP(WWWW[[#This Row],[Site Name]],SiteDB6[[Site Name]:[Long]],13,FALSE)</f>
        <v>96.721439000000004</v>
      </c>
      <c r="EP187" s="964" t="str">
        <f>VLOOKUP(WWWW[[#This Row],[Site Name]],SiteDB6[[Site Name]:[Pcode]],3,FALSE)</f>
        <v>MMR001CMP253</v>
      </c>
      <c r="EQ187" s="969" t="str">
        <f t="shared" si="6"/>
        <v>Covered</v>
      </c>
      <c r="ER187" s="969" t="s">
        <v>3147</v>
      </c>
      <c r="ES187" s="964">
        <f>VLOOKUP(WWWW[[#This Row],[Site Name]],SiteDB6[[Site Name]:[Pop
(Kachin/Shan-CCCM as of March 2023)]],16,FALSE)</f>
        <v>110</v>
      </c>
      <c r="ET187" s="964">
        <f>VLOOKUP(WWWW[[#This Row],[Site Name]],SiteDB6[[Site Name]:[Pop
(Kachin/Shan-CCCM as of March 2023)]],17,FALSE)</f>
        <v>486</v>
      </c>
    </row>
    <row r="188" spans="1:150" hidden="1">
      <c r="A188" s="962" t="s">
        <v>2977</v>
      </c>
      <c r="B188" s="1068" t="s">
        <v>3203</v>
      </c>
      <c r="C188" s="963" t="s">
        <v>141</v>
      </c>
      <c r="D188" s="963" t="s">
        <v>3112</v>
      </c>
      <c r="E188" s="963" t="s">
        <v>37</v>
      </c>
      <c r="F188" s="963" t="s">
        <v>142</v>
      </c>
      <c r="G188" s="964" t="str">
        <f>VLOOKUP(WWWW[[#This Row],[Site Name]],SiteDB6[[Site Name]:[Location Type]],8,FALSE)</f>
        <v>Camp</v>
      </c>
      <c r="H188" s="963" t="s">
        <v>175</v>
      </c>
      <c r="I188" s="965">
        <v>138</v>
      </c>
      <c r="J188" s="965">
        <v>856</v>
      </c>
      <c r="K188" s="966">
        <v>44811</v>
      </c>
      <c r="L188" s="967">
        <v>45175</v>
      </c>
      <c r="M188" s="965"/>
      <c r="N188" s="965">
        <v>2</v>
      </c>
      <c r="O188" s="965"/>
      <c r="P188" s="965"/>
      <c r="Q188" s="968" t="s">
        <v>41</v>
      </c>
      <c r="R188" s="965">
        <v>2</v>
      </c>
      <c r="S188" s="965">
        <v>3</v>
      </c>
      <c r="T188" s="445">
        <v>2</v>
      </c>
      <c r="U188" s="965"/>
      <c r="V188" s="965"/>
      <c r="W188" s="965"/>
      <c r="X188" s="965"/>
      <c r="Y188" s="965"/>
      <c r="Z188" s="965"/>
      <c r="AA188" s="965">
        <v>2</v>
      </c>
      <c r="AB188" s="965"/>
      <c r="AC188" s="965"/>
      <c r="AD188" s="965"/>
      <c r="AE188" s="965"/>
      <c r="AF188" s="965"/>
      <c r="AG188" s="965"/>
      <c r="AH188" s="965"/>
      <c r="AI188" s="965"/>
      <c r="AJ188" s="965"/>
      <c r="AK188" s="965"/>
      <c r="AL188" s="965"/>
      <c r="AM188" s="965"/>
      <c r="AN188" s="965"/>
      <c r="AO188" s="445"/>
      <c r="AP188" s="969"/>
      <c r="AQ188" s="965">
        <v>50</v>
      </c>
      <c r="AR188" s="965">
        <v>62</v>
      </c>
      <c r="AS188" s="970"/>
      <c r="AT188" s="965"/>
      <c r="AU188" s="965"/>
      <c r="AV188" s="965"/>
      <c r="AW188" s="965"/>
      <c r="AX188" s="965">
        <v>50</v>
      </c>
      <c r="AY188" s="964" t="s">
        <v>41</v>
      </c>
      <c r="AZ188" s="969" t="s">
        <v>137</v>
      </c>
      <c r="BA188" s="965"/>
      <c r="BB188" s="965"/>
      <c r="BC188" s="965"/>
      <c r="BD188" s="445"/>
      <c r="BE188" s="445"/>
      <c r="BF188" s="964"/>
      <c r="BG188" s="965">
        <v>8</v>
      </c>
      <c r="BH188" s="965"/>
      <c r="BI188" s="965"/>
      <c r="BJ188" s="965">
        <v>2</v>
      </c>
      <c r="BK188" s="965"/>
      <c r="BL188" s="965"/>
      <c r="BM188" s="965">
        <v>2</v>
      </c>
      <c r="BN188" s="965"/>
      <c r="BO188" s="965"/>
      <c r="BP188" s="964"/>
      <c r="BQ188" s="971"/>
      <c r="BR188" s="970"/>
      <c r="BS188" s="964"/>
      <c r="BT188" s="420"/>
      <c r="BU188" s="420"/>
      <c r="BV188" s="422"/>
      <c r="BW188" s="420"/>
      <c r="BX188" s="445"/>
      <c r="BY188" s="445"/>
      <c r="BZ188" s="445"/>
      <c r="CA188" s="445"/>
      <c r="CB188" s="445"/>
      <c r="CC188" s="702"/>
      <c r="CD188" s="445"/>
      <c r="CE188" s="972" t="str">
        <f>IFERROR(WWWW[[#This Row],['#_Water sources passed]]/WWWW[[#This Row],['#_Water sources tested for fecal coliform ]],"no test")</f>
        <v>no test</v>
      </c>
      <c r="CF188" s="970" t="str">
        <f>IFERROR(WWWW[[#This Row],['#_Household passed]]/WWWW[[#This Row],['#_Household water samples tested for fecal coliform]],"no test")</f>
        <v>no test</v>
      </c>
      <c r="CG188" s="971" t="str">
        <f>IF(AND(WWWW[[#This Row],[% of water sources passed]]="no test",WWWW[[#This Row],[% Household passed]]="no test"),"No Test","Tested")</f>
        <v>No Test</v>
      </c>
      <c r="CH188" s="971">
        <f>WWWW[[#This Row],['#_Constructed/existing protected hand dug well]]-WWWW[[#This Row],['#_Non-functional protected hand dug well]]</f>
        <v>2</v>
      </c>
      <c r="CI188" s="971">
        <f>(WWWW[[#This Row],['#_Constructed/Existing tube wells/boreholes/handpumps_WASH_agency]]+WWWW[[#This Row],['#_Non-Cluster partner water tube-wells/boreholes/handpumps]])-WWWW[[#This Row],['#_Non-functional tube wells/boreholes/handpumps]]</f>
        <v>0</v>
      </c>
      <c r="CJ188" s="971">
        <f>WWWW[[#This Row],['#_Constructed/Existingwater storage tank with gravity fed reticulation system]]-WWWW[[#This Row],['#_Non-functional storage tank gravity fed reticulation system]]</f>
        <v>2</v>
      </c>
      <c r="CK188" s="971">
        <f>(WWWW[[#This Row],['#_Water_Liters_supplied_by_Water boating or water trucking]]/90)/15</f>
        <v>0</v>
      </c>
      <c r="CL188" s="971">
        <f>WWWW[[#This Row],['#_Water_Liters_from_Constructed/Existing water distribution system from river or natural spring]]/90/15</f>
        <v>0</v>
      </c>
      <c r="CM188" s="421">
        <f>IF(WWWW[[#This Row],['#_of water points in TLS/CFS]]*500&gt;WWWW[[#This Row],[Total PoP ]],WWWW[[#This Row],[Total PoP ]],WWWW[[#This Row],['#_of water points in TLS/CFS]]*500)</f>
        <v>0</v>
      </c>
      <c r="CN188" s="421">
        <f>IF(WWWW[[#This Row],['#_of water points in THF]]*500&gt;WWWW[[#This Row],[Total PoP ]],WWWW[[#This Row],[Total PoP ]],WWWW[[#This Row],['#_of water points in THF]]*500)</f>
        <v>0</v>
      </c>
      <c r="CO188" s="421"/>
      <c r="CP18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0.73987538940809972</v>
      </c>
      <c r="CR188" s="970">
        <f>IF(WWWW[[#This Row],[Location Type 1]]="Village",WWWW[[#This Row],[Access to safe drinking water for Village]],WWWW[[#This Row],[Access to safe drinking water for Camp]])</f>
        <v>1</v>
      </c>
      <c r="CS188" s="968">
        <f>WWWW[[#This Row],[%Equitable and continuous access to sufficient quantity of safe drinking water]]*WWWW[[#This Row],[Total PoP ]]</f>
        <v>856</v>
      </c>
      <c r="CT188" s="970">
        <f>IF((WWWW[[#This Row],['#_Constructed/Existing protected/fenced ponds]]*250)/WWWW[[#This Row],[Total PoP ]]&gt;1,1,(WWWW[[#This Row],['#_Constructed/Existing protected/fenced ponds]]*250)/WWWW[[#This Row],[Total PoP ]])</f>
        <v>0</v>
      </c>
      <c r="CU188" s="968">
        <f>WWWW[[#This Row],[% Access to unimproved water points]]*WWWW[[#This Row],[Total PoP ]]</f>
        <v>0</v>
      </c>
      <c r="CV18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856</v>
      </c>
      <c r="CX188" s="968">
        <f>WWWW[[#This Row],[HRP1]]/500</f>
        <v>1.712</v>
      </c>
      <c r="CY188" s="973">
        <f>1-WWWW[[#This Row],[% Equitable and continuous access to sufficient quantity of domestic water]]</f>
        <v>0</v>
      </c>
      <c r="CZ188" s="968">
        <f>WWWW[[#This Row],[%equitable and continuous access to sufficient quantity of safe drinking and domestic water''s GAP]]*WWWW[[#This Row],[Total PoP ]]</f>
        <v>0</v>
      </c>
      <c r="DA188" s="971">
        <f>IF(WWWW[[#This Row],[Total required water points]]-WWWW[[#This Row],['#Water points coverage]]&lt;0,0,WWWW[[#This Row],[Total required water points]]-WWWW[[#This Row],['#Water points coverage]])</f>
        <v>0.28800000000000003</v>
      </c>
      <c r="DB188" s="971">
        <f>ROUND(IF(WWWW[[#This Row],[Total PoP ]]&lt;500,1,WWWW[[#This Row],[Total PoP ]]/500),0)</f>
        <v>2</v>
      </c>
      <c r="DC188" s="971">
        <f>(WWWW[[#This Row],['#_Constructed latrines_by_WASHAgencies]]+WWWW[[#This Row],['#_Non Cluster partner latrines]])-WWWW[[#This Row],['#_Non-functional latrines]]</f>
        <v>112</v>
      </c>
      <c r="DD188" s="619">
        <f>WWWW[[#This Row],[HRP2]]/WWWW[[#This Row],[Total PoP ]]</f>
        <v>1</v>
      </c>
      <c r="DE18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856</v>
      </c>
      <c r="DF18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8" s="421">
        <f>IF(WWWW[[#This Row],['# of functional latrines in THF supported by WASH partners during the reporting period2]]="",0,WWWW[[#This Row],['# of functional latrines in THF supported by WASH partners during the reporting period2]]*50)</f>
        <v>0</v>
      </c>
      <c r="DI188" s="971">
        <f>ROUND(IF(WWWW[[#This Row],[Location Type 1]]="camp",WWWW[[#This Row],[Total PoP ]]/20,IF(WWWW[[#This Row],[Location Type 1]]="Temporary Location",WWWW[[#This Row],[Total PoP ]]/50,(WWWW[[#This Row],[Total PoP ]]/6))),0)</f>
        <v>43</v>
      </c>
      <c r="DJ188" s="971">
        <f>IF(WWWW[[#This Row],[Total required Latrines]]-(WWWW[[#This Row],['#_Constructed latrines_by_WASHAgencies]]+WWWW[[#This Row],['#_Non Cluster partner latrines]])&lt;0,0,WWWW[[#This Row],[Total required Latrines]]-(WWWW[[#This Row],['#_Constructed latrines_by_WASHAgencies]]+WWWW[[#This Row],['#_Non Cluster partner latrines]]))</f>
        <v>0</v>
      </c>
      <c r="DK188" s="973">
        <f>1-WWWW[[#This Row],[% people access to functioning Latrine]]</f>
        <v>0</v>
      </c>
      <c r="DL188" s="972">
        <f>IF(OR(WWWW[[#This Row],['#_Non-functional latrines]]="",WWWW[[#This Row],['#_Non-functional latrines]]=0),0,WWWW[[#This Row],['#_Non-functional latrines]]/(WWWW[[#This Row],['#_Constructed latrines_by_WASHAgencies]]+WWWW[[#This Row],['#_Non Cluster partner latrines]]))</f>
        <v>0</v>
      </c>
      <c r="DM188" s="968">
        <f>IF(500*(WWWW[[#This Row],['#_male hygiene promoters]]+WWWW[[#This Row],['#_female hygiene promoters]])&gt;WWWW[[#This Row],[Total PoP ]],WWWW[[#This Row],[Total PoP ]],500*(WWWW[[#This Row],['#_male hygiene promoters]]+WWWW[[#This Row],['#_female hygiene promoters]]))</f>
        <v>856</v>
      </c>
      <c r="DN18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8" s="971">
        <f>IF(WWWW[[#This Row],['# People with access to soap]]&gt;WWWW[[#This Row],['# People with access to Sanity Pads]],WWWW[[#This Row],['# People with access to soap]],WWWW[[#This Row],['# People with access to Sanity Pads]])</f>
        <v>0</v>
      </c>
      <c r="DQ188" s="971">
        <f>IF(WWWW[[#This Row],['# people reached by regular dedicated hygiene promotion_5]]&gt;WWWW[[#This Row],['# People received regular supply of hygiene items_6]],WWWW[[#This Row],['# people reached by regular dedicated hygiene promotion_5]],WWWW[[#This Row],['# People received regular supply of hygiene items_6]])</f>
        <v>856</v>
      </c>
      <c r="DR188" s="973">
        <f>IF(WWWW[[#This Row],[HRP3]]/WWWW[[#This Row],[Total PoP ]]&gt;1,1,WWWW[[#This Row],[HRP3]]/WWWW[[#This Row],[Total PoP ]])</f>
        <v>1</v>
      </c>
      <c r="DS188" s="972">
        <f>1-WWWW[[#This Row],[Hygiene Coverage%]]</f>
        <v>0</v>
      </c>
      <c r="DT188" s="970">
        <f>WWWW[[#This Row],['# people reached by regular dedicated hygiene promotion_5]]/WWWW[[#This Row],[Total PoP ]]</f>
        <v>1</v>
      </c>
      <c r="DU18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8" s="971">
        <f>WWWW[[#This Row],['#_Constructed/Existing hand washing stations]]-WWWW[[#This Row],['#_Non-Functional_hand_washing_stations]]</f>
        <v>8</v>
      </c>
      <c r="DX188" s="968">
        <f>IF(WWWW[[#This Row],['# Functional hand washing stations during reporting period]]*20&gt;WWWW[[#This Row],[Total HH]],WWWW[[#This Row],[Total HH]],WWWW[[#This Row],['# Functional hand washing stations during reporting period]]*20)</f>
        <v>138</v>
      </c>
      <c r="DY188" s="968">
        <f>IF(WWWW[[#This Row],[Is sufficient soap available for TLS? (Yes/No)]]="yes",WWWW[[#This Row],['#_Constructed/Existing hand washing stations at TLS/CFS/THF]],0)</f>
        <v>0</v>
      </c>
      <c r="DZ188" s="425">
        <f>IF(WWWW[[#This Row],['# Functional hand washing stations during reporting period]]*100&gt;WWWW[[#This Row],[Total PoP ]],WWWW[[#This Row],[Total PoP ]],WWWW[[#This Row],['# Functional hand washing stations during reporting period]]*100)</f>
        <v>800</v>
      </c>
      <c r="EA188" s="425" t="str">
        <f>IF(OR(WWWW[[#This Row],['#_students at TLS_CFS]]="",WWWW[[#This Row],['#_students at TLS_CFS]]=0),"No","Yes")</f>
        <v>No</v>
      </c>
      <c r="EB18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8" s="570">
        <f>WWWW[[#This Row],[%_of_affected_people_surveyed_who_report_feeling_satistfied_with_the_latrine_design_and_sanitation_service]]*WWWW[[#This Row],[Total PoP ]]</f>
        <v>0</v>
      </c>
      <c r="ED188" s="570">
        <f>WWWW[[#This Row],[%_of_affected_people_surveyed_who_report_feeling_satistfied_with_the_water_point_design_and_water_service]]*WWWW[[#This Row],[Total PoP ]]</f>
        <v>0</v>
      </c>
      <c r="EE188" s="570">
        <f>WWWW[[#This Row],[%_of_complaints_received_that_result_in_timely_corrective_action_and_feedback_to_the_community]]*WWWW[[#This Row],[Total PoP ]]</f>
        <v>0</v>
      </c>
      <c r="EF18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8" s="964" t="str">
        <f>VLOOKUP(WWWW[[#This Row],[Site Name]],SiteDB6[[Site Name]:[CCCM Management]],6,FALSE)</f>
        <v>Yes</v>
      </c>
      <c r="EJ188" s="964" t="str">
        <f>VLOOKUP(WWWW[[#This Row],[Site Name]],SiteDB6[[Site Name]:[CCCM Focal Agency]],7,FALSE)</f>
        <v>KBC-MYT</v>
      </c>
      <c r="EK188" s="964" t="str">
        <f>VLOOKUP(WWWW[[#This Row],[Site Name]],SiteDB6[[Site Name]:[Location Type 1]],9,FALSE)</f>
        <v>Camp</v>
      </c>
      <c r="EL188" s="964" t="str">
        <f>VLOOKUP(WWWW[[#This Row],[Site Name]],SiteDB6[[Site Name]:[Type of Accommodation]],10,FALSE)</f>
        <v>Camp</v>
      </c>
      <c r="EM188" s="964" t="str">
        <f>VLOOKUP(WWWW[[#This Row],[Site Name]],SiteDB6[[Site Name]:[Ethnic or GCA/NGCA]],11,FALSE)</f>
        <v>NGCA</v>
      </c>
      <c r="EN188" s="964">
        <f>VLOOKUP(WWWW[[#This Row],[Site Name]],SiteDB6[[Site Name]:[Lat]],12,FALSE)</f>
        <v>25.200333000000001</v>
      </c>
      <c r="EO188" s="964">
        <f>VLOOKUP(WWWW[[#This Row],[Site Name]],SiteDB6[[Site Name]:[Long]],13,FALSE)</f>
        <v>97.807182999999995</v>
      </c>
      <c r="EP188" s="964" t="str">
        <f>VLOOKUP(WWWW[[#This Row],[Site Name]],SiteDB6[[Site Name]:[Pcode]],3,FALSE)</f>
        <v>MMR001CMP115</v>
      </c>
      <c r="EQ188" s="969" t="str">
        <f t="shared" si="6"/>
        <v>Covered</v>
      </c>
      <c r="ER188" s="969" t="s">
        <v>3147</v>
      </c>
      <c r="ES188" s="964">
        <f>VLOOKUP(WWWW[[#This Row],[Site Name]],SiteDB6[[Site Name]:[Pop
(Kachin/Shan-CCCM as of March 2023)]],16,FALSE)</f>
        <v>138</v>
      </c>
      <c r="ET188" s="964">
        <f>VLOOKUP(WWWW[[#This Row],[Site Name]],SiteDB6[[Site Name]:[Pop
(Kachin/Shan-CCCM as of March 2023)]],17,FALSE)</f>
        <v>891</v>
      </c>
    </row>
    <row r="189" spans="1:150" hidden="1">
      <c r="A189" s="962" t="s">
        <v>2977</v>
      </c>
      <c r="B189" s="963" t="s">
        <v>141</v>
      </c>
      <c r="C189" s="963" t="s">
        <v>141</v>
      </c>
      <c r="D189" s="963" t="s">
        <v>241</v>
      </c>
      <c r="E189" s="963" t="s">
        <v>37</v>
      </c>
      <c r="F189" s="963" t="s">
        <v>142</v>
      </c>
      <c r="G189" s="964" t="str">
        <f>VLOOKUP(WWWW[[#This Row],[Site Name]],SiteDB6[[Site Name]:[Location Type]],8,FALSE)</f>
        <v>Camp</v>
      </c>
      <c r="H189" s="963" t="s">
        <v>176</v>
      </c>
      <c r="I189" s="965">
        <v>27</v>
      </c>
      <c r="J189" s="965">
        <v>140</v>
      </c>
      <c r="K189" s="966">
        <v>44811</v>
      </c>
      <c r="L189" s="967">
        <v>45175</v>
      </c>
      <c r="M189" s="965"/>
      <c r="N189" s="965">
        <v>1</v>
      </c>
      <c r="O189" s="965"/>
      <c r="P189" s="965"/>
      <c r="Q189" s="968" t="s">
        <v>41</v>
      </c>
      <c r="R189" s="965">
        <v>3</v>
      </c>
      <c r="S189" s="965">
        <v>4</v>
      </c>
      <c r="T189" s="445">
        <v>2</v>
      </c>
      <c r="U189" s="965"/>
      <c r="V189" s="965"/>
      <c r="W189" s="965">
        <v>1</v>
      </c>
      <c r="X189" s="965"/>
      <c r="Y189" s="965"/>
      <c r="Z189" s="965"/>
      <c r="AA189" s="965"/>
      <c r="AB189" s="965"/>
      <c r="AC189" s="965"/>
      <c r="AD189" s="965"/>
      <c r="AE189" s="965"/>
      <c r="AF189" s="965"/>
      <c r="AG189" s="965"/>
      <c r="AH189" s="965">
        <v>3</v>
      </c>
      <c r="AI189" s="965"/>
      <c r="AJ189" s="965"/>
      <c r="AK189" s="965"/>
      <c r="AL189" s="965"/>
      <c r="AM189" s="965"/>
      <c r="AN189" s="965"/>
      <c r="AO189" s="445"/>
      <c r="AP189" s="969"/>
      <c r="AQ189" s="965">
        <v>6</v>
      </c>
      <c r="AR189" s="965"/>
      <c r="AS189" s="970"/>
      <c r="AT189" s="965"/>
      <c r="AU189" s="965"/>
      <c r="AV189" s="965"/>
      <c r="AW189" s="965"/>
      <c r="AX189" s="965">
        <v>6</v>
      </c>
      <c r="AY189" s="964" t="s">
        <v>41</v>
      </c>
      <c r="AZ189" s="969" t="s">
        <v>137</v>
      </c>
      <c r="BA189" s="965"/>
      <c r="BB189" s="965"/>
      <c r="BC189" s="965"/>
      <c r="BD189" s="445"/>
      <c r="BE189" s="445"/>
      <c r="BF189" s="964"/>
      <c r="BG189" s="965">
        <v>8</v>
      </c>
      <c r="BH189" s="965"/>
      <c r="BI189" s="965"/>
      <c r="BJ189" s="965">
        <v>3</v>
      </c>
      <c r="BK189" s="965"/>
      <c r="BL189" s="965"/>
      <c r="BM189" s="965">
        <v>1</v>
      </c>
      <c r="BN189" s="965"/>
      <c r="BO189" s="965"/>
      <c r="BP189" s="964"/>
      <c r="BQ189" s="971"/>
      <c r="BR189" s="970"/>
      <c r="BS189" s="964"/>
      <c r="BT189" s="420"/>
      <c r="BU189" s="420"/>
      <c r="BV189" s="422"/>
      <c r="BW189" s="420"/>
      <c r="BX189" s="445"/>
      <c r="BY189" s="445"/>
      <c r="BZ189" s="445"/>
      <c r="CA189" s="445"/>
      <c r="CB189" s="445"/>
      <c r="CC189" s="702"/>
      <c r="CD189" s="445"/>
      <c r="CE189" s="972" t="str">
        <f>IFERROR(WWWW[[#This Row],['#_Water sources passed]]/WWWW[[#This Row],['#_Water sources tested for fecal coliform ]],"no test")</f>
        <v>no test</v>
      </c>
      <c r="CF189" s="970" t="str">
        <f>IFERROR(WWWW[[#This Row],['#_Household passed]]/WWWW[[#This Row],['#_Household water samples tested for fecal coliform]],"no test")</f>
        <v>no test</v>
      </c>
      <c r="CG189" s="971" t="str">
        <f>IF(AND(WWWW[[#This Row],[% of water sources passed]]="no test",WWWW[[#This Row],[% Household passed]]="no test"),"No Test","Tested")</f>
        <v>No Test</v>
      </c>
      <c r="CH189" s="971">
        <f>WWWW[[#This Row],['#_Constructed/existing protected hand dug well]]-WWWW[[#This Row],['#_Non-functional protected hand dug well]]</f>
        <v>2</v>
      </c>
      <c r="CI189" s="971">
        <f>(WWWW[[#This Row],['#_Constructed/Existing tube wells/boreholes/handpumps_WASH_agency]]+WWWW[[#This Row],['#_Non-Cluster partner water tube-wells/boreholes/handpumps]])-WWWW[[#This Row],['#_Non-functional tube wells/boreholes/handpumps]]</f>
        <v>1</v>
      </c>
      <c r="CJ189" s="971">
        <f>WWWW[[#This Row],['#_Constructed/Existingwater storage tank with gravity fed reticulation system]]-WWWW[[#This Row],['#_Non-functional storage tank gravity fed reticulation system]]</f>
        <v>0</v>
      </c>
      <c r="CK189" s="971">
        <f>(WWWW[[#This Row],['#_Water_Liters_supplied_by_Water boating or water trucking]]/90)/15</f>
        <v>0</v>
      </c>
      <c r="CL189" s="971">
        <f>WWWW[[#This Row],['#_Water_Liters_from_Constructed/Existing water distribution system from river or natural spring]]/90/15</f>
        <v>0</v>
      </c>
      <c r="CM189" s="421">
        <f>IF(WWWW[[#This Row],['#_of water points in TLS/CFS]]*500&gt;WWWW[[#This Row],[Total PoP ]],WWWW[[#This Row],[Total PoP ]],WWWW[[#This Row],['#_of water points in TLS/CFS]]*500)</f>
        <v>0</v>
      </c>
      <c r="CN189" s="421">
        <f>IF(WWWW[[#This Row],['#_of water points in THF]]*500&gt;WWWW[[#This Row],[Total PoP ]],WWWW[[#This Row],[Total PoP ]],WWWW[[#This Row],['#_of water points in THF]]*500)</f>
        <v>0</v>
      </c>
      <c r="CO189" s="421"/>
      <c r="CP18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9" s="970">
        <f>IF(WWWW[[#This Row],[Location Type 1]]="Village",WWWW[[#This Row],[Access to safe drinking water for Village]],WWWW[[#This Row],[Access to safe drinking water for Camp]])</f>
        <v>1</v>
      </c>
      <c r="CS189" s="968">
        <f>WWWW[[#This Row],[%Equitable and continuous access to sufficient quantity of safe drinking water]]*WWWW[[#This Row],[Total PoP ]]</f>
        <v>140</v>
      </c>
      <c r="CT189" s="970">
        <f>IF((WWWW[[#This Row],['#_Constructed/Existing protected/fenced ponds]]*250)/WWWW[[#This Row],[Total PoP ]]&gt;1,1,(WWWW[[#This Row],['#_Constructed/Existing protected/fenced ponds]]*250)/WWWW[[#This Row],[Total PoP ]])</f>
        <v>0</v>
      </c>
      <c r="CU189" s="968">
        <f>WWWW[[#This Row],[% Access to unimproved water points]]*WWWW[[#This Row],[Total PoP ]]</f>
        <v>0</v>
      </c>
      <c r="CV18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v>
      </c>
      <c r="CX189" s="968">
        <f>WWWW[[#This Row],[HRP1]]/500</f>
        <v>0.28000000000000003</v>
      </c>
      <c r="CY189" s="973">
        <f>1-WWWW[[#This Row],[% Equitable and continuous access to sufficient quantity of domestic water]]</f>
        <v>0</v>
      </c>
      <c r="CZ189" s="968">
        <f>WWWW[[#This Row],[%equitable and continuous access to sufficient quantity of safe drinking and domestic water''s GAP]]*WWWW[[#This Row],[Total PoP ]]</f>
        <v>0</v>
      </c>
      <c r="DA189" s="971">
        <f>IF(WWWW[[#This Row],[Total required water points]]-WWWW[[#This Row],['#Water points coverage]]&lt;0,0,WWWW[[#This Row],[Total required water points]]-WWWW[[#This Row],['#Water points coverage]])</f>
        <v>0.72</v>
      </c>
      <c r="DB189" s="971">
        <f>ROUND(IF(WWWW[[#This Row],[Total PoP ]]&lt;500,1,WWWW[[#This Row],[Total PoP ]]/500),0)</f>
        <v>1</v>
      </c>
      <c r="DC189" s="971">
        <f>(WWWW[[#This Row],['#_Constructed latrines_by_WASHAgencies]]+WWWW[[#This Row],['#_Non Cluster partner latrines]])-WWWW[[#This Row],['#_Non-functional latrines]]</f>
        <v>6</v>
      </c>
      <c r="DD189" s="619">
        <f>WWWW[[#This Row],[HRP2]]/WWWW[[#This Row],[Total PoP ]]</f>
        <v>0.8571428571428571</v>
      </c>
      <c r="DE18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18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9" s="421">
        <f>IF(WWWW[[#This Row],['# of functional latrines in THF supported by WASH partners during the reporting period2]]="",0,WWWW[[#This Row],['# of functional latrines in THF supported by WASH partners during the reporting period2]]*50)</f>
        <v>0</v>
      </c>
      <c r="DI189" s="971">
        <f>ROUND(IF(WWWW[[#This Row],[Location Type 1]]="camp",WWWW[[#This Row],[Total PoP ]]/20,IF(WWWW[[#This Row],[Location Type 1]]="Temporary Location",WWWW[[#This Row],[Total PoP ]]/50,(WWWW[[#This Row],[Total PoP ]]/6))),0)</f>
        <v>7</v>
      </c>
      <c r="DJ189" s="971">
        <f>IF(WWWW[[#This Row],[Total required Latrines]]-(WWWW[[#This Row],['#_Constructed latrines_by_WASHAgencies]]+WWWW[[#This Row],['#_Non Cluster partner latrines]])&lt;0,0,WWWW[[#This Row],[Total required Latrines]]-(WWWW[[#This Row],['#_Constructed latrines_by_WASHAgencies]]+WWWW[[#This Row],['#_Non Cluster partner latrines]]))</f>
        <v>1</v>
      </c>
      <c r="DK189" s="973">
        <f>1-WWWW[[#This Row],[% people access to functioning Latrine]]</f>
        <v>0.1428571428571429</v>
      </c>
      <c r="DL189" s="972">
        <f>IF(OR(WWWW[[#This Row],['#_Non-functional latrines]]="",WWWW[[#This Row],['#_Non-functional latrines]]=0),0,WWWW[[#This Row],['#_Non-functional latrines]]/(WWWW[[#This Row],['#_Constructed latrines_by_WASHAgencies]]+WWWW[[#This Row],['#_Non Cluster partner latrines]]))</f>
        <v>0</v>
      </c>
      <c r="DM189" s="968">
        <f>IF(500*(WWWW[[#This Row],['#_male hygiene promoters]]+WWWW[[#This Row],['#_female hygiene promoters]])&gt;WWWW[[#This Row],[Total PoP ]],WWWW[[#This Row],[Total PoP ]],500*(WWWW[[#This Row],['#_male hygiene promoters]]+WWWW[[#This Row],['#_female hygiene promoters]]))</f>
        <v>140</v>
      </c>
      <c r="DN18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9" s="971">
        <f>IF(WWWW[[#This Row],['# People with access to soap]]&gt;WWWW[[#This Row],['# People with access to Sanity Pads]],WWWW[[#This Row],['# People with access to soap]],WWWW[[#This Row],['# People with access to Sanity Pads]])</f>
        <v>0</v>
      </c>
      <c r="DQ189" s="971">
        <f>IF(WWWW[[#This Row],['# people reached by regular dedicated hygiene promotion_5]]&gt;WWWW[[#This Row],['# People received regular supply of hygiene items_6]],WWWW[[#This Row],['# people reached by regular dedicated hygiene promotion_5]],WWWW[[#This Row],['# People received regular supply of hygiene items_6]])</f>
        <v>140</v>
      </c>
      <c r="DR189" s="973">
        <f>IF(WWWW[[#This Row],[HRP3]]/WWWW[[#This Row],[Total PoP ]]&gt;1,1,WWWW[[#This Row],[HRP3]]/WWWW[[#This Row],[Total PoP ]])</f>
        <v>1</v>
      </c>
      <c r="DS189" s="972">
        <f>1-WWWW[[#This Row],[Hygiene Coverage%]]</f>
        <v>0</v>
      </c>
      <c r="DT189" s="970">
        <f>WWWW[[#This Row],['# people reached by regular dedicated hygiene promotion_5]]/WWWW[[#This Row],[Total PoP ]]</f>
        <v>1</v>
      </c>
      <c r="DU18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9" s="971">
        <f>WWWW[[#This Row],['#_Constructed/Existing hand washing stations]]-WWWW[[#This Row],['#_Non-Functional_hand_washing_stations]]</f>
        <v>8</v>
      </c>
      <c r="DX189" s="968">
        <f>IF(WWWW[[#This Row],['# Functional hand washing stations during reporting period]]*20&gt;WWWW[[#This Row],[Total HH]],WWWW[[#This Row],[Total HH]],WWWW[[#This Row],['# Functional hand washing stations during reporting period]]*20)</f>
        <v>27</v>
      </c>
      <c r="DY189" s="968">
        <f>IF(WWWW[[#This Row],[Is sufficient soap available for TLS? (Yes/No)]]="yes",WWWW[[#This Row],['#_Constructed/Existing hand washing stations at TLS/CFS/THF]],0)</f>
        <v>0</v>
      </c>
      <c r="DZ189" s="425">
        <f>IF(WWWW[[#This Row],['# Functional hand washing stations during reporting period]]*100&gt;WWWW[[#This Row],[Total PoP ]],WWWW[[#This Row],[Total PoP ]],WWWW[[#This Row],['# Functional hand washing stations during reporting period]]*100)</f>
        <v>140</v>
      </c>
      <c r="EA189" s="425" t="str">
        <f>IF(OR(WWWW[[#This Row],['#_students at TLS_CFS]]="",WWWW[[#This Row],['#_students at TLS_CFS]]=0),"No","Yes")</f>
        <v>No</v>
      </c>
      <c r="EB18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9" s="570">
        <f>WWWW[[#This Row],[%_of_affected_people_surveyed_who_report_feeling_satistfied_with_the_latrine_design_and_sanitation_service]]*WWWW[[#This Row],[Total PoP ]]</f>
        <v>0</v>
      </c>
      <c r="ED189" s="570">
        <f>WWWW[[#This Row],[%_of_affected_people_surveyed_who_report_feeling_satistfied_with_the_water_point_design_and_water_service]]*WWWW[[#This Row],[Total PoP ]]</f>
        <v>0</v>
      </c>
      <c r="EE189" s="570">
        <f>WWWW[[#This Row],[%_of_complaints_received_that_result_in_timely_corrective_action_and_feedback_to_the_community]]*WWWW[[#This Row],[Total PoP ]]</f>
        <v>0</v>
      </c>
      <c r="EF18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9" s="964" t="str">
        <f>VLOOKUP(WWWW[[#This Row],[Site Name]],SiteDB6[[Site Name]:[CCCM Management]],6,FALSE)</f>
        <v>Yes</v>
      </c>
      <c r="EJ189" s="964" t="str">
        <f>VLOOKUP(WWWW[[#This Row],[Site Name]],SiteDB6[[Site Name]:[CCCM Focal Agency]],7,FALSE)</f>
        <v>KBC-MYT</v>
      </c>
      <c r="EK189" s="964" t="str">
        <f>VLOOKUP(WWWW[[#This Row],[Site Name]],SiteDB6[[Site Name]:[Location Type 1]],9,FALSE)</f>
        <v>Camp</v>
      </c>
      <c r="EL189" s="964" t="str">
        <f>VLOOKUP(WWWW[[#This Row],[Site Name]],SiteDB6[[Site Name]:[Type of Accommodation]],10,FALSE)</f>
        <v>Camp</v>
      </c>
      <c r="EM189" s="964" t="str">
        <f>VLOOKUP(WWWW[[#This Row],[Site Name]],SiteDB6[[Site Name]:[Ethnic or GCA/NGCA]],11,FALSE)</f>
        <v>GCA</v>
      </c>
      <c r="EN189" s="964">
        <f>VLOOKUP(WWWW[[#This Row],[Site Name]],SiteDB6[[Site Name]:[Lat]],12,FALSE)</f>
        <v>25.356632000000001</v>
      </c>
      <c r="EO189" s="964">
        <f>VLOOKUP(WWWW[[#This Row],[Site Name]],SiteDB6[[Site Name]:[Long]],13,FALSE)</f>
        <v>97.451965000000001</v>
      </c>
      <c r="EP189" s="964" t="str">
        <f>VLOOKUP(WWWW[[#This Row],[Site Name]],SiteDB6[[Site Name]:[Pcode]],3,FALSE)</f>
        <v>MMR001CMP027</v>
      </c>
      <c r="EQ189" s="969" t="str">
        <f t="shared" si="6"/>
        <v>Covered</v>
      </c>
      <c r="ER189" s="969" t="s">
        <v>3147</v>
      </c>
      <c r="ES189" s="964">
        <f>VLOOKUP(WWWW[[#This Row],[Site Name]],SiteDB6[[Site Name]:[Pop
(Kachin/Shan-CCCM as of March 2023)]],16,FALSE)</f>
        <v>40</v>
      </c>
      <c r="ET189" s="964">
        <f>VLOOKUP(WWWW[[#This Row],[Site Name]],SiteDB6[[Site Name]:[Pop
(Kachin/Shan-CCCM as of March 2023)]],17,FALSE)</f>
        <v>242</v>
      </c>
    </row>
    <row r="190" spans="1:150" hidden="1">
      <c r="A190" s="962" t="s">
        <v>2977</v>
      </c>
      <c r="B190" s="1068" t="s">
        <v>3203</v>
      </c>
      <c r="C190" s="963" t="s">
        <v>141</v>
      </c>
      <c r="D190" s="963" t="s">
        <v>3114</v>
      </c>
      <c r="E190" s="963" t="s">
        <v>37</v>
      </c>
      <c r="F190" s="963" t="s">
        <v>142</v>
      </c>
      <c r="G190" s="964" t="str">
        <f>VLOOKUP(WWWW[[#This Row],[Site Name]],SiteDB6[[Site Name]:[Location Type]],8,FALSE)</f>
        <v>Camp</v>
      </c>
      <c r="H190" s="963" t="s">
        <v>177</v>
      </c>
      <c r="I190" s="965">
        <v>428</v>
      </c>
      <c r="J190" s="965">
        <v>1342</v>
      </c>
      <c r="K190" s="966">
        <v>44811</v>
      </c>
      <c r="L190" s="967">
        <v>45175</v>
      </c>
      <c r="M190" s="965"/>
      <c r="N190" s="965">
        <v>6</v>
      </c>
      <c r="O190" s="965"/>
      <c r="P190" s="965"/>
      <c r="Q190" s="968" t="s">
        <v>41</v>
      </c>
      <c r="R190" s="965">
        <v>3</v>
      </c>
      <c r="S190" s="965">
        <v>2</v>
      </c>
      <c r="T190" s="445">
        <v>1</v>
      </c>
      <c r="U190" s="965"/>
      <c r="V190" s="965"/>
      <c r="W190" s="965"/>
      <c r="X190" s="965"/>
      <c r="Y190" s="965"/>
      <c r="Z190" s="965"/>
      <c r="AA190" s="965"/>
      <c r="AB190" s="965"/>
      <c r="AC190" s="965"/>
      <c r="AD190" s="965"/>
      <c r="AE190" s="965"/>
      <c r="AF190" s="965"/>
      <c r="AG190" s="965"/>
      <c r="AH190" s="965"/>
      <c r="AI190" s="965"/>
      <c r="AJ190" s="965"/>
      <c r="AK190" s="965"/>
      <c r="AL190" s="965"/>
      <c r="AM190" s="965"/>
      <c r="AN190" s="965"/>
      <c r="AO190" s="445"/>
      <c r="AP190" s="969"/>
      <c r="AQ190" s="965">
        <v>407</v>
      </c>
      <c r="AR190" s="965"/>
      <c r="AS190" s="970"/>
      <c r="AT190" s="965"/>
      <c r="AU190" s="965"/>
      <c r="AV190" s="965"/>
      <c r="AW190" s="965"/>
      <c r="AX190" s="965"/>
      <c r="AY190" s="964" t="s">
        <v>41</v>
      </c>
      <c r="AZ190" s="969" t="s">
        <v>137</v>
      </c>
      <c r="BA190" s="965">
        <v>3</v>
      </c>
      <c r="BB190" s="965"/>
      <c r="BC190" s="965"/>
      <c r="BD190" s="445"/>
      <c r="BE190" s="445"/>
      <c r="BF190" s="964"/>
      <c r="BG190" s="965">
        <v>177</v>
      </c>
      <c r="BH190" s="965"/>
      <c r="BI190" s="965">
        <v>12</v>
      </c>
      <c r="BJ190" s="965">
        <v>6</v>
      </c>
      <c r="BK190" s="965"/>
      <c r="BL190" s="965">
        <v>1</v>
      </c>
      <c r="BM190" s="965">
        <v>5</v>
      </c>
      <c r="BN190" s="965"/>
      <c r="BO190" s="965"/>
      <c r="BP190" s="964"/>
      <c r="BQ190" s="971"/>
      <c r="BR190" s="970"/>
      <c r="BS190" s="964"/>
      <c r="BT190" s="420"/>
      <c r="BU190" s="420"/>
      <c r="BV190" s="422"/>
      <c r="BW190" s="420"/>
      <c r="BX190" s="445"/>
      <c r="BY190" s="445"/>
      <c r="BZ190" s="445"/>
      <c r="CA190" s="445"/>
      <c r="CB190" s="445"/>
      <c r="CC190" s="702"/>
      <c r="CD190" s="445"/>
      <c r="CE190" s="972" t="str">
        <f>IFERROR(WWWW[[#This Row],['#_Water sources passed]]/WWWW[[#This Row],['#_Water sources tested for fecal coliform ]],"no test")</f>
        <v>no test</v>
      </c>
      <c r="CF190" s="970" t="str">
        <f>IFERROR(WWWW[[#This Row],['#_Household passed]]/WWWW[[#This Row],['#_Household water samples tested for fecal coliform]],"no test")</f>
        <v>no test</v>
      </c>
      <c r="CG190" s="971" t="str">
        <f>IF(AND(WWWW[[#This Row],[% of water sources passed]]="no test",WWWW[[#This Row],[% Household passed]]="no test"),"No Test","Tested")</f>
        <v>No Test</v>
      </c>
      <c r="CH190" s="971">
        <f>WWWW[[#This Row],['#_Constructed/existing protected hand dug well]]-WWWW[[#This Row],['#_Non-functional protected hand dug well]]</f>
        <v>1</v>
      </c>
      <c r="CI190" s="971">
        <f>(WWWW[[#This Row],['#_Constructed/Existing tube wells/boreholes/handpumps_WASH_agency]]+WWWW[[#This Row],['#_Non-Cluster partner water tube-wells/boreholes/handpumps]])-WWWW[[#This Row],['#_Non-functional tube wells/boreholes/handpumps]]</f>
        <v>0</v>
      </c>
      <c r="CJ190" s="971">
        <f>WWWW[[#This Row],['#_Constructed/Existingwater storage tank with gravity fed reticulation system]]-WWWW[[#This Row],['#_Non-functional storage tank gravity fed reticulation system]]</f>
        <v>0</v>
      </c>
      <c r="CK190" s="971">
        <f>(WWWW[[#This Row],['#_Water_Liters_supplied_by_Water boating or water trucking]]/90)/15</f>
        <v>0</v>
      </c>
      <c r="CL190" s="971">
        <f>WWWW[[#This Row],['#_Water_Liters_from_Constructed/Existing water distribution system from river or natural spring]]/90/15</f>
        <v>0</v>
      </c>
      <c r="CM190" s="421">
        <f>IF(WWWW[[#This Row],['#_of water points in TLS/CFS]]*500&gt;WWWW[[#This Row],[Total PoP ]],WWWW[[#This Row],[Total PoP ]],WWWW[[#This Row],['#_of water points in TLS/CFS]]*500)</f>
        <v>0</v>
      </c>
      <c r="CN190" s="421">
        <f>IF(WWWW[[#This Row],['#_of water points in THF]]*500&gt;WWWW[[#This Row],[Total PoP ]],WWWW[[#This Row],[Total PoP ]],WWWW[[#This Row],['#_of water points in THF]]*500)</f>
        <v>0</v>
      </c>
      <c r="CO190" s="421"/>
      <c r="CP19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0.29806259314456035</v>
      </c>
      <c r="CQ19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0.18628912071535023</v>
      </c>
      <c r="CR190" s="970">
        <f>IF(WWWW[[#This Row],[Location Type 1]]="Village",WWWW[[#This Row],[Access to safe drinking water for Village]],WWWW[[#This Row],[Access to safe drinking water for Camp]])</f>
        <v>0.29806259314456035</v>
      </c>
      <c r="CS190" s="968">
        <f>WWWW[[#This Row],[%Equitable and continuous access to sufficient quantity of safe drinking water]]*WWWW[[#This Row],[Total PoP ]]</f>
        <v>400</v>
      </c>
      <c r="CT190" s="970">
        <f>IF((WWWW[[#This Row],['#_Constructed/Existing protected/fenced ponds]]*250)/WWWW[[#This Row],[Total PoP ]]&gt;1,1,(WWWW[[#This Row],['#_Constructed/Existing protected/fenced ponds]]*250)/WWWW[[#This Row],[Total PoP ]])</f>
        <v>0</v>
      </c>
      <c r="CU190" s="968">
        <f>WWWW[[#This Row],[% Access to unimproved water points]]*WWWW[[#This Row],[Total PoP ]]</f>
        <v>0</v>
      </c>
      <c r="CV19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0.29806259314456035</v>
      </c>
      <c r="CW19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X190" s="968">
        <f>WWWW[[#This Row],[HRP1]]/500</f>
        <v>0.8</v>
      </c>
      <c r="CY190" s="973">
        <f>1-WWWW[[#This Row],[% Equitable and continuous access to sufficient quantity of domestic water]]</f>
        <v>0.70193740685543959</v>
      </c>
      <c r="CZ190" s="968">
        <f>WWWW[[#This Row],[%equitable and continuous access to sufficient quantity of safe drinking and domestic water''s GAP]]*WWWW[[#This Row],[Total PoP ]]</f>
        <v>941.99999999999989</v>
      </c>
      <c r="DA190" s="971">
        <f>IF(WWWW[[#This Row],[Total required water points]]-WWWW[[#This Row],['#Water points coverage]]&lt;0,0,WWWW[[#This Row],[Total required water points]]-WWWW[[#This Row],['#Water points coverage]])</f>
        <v>2.2000000000000002</v>
      </c>
      <c r="DB190" s="971">
        <f>ROUND(IF(WWWW[[#This Row],[Total PoP ]]&lt;500,1,WWWW[[#This Row],[Total PoP ]]/500),0)</f>
        <v>3</v>
      </c>
      <c r="DC190" s="971">
        <f>(WWWW[[#This Row],['#_Constructed latrines_by_WASHAgencies]]+WWWW[[#This Row],['#_Non Cluster partner latrines]])-WWWW[[#This Row],['#_Non-functional latrines]]</f>
        <v>407</v>
      </c>
      <c r="DD190" s="619">
        <f>WWWW[[#This Row],[HRP2]]/WWWW[[#This Row],[Total PoP ]]</f>
        <v>1</v>
      </c>
      <c r="DE19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1342</v>
      </c>
      <c r="DF19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0" s="421">
        <f>IF(WWWW[[#This Row],['# of functional latrines in THF supported by WASH partners during the reporting period2]]="",0,WWWW[[#This Row],['# of functional latrines in THF supported by WASH partners during the reporting period2]]*50)</f>
        <v>0</v>
      </c>
      <c r="DI190" s="971">
        <f>ROUND(IF(WWWW[[#This Row],[Location Type 1]]="camp",WWWW[[#This Row],[Total PoP ]]/20,IF(WWWW[[#This Row],[Location Type 1]]="Temporary Location",WWWW[[#This Row],[Total PoP ]]/50,(WWWW[[#This Row],[Total PoP ]]/6))),0)</f>
        <v>224</v>
      </c>
      <c r="DJ190" s="971">
        <f>IF(WWWW[[#This Row],[Total required Latrines]]-(WWWW[[#This Row],['#_Constructed latrines_by_WASHAgencies]]+WWWW[[#This Row],['#_Non Cluster partner latrines]])&lt;0,0,WWWW[[#This Row],[Total required Latrines]]-(WWWW[[#This Row],['#_Constructed latrines_by_WASHAgencies]]+WWWW[[#This Row],['#_Non Cluster partner latrines]]))</f>
        <v>0</v>
      </c>
      <c r="DK190" s="973">
        <f>1-WWWW[[#This Row],[% people access to functioning Latrine]]</f>
        <v>0</v>
      </c>
      <c r="DL190" s="972">
        <f>IF(OR(WWWW[[#This Row],['#_Non-functional latrines]]="",WWWW[[#This Row],['#_Non-functional latrines]]=0),0,WWWW[[#This Row],['#_Non-functional latrines]]/(WWWW[[#This Row],['#_Constructed latrines_by_WASHAgencies]]+WWWW[[#This Row],['#_Non Cluster partner latrines]]))</f>
        <v>0</v>
      </c>
      <c r="DM190" s="968">
        <f>IF(500*(WWWW[[#This Row],['#_male hygiene promoters]]+WWWW[[#This Row],['#_female hygiene promoters]])&gt;WWWW[[#This Row],[Total PoP ]],WWWW[[#This Row],[Total PoP ]],500*(WWWW[[#This Row],['#_male hygiene promoters]]+WWWW[[#This Row],['#_female hygiene promoters]]))</f>
        <v>1342</v>
      </c>
      <c r="DN19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0" s="971">
        <f>IF(WWWW[[#This Row],['# People with access to soap]]&gt;WWWW[[#This Row],['# People with access to Sanity Pads]],WWWW[[#This Row],['# People with access to soap]],WWWW[[#This Row],['# People with access to Sanity Pads]])</f>
        <v>0</v>
      </c>
      <c r="DQ190" s="971">
        <f>IF(WWWW[[#This Row],['# people reached by regular dedicated hygiene promotion_5]]&gt;WWWW[[#This Row],['# People received regular supply of hygiene items_6]],WWWW[[#This Row],['# people reached by regular dedicated hygiene promotion_5]],WWWW[[#This Row],['# People received regular supply of hygiene items_6]])</f>
        <v>1342</v>
      </c>
      <c r="DR190" s="973">
        <f>IF(WWWW[[#This Row],[HRP3]]/WWWW[[#This Row],[Total PoP ]]&gt;1,1,WWWW[[#This Row],[HRP3]]/WWWW[[#This Row],[Total PoP ]])</f>
        <v>1</v>
      </c>
      <c r="DS190" s="972">
        <f>1-WWWW[[#This Row],[Hygiene Coverage%]]</f>
        <v>0</v>
      </c>
      <c r="DT190" s="970">
        <f>WWWW[[#This Row],['# people reached by regular dedicated hygiene promotion_5]]/WWWW[[#This Row],[Total PoP ]]</f>
        <v>1</v>
      </c>
      <c r="DU19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0" s="971">
        <f>WWWW[[#This Row],['#_Constructed/Existing hand washing stations]]-WWWW[[#This Row],['#_Non-Functional_hand_washing_stations]]</f>
        <v>177</v>
      </c>
      <c r="DX190" s="968">
        <f>IF(WWWW[[#This Row],['# Functional hand washing stations during reporting period]]*20&gt;WWWW[[#This Row],[Total HH]],WWWW[[#This Row],[Total HH]],WWWW[[#This Row],['# Functional hand washing stations during reporting period]]*20)</f>
        <v>428</v>
      </c>
      <c r="DY190" s="968">
        <f>IF(WWWW[[#This Row],[Is sufficient soap available for TLS? (Yes/No)]]="yes",WWWW[[#This Row],['#_Constructed/Existing hand washing stations at TLS/CFS/THF]],0)</f>
        <v>0</v>
      </c>
      <c r="DZ190" s="425">
        <f>IF(WWWW[[#This Row],['# Functional hand washing stations during reporting period]]*100&gt;WWWW[[#This Row],[Total PoP ]],WWWW[[#This Row],[Total PoP ]],WWWW[[#This Row],['# Functional hand washing stations during reporting period]]*100)</f>
        <v>1342</v>
      </c>
      <c r="EA190" s="425" t="str">
        <f>IF(OR(WWWW[[#This Row],['#_students at TLS_CFS]]="",WWWW[[#This Row],['#_students at TLS_CFS]]=0),"No","Yes")</f>
        <v>No</v>
      </c>
      <c r="EB190"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0" s="570">
        <f>WWWW[[#This Row],[%_of_affected_people_surveyed_who_report_feeling_satistfied_with_the_latrine_design_and_sanitation_service]]*WWWW[[#This Row],[Total PoP ]]</f>
        <v>0</v>
      </c>
      <c r="ED190" s="570">
        <f>WWWW[[#This Row],[%_of_affected_people_surveyed_who_report_feeling_satistfied_with_the_water_point_design_and_water_service]]*WWWW[[#This Row],[Total PoP ]]</f>
        <v>0</v>
      </c>
      <c r="EE190" s="570">
        <f>WWWW[[#This Row],[%_of_complaints_received_that_result_in_timely_corrective_action_and_feedback_to_the_community]]*WWWW[[#This Row],[Total PoP ]]</f>
        <v>0</v>
      </c>
      <c r="EF19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0" s="964" t="str">
        <f>VLOOKUP(WWWW[[#This Row],[Site Name]],SiteDB6[[Site Name]:[CCCM Management]],6,FALSE)</f>
        <v>Yes</v>
      </c>
      <c r="EJ190" s="964" t="str">
        <f>VLOOKUP(WWWW[[#This Row],[Site Name]],SiteDB6[[Site Name]:[CCCM Focal Agency]],7,FALSE)</f>
        <v>KMSS-MYT</v>
      </c>
      <c r="EK190" s="964" t="str">
        <f>VLOOKUP(WWWW[[#This Row],[Site Name]],SiteDB6[[Site Name]:[Location Type 1]],9,FALSE)</f>
        <v>Village Type Camp</v>
      </c>
      <c r="EL190" s="964" t="str">
        <f>VLOOKUP(WWWW[[#This Row],[Site Name]],SiteDB6[[Site Name]:[Type of Accommodation]],10,FALSE)</f>
        <v>Camp</v>
      </c>
      <c r="EM190" s="964" t="str">
        <f>VLOOKUP(WWWW[[#This Row],[Site Name]],SiteDB6[[Site Name]:[Ethnic or GCA/NGCA]],11,FALSE)</f>
        <v>NGCA</v>
      </c>
      <c r="EN190" s="964">
        <f>VLOOKUP(WWWW[[#This Row],[Site Name]],SiteDB6[[Site Name]:[Lat]],12,FALSE)</f>
        <v>24.980250000000002</v>
      </c>
      <c r="EO190" s="964">
        <f>VLOOKUP(WWWW[[#This Row],[Site Name]],SiteDB6[[Site Name]:[Long]],13,FALSE)</f>
        <v>97.715230000000005</v>
      </c>
      <c r="EP190" s="964" t="str">
        <f>VLOOKUP(WWWW[[#This Row],[Site Name]],SiteDB6[[Site Name]:[Pcode]],3,FALSE)</f>
        <v>MMR001CMP119</v>
      </c>
      <c r="EQ190" s="969" t="str">
        <f t="shared" si="6"/>
        <v>Covered</v>
      </c>
      <c r="ER190" s="969" t="s">
        <v>3147</v>
      </c>
      <c r="ES190" s="964">
        <f>VLOOKUP(WWWW[[#This Row],[Site Name]],SiteDB6[[Site Name]:[Pop
(Kachin/Shan-CCCM as of March 2023)]],16,FALSE)</f>
        <v>421</v>
      </c>
      <c r="ET190" s="964">
        <f>VLOOKUP(WWWW[[#This Row],[Site Name]],SiteDB6[[Site Name]:[Pop
(Kachin/Shan-CCCM as of March 2023)]],17,FALSE)</f>
        <v>1668</v>
      </c>
    </row>
    <row r="191" spans="1:150" hidden="1">
      <c r="A191" s="962" t="s">
        <v>2977</v>
      </c>
      <c r="B191" s="963" t="s">
        <v>141</v>
      </c>
      <c r="C191" s="963" t="s">
        <v>141</v>
      </c>
      <c r="D191" s="963" t="s">
        <v>241</v>
      </c>
      <c r="E191" s="963" t="s">
        <v>37</v>
      </c>
      <c r="F191" s="963" t="s">
        <v>142</v>
      </c>
      <c r="G191" s="964" t="str">
        <f>VLOOKUP(WWWW[[#This Row],[Site Name]],SiteDB6[[Site Name]:[Location Type]],8,FALSE)</f>
        <v>Camp</v>
      </c>
      <c r="H191" s="963" t="s">
        <v>178</v>
      </c>
      <c r="I191" s="965">
        <v>530</v>
      </c>
      <c r="J191" s="965">
        <v>2973</v>
      </c>
      <c r="K191" s="966">
        <v>44811</v>
      </c>
      <c r="L191" s="967">
        <v>45175</v>
      </c>
      <c r="M191" s="965"/>
      <c r="N191" s="965">
        <v>5</v>
      </c>
      <c r="O191" s="965"/>
      <c r="P191" s="965"/>
      <c r="Q191" s="968" t="s">
        <v>41</v>
      </c>
      <c r="R191" s="965">
        <v>3</v>
      </c>
      <c r="S191" s="965">
        <v>4</v>
      </c>
      <c r="T191" s="445">
        <v>13</v>
      </c>
      <c r="U191" s="965"/>
      <c r="V191" s="965"/>
      <c r="W191" s="965">
        <v>2</v>
      </c>
      <c r="X191" s="965"/>
      <c r="Y191" s="965"/>
      <c r="Z191" s="965"/>
      <c r="AA191" s="965"/>
      <c r="AB191" s="965"/>
      <c r="AC191" s="965"/>
      <c r="AD191" s="965"/>
      <c r="AE191" s="965"/>
      <c r="AF191" s="965"/>
      <c r="AG191" s="965"/>
      <c r="AH191" s="965">
        <v>9</v>
      </c>
      <c r="AI191" s="965"/>
      <c r="AJ191" s="965"/>
      <c r="AK191" s="965"/>
      <c r="AL191" s="965"/>
      <c r="AM191" s="965"/>
      <c r="AN191" s="965"/>
      <c r="AO191" s="445"/>
      <c r="AP191" s="969"/>
      <c r="AQ191" s="965">
        <v>130</v>
      </c>
      <c r="AR191" s="965"/>
      <c r="AS191" s="970"/>
      <c r="AT191" s="965"/>
      <c r="AU191" s="965"/>
      <c r="AV191" s="965"/>
      <c r="AW191" s="965"/>
      <c r="AX191" s="965">
        <v>130</v>
      </c>
      <c r="AY191" s="964" t="s">
        <v>41</v>
      </c>
      <c r="AZ191" s="969" t="s">
        <v>137</v>
      </c>
      <c r="BA191" s="965"/>
      <c r="BB191" s="965"/>
      <c r="BC191" s="965"/>
      <c r="BD191" s="445"/>
      <c r="BE191" s="445"/>
      <c r="BF191" s="964"/>
      <c r="BG191" s="965">
        <v>7</v>
      </c>
      <c r="BH191" s="965"/>
      <c r="BI191" s="965"/>
      <c r="BJ191" s="965">
        <v>7</v>
      </c>
      <c r="BK191" s="965"/>
      <c r="BL191" s="965">
        <v>2</v>
      </c>
      <c r="BM191" s="965">
        <v>4</v>
      </c>
      <c r="BN191" s="965"/>
      <c r="BO191" s="965"/>
      <c r="BP191" s="964"/>
      <c r="BQ191" s="971"/>
      <c r="BR191" s="970"/>
      <c r="BS191" s="964"/>
      <c r="BT191" s="420"/>
      <c r="BU191" s="420"/>
      <c r="BV191" s="422"/>
      <c r="BW191" s="420"/>
      <c r="BX191" s="445"/>
      <c r="BY191" s="445"/>
      <c r="BZ191" s="445"/>
      <c r="CA191" s="445"/>
      <c r="CB191" s="445"/>
      <c r="CC191" s="702"/>
      <c r="CD191" s="445"/>
      <c r="CE191" s="972" t="str">
        <f>IFERROR(WWWW[[#This Row],['#_Water sources passed]]/WWWW[[#This Row],['#_Water sources tested for fecal coliform ]],"no test")</f>
        <v>no test</v>
      </c>
      <c r="CF191" s="970" t="str">
        <f>IFERROR(WWWW[[#This Row],['#_Household passed]]/WWWW[[#This Row],['#_Household water samples tested for fecal coliform]],"no test")</f>
        <v>no test</v>
      </c>
      <c r="CG191" s="971" t="str">
        <f>IF(AND(WWWW[[#This Row],[% of water sources passed]]="no test",WWWW[[#This Row],[% Household passed]]="no test"),"No Test","Tested")</f>
        <v>No Test</v>
      </c>
      <c r="CH191" s="971">
        <f>WWWW[[#This Row],['#_Constructed/existing protected hand dug well]]-WWWW[[#This Row],['#_Non-functional protected hand dug well]]</f>
        <v>13</v>
      </c>
      <c r="CI191" s="971">
        <f>(WWWW[[#This Row],['#_Constructed/Existing tube wells/boreholes/handpumps_WASH_agency]]+WWWW[[#This Row],['#_Non-Cluster partner water tube-wells/boreholes/handpumps]])-WWWW[[#This Row],['#_Non-functional tube wells/boreholes/handpumps]]</f>
        <v>2</v>
      </c>
      <c r="CJ191" s="971">
        <f>WWWW[[#This Row],['#_Constructed/Existingwater storage tank with gravity fed reticulation system]]-WWWW[[#This Row],['#_Non-functional storage tank gravity fed reticulation system]]</f>
        <v>0</v>
      </c>
      <c r="CK191" s="971">
        <f>(WWWW[[#This Row],['#_Water_Liters_supplied_by_Water boating or water trucking]]/90)/15</f>
        <v>0</v>
      </c>
      <c r="CL191" s="971">
        <f>WWWW[[#This Row],['#_Water_Liters_from_Constructed/Existing water distribution system from river or natural spring]]/90/15</f>
        <v>0</v>
      </c>
      <c r="CM191" s="421">
        <f>IF(WWWW[[#This Row],['#_of water points in TLS/CFS]]*500&gt;WWWW[[#This Row],[Total PoP ]],WWWW[[#This Row],[Total PoP ]],WWWW[[#This Row],['#_of water points in TLS/CFS]]*500)</f>
        <v>0</v>
      </c>
      <c r="CN191" s="421">
        <f>IF(WWWW[[#This Row],['#_of water points in THF]]*500&gt;WWWW[[#This Row],[Total PoP ]],WWWW[[#This Row],[Total PoP ]],WWWW[[#This Row],['#_of water points in THF]]*500)</f>
        <v>0</v>
      </c>
      <c r="CO191" s="421"/>
      <c r="CP19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1" s="970">
        <f>IF(WWWW[[#This Row],[Location Type 1]]="Village",WWWW[[#This Row],[Access to safe drinking water for Village]],WWWW[[#This Row],[Access to safe drinking water for Camp]])</f>
        <v>1</v>
      </c>
      <c r="CS191" s="968">
        <f>WWWW[[#This Row],[%Equitable and continuous access to sufficient quantity of safe drinking water]]*WWWW[[#This Row],[Total PoP ]]</f>
        <v>2973</v>
      </c>
      <c r="CT191" s="970">
        <f>IF((WWWW[[#This Row],['#_Constructed/Existing protected/fenced ponds]]*250)/WWWW[[#This Row],[Total PoP ]]&gt;1,1,(WWWW[[#This Row],['#_Constructed/Existing protected/fenced ponds]]*250)/WWWW[[#This Row],[Total PoP ]])</f>
        <v>0</v>
      </c>
      <c r="CU191" s="968">
        <f>WWWW[[#This Row],[% Access to unimproved water points]]*WWWW[[#This Row],[Total PoP ]]</f>
        <v>0</v>
      </c>
      <c r="CV19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2973</v>
      </c>
      <c r="CX191" s="968">
        <f>WWWW[[#This Row],[HRP1]]/500</f>
        <v>5.9459999999999997</v>
      </c>
      <c r="CY191" s="973">
        <f>1-WWWW[[#This Row],[% Equitable and continuous access to sufficient quantity of domestic water]]</f>
        <v>0</v>
      </c>
      <c r="CZ191" s="968">
        <f>WWWW[[#This Row],[%equitable and continuous access to sufficient quantity of safe drinking and domestic water''s GAP]]*WWWW[[#This Row],[Total PoP ]]</f>
        <v>0</v>
      </c>
      <c r="DA191" s="971">
        <f>IF(WWWW[[#This Row],[Total required water points]]-WWWW[[#This Row],['#Water points coverage]]&lt;0,0,WWWW[[#This Row],[Total required water points]]-WWWW[[#This Row],['#Water points coverage]])</f>
        <v>5.400000000000027E-2</v>
      </c>
      <c r="DB191" s="971">
        <f>ROUND(IF(WWWW[[#This Row],[Total PoP ]]&lt;500,1,WWWW[[#This Row],[Total PoP ]]/500),0)</f>
        <v>6</v>
      </c>
      <c r="DC191" s="971">
        <f>(WWWW[[#This Row],['#_Constructed latrines_by_WASHAgencies]]+WWWW[[#This Row],['#_Non Cluster partner latrines]])-WWWW[[#This Row],['#_Non-functional latrines]]</f>
        <v>130</v>
      </c>
      <c r="DD191" s="619">
        <f>WWWW[[#This Row],[HRP2]]/WWWW[[#This Row],[Total PoP ]]</f>
        <v>0.87453750420450727</v>
      </c>
      <c r="DE19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2600</v>
      </c>
      <c r="DF19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1" s="421">
        <f>IF(WWWW[[#This Row],['# of functional latrines in THF supported by WASH partners during the reporting period2]]="",0,WWWW[[#This Row],['# of functional latrines in THF supported by WASH partners during the reporting period2]]*50)</f>
        <v>0</v>
      </c>
      <c r="DI191" s="971">
        <f>ROUND(IF(WWWW[[#This Row],[Location Type 1]]="camp",WWWW[[#This Row],[Total PoP ]]/20,IF(WWWW[[#This Row],[Location Type 1]]="Temporary Location",WWWW[[#This Row],[Total PoP ]]/50,(WWWW[[#This Row],[Total PoP ]]/6))),0)</f>
        <v>149</v>
      </c>
      <c r="DJ191" s="971">
        <f>IF(WWWW[[#This Row],[Total required Latrines]]-(WWWW[[#This Row],['#_Constructed latrines_by_WASHAgencies]]+WWWW[[#This Row],['#_Non Cluster partner latrines]])&lt;0,0,WWWW[[#This Row],[Total required Latrines]]-(WWWW[[#This Row],['#_Constructed latrines_by_WASHAgencies]]+WWWW[[#This Row],['#_Non Cluster partner latrines]]))</f>
        <v>19</v>
      </c>
      <c r="DK191" s="973">
        <f>1-WWWW[[#This Row],[% people access to functioning Latrine]]</f>
        <v>0.12546249579549273</v>
      </c>
      <c r="DL191" s="972">
        <f>IF(OR(WWWW[[#This Row],['#_Non-functional latrines]]="",WWWW[[#This Row],['#_Non-functional latrines]]=0),0,WWWW[[#This Row],['#_Non-functional latrines]]/(WWWW[[#This Row],['#_Constructed latrines_by_WASHAgencies]]+WWWW[[#This Row],['#_Non Cluster partner latrines]]))</f>
        <v>0</v>
      </c>
      <c r="DM191" s="968">
        <f>IF(500*(WWWW[[#This Row],['#_male hygiene promoters]]+WWWW[[#This Row],['#_female hygiene promoters]])&gt;WWWW[[#This Row],[Total PoP ]],WWWW[[#This Row],[Total PoP ]],500*(WWWW[[#This Row],['#_male hygiene promoters]]+WWWW[[#This Row],['#_female hygiene promoters]]))</f>
        <v>2973</v>
      </c>
      <c r="DN19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1" s="971">
        <f>IF(WWWW[[#This Row],['# People with access to soap]]&gt;WWWW[[#This Row],['# People with access to Sanity Pads]],WWWW[[#This Row],['# People with access to soap]],WWWW[[#This Row],['# People with access to Sanity Pads]])</f>
        <v>0</v>
      </c>
      <c r="DQ191" s="971">
        <f>IF(WWWW[[#This Row],['# people reached by regular dedicated hygiene promotion_5]]&gt;WWWW[[#This Row],['# People received regular supply of hygiene items_6]],WWWW[[#This Row],['# people reached by regular dedicated hygiene promotion_5]],WWWW[[#This Row],['# People received regular supply of hygiene items_6]])</f>
        <v>2973</v>
      </c>
      <c r="DR191" s="973">
        <f>IF(WWWW[[#This Row],[HRP3]]/WWWW[[#This Row],[Total PoP ]]&gt;1,1,WWWW[[#This Row],[HRP3]]/WWWW[[#This Row],[Total PoP ]])</f>
        <v>1</v>
      </c>
      <c r="DS191" s="972">
        <f>1-WWWW[[#This Row],[Hygiene Coverage%]]</f>
        <v>0</v>
      </c>
      <c r="DT191" s="970">
        <f>WWWW[[#This Row],['# people reached by regular dedicated hygiene promotion_5]]/WWWW[[#This Row],[Total PoP ]]</f>
        <v>1</v>
      </c>
      <c r="DU19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1" s="971">
        <f>WWWW[[#This Row],['#_Constructed/Existing hand washing stations]]-WWWW[[#This Row],['#_Non-Functional_hand_washing_stations]]</f>
        <v>7</v>
      </c>
      <c r="DX191" s="968">
        <f>IF(WWWW[[#This Row],['# Functional hand washing stations during reporting period]]*20&gt;WWWW[[#This Row],[Total HH]],WWWW[[#This Row],[Total HH]],WWWW[[#This Row],['# Functional hand washing stations during reporting period]]*20)</f>
        <v>140</v>
      </c>
      <c r="DY191" s="968">
        <f>IF(WWWW[[#This Row],[Is sufficient soap available for TLS? (Yes/No)]]="yes",WWWW[[#This Row],['#_Constructed/Existing hand washing stations at TLS/CFS/THF]],0)</f>
        <v>0</v>
      </c>
      <c r="DZ191" s="425">
        <f>IF(WWWW[[#This Row],['# Functional hand washing stations during reporting period]]*100&gt;WWWW[[#This Row],[Total PoP ]],WWWW[[#This Row],[Total PoP ]],WWWW[[#This Row],['# Functional hand washing stations during reporting period]]*100)</f>
        <v>700</v>
      </c>
      <c r="EA191" s="425" t="str">
        <f>IF(OR(WWWW[[#This Row],['#_students at TLS_CFS]]="",WWWW[[#This Row],['#_students at TLS_CFS]]=0),"No","Yes")</f>
        <v>No</v>
      </c>
      <c r="EB19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1" s="570">
        <f>WWWW[[#This Row],[%_of_affected_people_surveyed_who_report_feeling_satistfied_with_the_latrine_design_and_sanitation_service]]*WWWW[[#This Row],[Total PoP ]]</f>
        <v>0</v>
      </c>
      <c r="ED191" s="570">
        <f>WWWW[[#This Row],[%_of_affected_people_surveyed_who_report_feeling_satistfied_with_the_water_point_design_and_water_service]]*WWWW[[#This Row],[Total PoP ]]</f>
        <v>0</v>
      </c>
      <c r="EE191" s="570">
        <f>WWWW[[#This Row],[%_of_complaints_received_that_result_in_timely_corrective_action_and_feedback_to_the_community]]*WWWW[[#This Row],[Total PoP ]]</f>
        <v>0</v>
      </c>
      <c r="EF19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1" s="964" t="str">
        <f>VLOOKUP(WWWW[[#This Row],[Site Name]],SiteDB6[[Site Name]:[CCCM Management]],6,FALSE)</f>
        <v>Yes</v>
      </c>
      <c r="EJ191" s="964" t="str">
        <f>VLOOKUP(WWWW[[#This Row],[Site Name]],SiteDB6[[Site Name]:[CCCM Focal Agency]],7,FALSE)</f>
        <v>KBC-MYT</v>
      </c>
      <c r="EK191" s="964" t="str">
        <f>VLOOKUP(WWWW[[#This Row],[Site Name]],SiteDB6[[Site Name]:[Location Type 1]],9,FALSE)</f>
        <v>Camp</v>
      </c>
      <c r="EL191" s="964" t="str">
        <f>VLOOKUP(WWWW[[#This Row],[Site Name]],SiteDB6[[Site Name]:[Type of Accommodation]],10,FALSE)</f>
        <v>Camp</v>
      </c>
      <c r="EM191" s="964" t="str">
        <f>VLOOKUP(WWWW[[#This Row],[Site Name]],SiteDB6[[Site Name]:[Ethnic or GCA/NGCA]],11,FALSE)</f>
        <v>GCA</v>
      </c>
      <c r="EN191" s="964">
        <f>VLOOKUP(WWWW[[#This Row],[Site Name]],SiteDB6[[Site Name]:[Lat]],12,FALSE)</f>
        <v>25.4118005797101</v>
      </c>
      <c r="EO191" s="964">
        <f>VLOOKUP(WWWW[[#This Row],[Site Name]],SiteDB6[[Site Name]:[Long]],13,FALSE)</f>
        <v>97.434855869565197</v>
      </c>
      <c r="EP191" s="964" t="str">
        <f>VLOOKUP(WWWW[[#This Row],[Site Name]],SiteDB6[[Site Name]:[Pcode]],3,FALSE)</f>
        <v>MMR001CMP040</v>
      </c>
      <c r="EQ191" s="969" t="str">
        <f t="shared" si="6"/>
        <v>Covered</v>
      </c>
      <c r="ER191" s="969" t="s">
        <v>3147</v>
      </c>
      <c r="ES191" s="964">
        <f>VLOOKUP(WWWW[[#This Row],[Site Name]],SiteDB6[[Site Name]:[Pop
(Kachin/Shan-CCCM as of March 2023)]],16,FALSE)</f>
        <v>530</v>
      </c>
      <c r="ET191" s="964">
        <f>VLOOKUP(WWWW[[#This Row],[Site Name]],SiteDB6[[Site Name]:[Pop
(Kachin/Shan-CCCM as of March 2023)]],17,FALSE)</f>
        <v>2930</v>
      </c>
    </row>
    <row r="192" spans="1:150" hidden="1">
      <c r="A192" s="962" t="s">
        <v>2977</v>
      </c>
      <c r="B192" s="963" t="s">
        <v>141</v>
      </c>
      <c r="C192" s="963" t="s">
        <v>141</v>
      </c>
      <c r="D192" s="963" t="s">
        <v>241</v>
      </c>
      <c r="E192" s="963" t="s">
        <v>37</v>
      </c>
      <c r="F192" s="963" t="s">
        <v>142</v>
      </c>
      <c r="G192" s="964" t="str">
        <f>VLOOKUP(WWWW[[#This Row],[Site Name]],SiteDB6[[Site Name]:[Location Type]],8,FALSE)</f>
        <v>Camp</v>
      </c>
      <c r="H192" s="963" t="s">
        <v>179</v>
      </c>
      <c r="I192" s="965">
        <v>55</v>
      </c>
      <c r="J192" s="965">
        <v>198</v>
      </c>
      <c r="K192" s="966">
        <v>44811</v>
      </c>
      <c r="L192" s="967">
        <v>45175</v>
      </c>
      <c r="M192" s="965"/>
      <c r="N192" s="965">
        <v>1</v>
      </c>
      <c r="O192" s="965"/>
      <c r="P192" s="965"/>
      <c r="Q192" s="968" t="s">
        <v>41</v>
      </c>
      <c r="R192" s="965">
        <v>1</v>
      </c>
      <c r="S192" s="965">
        <v>3</v>
      </c>
      <c r="T192" s="445">
        <v>1</v>
      </c>
      <c r="U192" s="965"/>
      <c r="V192" s="965"/>
      <c r="W192" s="965"/>
      <c r="X192" s="965"/>
      <c r="Y192" s="965"/>
      <c r="Z192" s="965"/>
      <c r="AA192" s="965"/>
      <c r="AB192" s="965"/>
      <c r="AC192" s="965"/>
      <c r="AD192" s="965"/>
      <c r="AE192" s="965"/>
      <c r="AF192" s="965"/>
      <c r="AG192" s="965"/>
      <c r="AH192" s="965">
        <v>2</v>
      </c>
      <c r="AI192" s="965"/>
      <c r="AJ192" s="965"/>
      <c r="AK192" s="965"/>
      <c r="AL192" s="965"/>
      <c r="AM192" s="965"/>
      <c r="AN192" s="965"/>
      <c r="AO192" s="445"/>
      <c r="AP192" s="969"/>
      <c r="AQ192" s="965">
        <v>10</v>
      </c>
      <c r="AR192" s="965"/>
      <c r="AS192" s="970"/>
      <c r="AT192" s="965"/>
      <c r="AU192" s="965"/>
      <c r="AV192" s="965"/>
      <c r="AW192" s="965"/>
      <c r="AX192" s="965">
        <v>10</v>
      </c>
      <c r="AY192" s="964" t="s">
        <v>41</v>
      </c>
      <c r="AZ192" s="969" t="s">
        <v>137</v>
      </c>
      <c r="BA192" s="965"/>
      <c r="BB192" s="965"/>
      <c r="BC192" s="965"/>
      <c r="BD192" s="445"/>
      <c r="BE192" s="445"/>
      <c r="BF192" s="964"/>
      <c r="BG192" s="965">
        <v>7</v>
      </c>
      <c r="BH192" s="965"/>
      <c r="BI192" s="965"/>
      <c r="BJ192" s="965">
        <v>4</v>
      </c>
      <c r="BK192" s="965"/>
      <c r="BL192" s="965">
        <v>1</v>
      </c>
      <c r="BM192" s="965"/>
      <c r="BN192" s="965"/>
      <c r="BO192" s="965"/>
      <c r="BP192" s="964"/>
      <c r="BQ192" s="971"/>
      <c r="BR192" s="970"/>
      <c r="BS192" s="964"/>
      <c r="BT192" s="420"/>
      <c r="BU192" s="420"/>
      <c r="BV192" s="422"/>
      <c r="BW192" s="420"/>
      <c r="BX192" s="445"/>
      <c r="BY192" s="445"/>
      <c r="BZ192" s="445"/>
      <c r="CA192" s="445"/>
      <c r="CB192" s="445"/>
      <c r="CC192" s="702"/>
      <c r="CD192" s="445"/>
      <c r="CE192" s="972" t="str">
        <f>IFERROR(WWWW[[#This Row],['#_Water sources passed]]/WWWW[[#This Row],['#_Water sources tested for fecal coliform ]],"no test")</f>
        <v>no test</v>
      </c>
      <c r="CF192" s="970" t="str">
        <f>IFERROR(WWWW[[#This Row],['#_Household passed]]/WWWW[[#This Row],['#_Household water samples tested for fecal coliform]],"no test")</f>
        <v>no test</v>
      </c>
      <c r="CG192" s="971" t="str">
        <f>IF(AND(WWWW[[#This Row],[% of water sources passed]]="no test",WWWW[[#This Row],[% Household passed]]="no test"),"No Test","Tested")</f>
        <v>No Test</v>
      </c>
      <c r="CH192" s="971">
        <f>WWWW[[#This Row],['#_Constructed/existing protected hand dug well]]-WWWW[[#This Row],['#_Non-functional protected hand dug well]]</f>
        <v>1</v>
      </c>
      <c r="CI192" s="971">
        <f>(WWWW[[#This Row],['#_Constructed/Existing tube wells/boreholes/handpumps_WASH_agency]]+WWWW[[#This Row],['#_Non-Cluster partner water tube-wells/boreholes/handpumps]])-WWWW[[#This Row],['#_Non-functional tube wells/boreholes/handpumps]]</f>
        <v>0</v>
      </c>
      <c r="CJ192" s="971">
        <f>WWWW[[#This Row],['#_Constructed/Existingwater storage tank with gravity fed reticulation system]]-WWWW[[#This Row],['#_Non-functional storage tank gravity fed reticulation system]]</f>
        <v>0</v>
      </c>
      <c r="CK192" s="971">
        <f>(WWWW[[#This Row],['#_Water_Liters_supplied_by_Water boating or water trucking]]/90)/15</f>
        <v>0</v>
      </c>
      <c r="CL192" s="971">
        <f>WWWW[[#This Row],['#_Water_Liters_from_Constructed/Existing water distribution system from river or natural spring]]/90/15</f>
        <v>0</v>
      </c>
      <c r="CM192" s="421">
        <f>IF(WWWW[[#This Row],['#_of water points in TLS/CFS]]*500&gt;WWWW[[#This Row],[Total PoP ]],WWWW[[#This Row],[Total PoP ]],WWWW[[#This Row],['#_of water points in TLS/CFS]]*500)</f>
        <v>0</v>
      </c>
      <c r="CN192" s="421">
        <f>IF(WWWW[[#This Row],['#_of water points in THF]]*500&gt;WWWW[[#This Row],[Total PoP ]],WWWW[[#This Row],[Total PoP ]],WWWW[[#This Row],['#_of water points in THF]]*500)</f>
        <v>0</v>
      </c>
      <c r="CO192" s="421"/>
      <c r="CP19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2" s="970">
        <f>IF(WWWW[[#This Row],[Location Type 1]]="Village",WWWW[[#This Row],[Access to safe drinking water for Village]],WWWW[[#This Row],[Access to safe drinking water for Camp]])</f>
        <v>1</v>
      </c>
      <c r="CS192" s="968">
        <f>WWWW[[#This Row],[%Equitable and continuous access to sufficient quantity of safe drinking water]]*WWWW[[#This Row],[Total PoP ]]</f>
        <v>198</v>
      </c>
      <c r="CT192" s="970">
        <f>IF((WWWW[[#This Row],['#_Constructed/Existing protected/fenced ponds]]*250)/WWWW[[#This Row],[Total PoP ]]&gt;1,1,(WWWW[[#This Row],['#_Constructed/Existing protected/fenced ponds]]*250)/WWWW[[#This Row],[Total PoP ]])</f>
        <v>0</v>
      </c>
      <c r="CU192" s="968">
        <f>WWWW[[#This Row],[% Access to unimproved water points]]*WWWW[[#This Row],[Total PoP ]]</f>
        <v>0</v>
      </c>
      <c r="CV19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CX192" s="968">
        <f>WWWW[[#This Row],[HRP1]]/500</f>
        <v>0.39600000000000002</v>
      </c>
      <c r="CY192" s="973">
        <f>1-WWWW[[#This Row],[% Equitable and continuous access to sufficient quantity of domestic water]]</f>
        <v>0</v>
      </c>
      <c r="CZ192" s="968">
        <f>WWWW[[#This Row],[%equitable and continuous access to sufficient quantity of safe drinking and domestic water''s GAP]]*WWWW[[#This Row],[Total PoP ]]</f>
        <v>0</v>
      </c>
      <c r="DA192" s="971">
        <f>IF(WWWW[[#This Row],[Total required water points]]-WWWW[[#This Row],['#Water points coverage]]&lt;0,0,WWWW[[#This Row],[Total required water points]]-WWWW[[#This Row],['#Water points coverage]])</f>
        <v>0.60399999999999998</v>
      </c>
      <c r="DB192" s="971">
        <f>ROUND(IF(WWWW[[#This Row],[Total PoP ]]&lt;500,1,WWWW[[#This Row],[Total PoP ]]/500),0)</f>
        <v>1</v>
      </c>
      <c r="DC192" s="971">
        <f>(WWWW[[#This Row],['#_Constructed latrines_by_WASHAgencies]]+WWWW[[#This Row],['#_Non Cluster partner latrines]])-WWWW[[#This Row],['#_Non-functional latrines]]</f>
        <v>10</v>
      </c>
      <c r="DD192" s="619">
        <f>WWWW[[#This Row],[HRP2]]/WWWW[[#This Row],[Total PoP ]]</f>
        <v>1</v>
      </c>
      <c r="DE19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198</v>
      </c>
      <c r="DF19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2" s="421">
        <f>IF(WWWW[[#This Row],['# of functional latrines in THF supported by WASH partners during the reporting period2]]="",0,WWWW[[#This Row],['# of functional latrines in THF supported by WASH partners during the reporting period2]]*50)</f>
        <v>0</v>
      </c>
      <c r="DI192" s="971">
        <f>ROUND(IF(WWWW[[#This Row],[Location Type 1]]="camp",WWWW[[#This Row],[Total PoP ]]/20,IF(WWWW[[#This Row],[Location Type 1]]="Temporary Location",WWWW[[#This Row],[Total PoP ]]/50,(WWWW[[#This Row],[Total PoP ]]/6))),0)</f>
        <v>10</v>
      </c>
      <c r="DJ192" s="971">
        <f>IF(WWWW[[#This Row],[Total required Latrines]]-(WWWW[[#This Row],['#_Constructed latrines_by_WASHAgencies]]+WWWW[[#This Row],['#_Non Cluster partner latrines]])&lt;0,0,WWWW[[#This Row],[Total required Latrines]]-(WWWW[[#This Row],['#_Constructed latrines_by_WASHAgencies]]+WWWW[[#This Row],['#_Non Cluster partner latrines]]))</f>
        <v>0</v>
      </c>
      <c r="DK192" s="973">
        <f>1-WWWW[[#This Row],[% people access to functioning Latrine]]</f>
        <v>0</v>
      </c>
      <c r="DL192" s="972">
        <f>IF(OR(WWWW[[#This Row],['#_Non-functional latrines]]="",WWWW[[#This Row],['#_Non-functional latrines]]=0),0,WWWW[[#This Row],['#_Non-functional latrines]]/(WWWW[[#This Row],['#_Constructed latrines_by_WASHAgencies]]+WWWW[[#This Row],['#_Non Cluster partner latrines]]))</f>
        <v>0</v>
      </c>
      <c r="DM192" s="968">
        <f>IF(500*(WWWW[[#This Row],['#_male hygiene promoters]]+WWWW[[#This Row],['#_female hygiene promoters]])&gt;WWWW[[#This Row],[Total PoP ]],WWWW[[#This Row],[Total PoP ]],500*(WWWW[[#This Row],['#_male hygiene promoters]]+WWWW[[#This Row],['#_female hygiene promoters]]))</f>
        <v>198</v>
      </c>
      <c r="DN19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2" s="971">
        <f>IF(WWWW[[#This Row],['# People with access to soap]]&gt;WWWW[[#This Row],['# People with access to Sanity Pads]],WWWW[[#This Row],['# People with access to soap]],WWWW[[#This Row],['# People with access to Sanity Pads]])</f>
        <v>0</v>
      </c>
      <c r="DQ192" s="971">
        <f>IF(WWWW[[#This Row],['# people reached by regular dedicated hygiene promotion_5]]&gt;WWWW[[#This Row],['# People received regular supply of hygiene items_6]],WWWW[[#This Row],['# people reached by regular dedicated hygiene promotion_5]],WWWW[[#This Row],['# People received regular supply of hygiene items_6]])</f>
        <v>198</v>
      </c>
      <c r="DR192" s="973">
        <f>IF(WWWW[[#This Row],[HRP3]]/WWWW[[#This Row],[Total PoP ]]&gt;1,1,WWWW[[#This Row],[HRP3]]/WWWW[[#This Row],[Total PoP ]])</f>
        <v>1</v>
      </c>
      <c r="DS192" s="972">
        <f>1-WWWW[[#This Row],[Hygiene Coverage%]]</f>
        <v>0</v>
      </c>
      <c r="DT192" s="970">
        <f>WWWW[[#This Row],['# people reached by regular dedicated hygiene promotion_5]]/WWWW[[#This Row],[Total PoP ]]</f>
        <v>1</v>
      </c>
      <c r="DU19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2" s="971">
        <f>WWWW[[#This Row],['#_Constructed/Existing hand washing stations]]-WWWW[[#This Row],['#_Non-Functional_hand_washing_stations]]</f>
        <v>7</v>
      </c>
      <c r="DX192" s="968">
        <f>IF(WWWW[[#This Row],['# Functional hand washing stations during reporting period]]*20&gt;WWWW[[#This Row],[Total HH]],WWWW[[#This Row],[Total HH]],WWWW[[#This Row],['# Functional hand washing stations during reporting period]]*20)</f>
        <v>55</v>
      </c>
      <c r="DY192" s="968">
        <f>IF(WWWW[[#This Row],[Is sufficient soap available for TLS? (Yes/No)]]="yes",WWWW[[#This Row],['#_Constructed/Existing hand washing stations at TLS/CFS/THF]],0)</f>
        <v>0</v>
      </c>
      <c r="DZ192" s="425">
        <f>IF(WWWW[[#This Row],['# Functional hand washing stations during reporting period]]*100&gt;WWWW[[#This Row],[Total PoP ]],WWWW[[#This Row],[Total PoP ]],WWWW[[#This Row],['# Functional hand washing stations during reporting period]]*100)</f>
        <v>198</v>
      </c>
      <c r="EA192" s="425" t="str">
        <f>IF(OR(WWWW[[#This Row],['#_students at TLS_CFS]]="",WWWW[[#This Row],['#_students at TLS_CFS]]=0),"No","Yes")</f>
        <v>No</v>
      </c>
      <c r="EB19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2" s="570">
        <f>WWWW[[#This Row],[%_of_affected_people_surveyed_who_report_feeling_satistfied_with_the_latrine_design_and_sanitation_service]]*WWWW[[#This Row],[Total PoP ]]</f>
        <v>0</v>
      </c>
      <c r="ED192" s="570">
        <f>WWWW[[#This Row],[%_of_affected_people_surveyed_who_report_feeling_satistfied_with_the_water_point_design_and_water_service]]*WWWW[[#This Row],[Total PoP ]]</f>
        <v>0</v>
      </c>
      <c r="EE192" s="570">
        <f>WWWW[[#This Row],[%_of_complaints_received_that_result_in_timely_corrective_action_and_feedback_to_the_community]]*WWWW[[#This Row],[Total PoP ]]</f>
        <v>0</v>
      </c>
      <c r="EF19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2" s="964" t="str">
        <f>VLOOKUP(WWWW[[#This Row],[Site Name]],SiteDB6[[Site Name]:[CCCM Management]],6,FALSE)</f>
        <v>Yes</v>
      </c>
      <c r="EJ192" s="964" t="str">
        <f>VLOOKUP(WWWW[[#This Row],[Site Name]],SiteDB6[[Site Name]:[CCCM Focal Agency]],7,FALSE)</f>
        <v>KBC-MYT</v>
      </c>
      <c r="EK192" s="964" t="str">
        <f>VLOOKUP(WWWW[[#This Row],[Site Name]],SiteDB6[[Site Name]:[Location Type 1]],9,FALSE)</f>
        <v>Camp</v>
      </c>
      <c r="EL192" s="964" t="str">
        <f>VLOOKUP(WWWW[[#This Row],[Site Name]],SiteDB6[[Site Name]:[Type of Accommodation]],10,FALSE)</f>
        <v>Camp</v>
      </c>
      <c r="EM192" s="964" t="str">
        <f>VLOOKUP(WWWW[[#This Row],[Site Name]],SiteDB6[[Site Name]:[Ethnic or GCA/NGCA]],11,FALSE)</f>
        <v>GCA</v>
      </c>
      <c r="EN192" s="964">
        <f>VLOOKUP(WWWW[[#This Row],[Site Name]],SiteDB6[[Site Name]:[Lat]],12,FALSE)</f>
        <v>25.409612685185198</v>
      </c>
      <c r="EO192" s="964">
        <f>VLOOKUP(WWWW[[#This Row],[Site Name]],SiteDB6[[Site Name]:[Long]],13,FALSE)</f>
        <v>97.426536944444507</v>
      </c>
      <c r="EP192" s="964" t="str">
        <f>VLOOKUP(WWWW[[#This Row],[Site Name]],SiteDB6[[Site Name]:[Pcode]],3,FALSE)</f>
        <v>MMR001CMP039</v>
      </c>
      <c r="EQ192" s="969" t="str">
        <f t="shared" si="6"/>
        <v>Covered</v>
      </c>
      <c r="ER192" s="969" t="s">
        <v>3147</v>
      </c>
      <c r="ES192" s="964">
        <f>VLOOKUP(WWWW[[#This Row],[Site Name]],SiteDB6[[Site Name]:[Pop
(Kachin/Shan-CCCM as of March 2023)]],16,FALSE)</f>
        <v>57</v>
      </c>
      <c r="ET192" s="964">
        <f>VLOOKUP(WWWW[[#This Row],[Site Name]],SiteDB6[[Site Name]:[Pop
(Kachin/Shan-CCCM as of March 2023)]],17,FALSE)</f>
        <v>291</v>
      </c>
    </row>
    <row r="193" spans="1:150" hidden="1">
      <c r="A193" s="962" t="s">
        <v>2977</v>
      </c>
      <c r="B193" s="1068" t="s">
        <v>3203</v>
      </c>
      <c r="C193" s="963" t="s">
        <v>141</v>
      </c>
      <c r="D193" s="963" t="s">
        <v>3114</v>
      </c>
      <c r="E193" s="963" t="s">
        <v>37</v>
      </c>
      <c r="F193" s="963" t="s">
        <v>142</v>
      </c>
      <c r="G193" s="964" t="str">
        <f>VLOOKUP(WWWW[[#This Row],[Site Name]],SiteDB6[[Site Name]:[Location Type]],8,FALSE)</f>
        <v>Camp</v>
      </c>
      <c r="H193" s="963" t="s">
        <v>180</v>
      </c>
      <c r="I193" s="965">
        <v>171</v>
      </c>
      <c r="J193" s="965">
        <v>1059</v>
      </c>
      <c r="K193" s="966">
        <v>44811</v>
      </c>
      <c r="L193" s="967">
        <v>45175</v>
      </c>
      <c r="M193" s="965"/>
      <c r="N193" s="965">
        <v>3</v>
      </c>
      <c r="O193" s="965"/>
      <c r="P193" s="965"/>
      <c r="Q193" s="968" t="s">
        <v>41</v>
      </c>
      <c r="R193" s="965">
        <v>3</v>
      </c>
      <c r="S193" s="965">
        <v>2</v>
      </c>
      <c r="T193" s="445">
        <v>3</v>
      </c>
      <c r="U193" s="965"/>
      <c r="V193" s="965"/>
      <c r="W193" s="965"/>
      <c r="X193" s="965"/>
      <c r="Y193" s="965"/>
      <c r="Z193" s="965"/>
      <c r="AA193" s="965">
        <v>4</v>
      </c>
      <c r="AB193" s="965"/>
      <c r="AC193" s="965"/>
      <c r="AD193" s="965"/>
      <c r="AE193" s="965"/>
      <c r="AF193" s="965"/>
      <c r="AG193" s="965"/>
      <c r="AH193" s="965"/>
      <c r="AI193" s="965"/>
      <c r="AJ193" s="965"/>
      <c r="AK193" s="965"/>
      <c r="AL193" s="965"/>
      <c r="AM193" s="965"/>
      <c r="AN193" s="965"/>
      <c r="AO193" s="445"/>
      <c r="AP193" s="969"/>
      <c r="AQ193" s="965">
        <v>170</v>
      </c>
      <c r="AR193" s="965"/>
      <c r="AS193" s="970"/>
      <c r="AT193" s="965"/>
      <c r="AU193" s="965"/>
      <c r="AV193" s="965"/>
      <c r="AW193" s="965"/>
      <c r="AX193" s="965">
        <v>150</v>
      </c>
      <c r="AY193" s="964" t="s">
        <v>41</v>
      </c>
      <c r="AZ193" s="969" t="s">
        <v>137</v>
      </c>
      <c r="BA193" s="965"/>
      <c r="BB193" s="965"/>
      <c r="BC193" s="965"/>
      <c r="BD193" s="445"/>
      <c r="BE193" s="445"/>
      <c r="BF193" s="964"/>
      <c r="BG193" s="965">
        <v>25</v>
      </c>
      <c r="BH193" s="965"/>
      <c r="BI193" s="965">
        <v>5</v>
      </c>
      <c r="BJ193" s="965"/>
      <c r="BK193" s="965"/>
      <c r="BL193" s="965">
        <v>1</v>
      </c>
      <c r="BM193" s="965">
        <v>2</v>
      </c>
      <c r="BN193" s="965"/>
      <c r="BO193" s="965"/>
      <c r="BP193" s="964"/>
      <c r="BQ193" s="971"/>
      <c r="BR193" s="970"/>
      <c r="BS193" s="964"/>
      <c r="BT193" s="420"/>
      <c r="BU193" s="420"/>
      <c r="BV193" s="422"/>
      <c r="BW193" s="420"/>
      <c r="BX193" s="445"/>
      <c r="BY193" s="445"/>
      <c r="BZ193" s="445"/>
      <c r="CA193" s="445"/>
      <c r="CB193" s="445"/>
      <c r="CC193" s="702"/>
      <c r="CD193" s="445"/>
      <c r="CE193" s="972" t="str">
        <f>IFERROR(WWWW[[#This Row],['#_Water sources passed]]/WWWW[[#This Row],['#_Water sources tested for fecal coliform ]],"no test")</f>
        <v>no test</v>
      </c>
      <c r="CF193" s="970" t="str">
        <f>IFERROR(WWWW[[#This Row],['#_Household passed]]/WWWW[[#This Row],['#_Household water samples tested for fecal coliform]],"no test")</f>
        <v>no test</v>
      </c>
      <c r="CG193" s="971" t="str">
        <f>IF(AND(WWWW[[#This Row],[% of water sources passed]]="no test",WWWW[[#This Row],[% Household passed]]="no test"),"No Test","Tested")</f>
        <v>No Test</v>
      </c>
      <c r="CH193" s="971">
        <f>WWWW[[#This Row],['#_Constructed/existing protected hand dug well]]-WWWW[[#This Row],['#_Non-functional protected hand dug well]]</f>
        <v>3</v>
      </c>
      <c r="CI193" s="971">
        <f>(WWWW[[#This Row],['#_Constructed/Existing tube wells/boreholes/handpumps_WASH_agency]]+WWWW[[#This Row],['#_Non-Cluster partner water tube-wells/boreholes/handpumps]])-WWWW[[#This Row],['#_Non-functional tube wells/boreholes/handpumps]]</f>
        <v>0</v>
      </c>
      <c r="CJ193" s="971">
        <f>WWWW[[#This Row],['#_Constructed/Existingwater storage tank with gravity fed reticulation system]]-WWWW[[#This Row],['#_Non-functional storage tank gravity fed reticulation system]]</f>
        <v>4</v>
      </c>
      <c r="CK193" s="971">
        <f>(WWWW[[#This Row],['#_Water_Liters_supplied_by_Water boating or water trucking]]/90)/15</f>
        <v>0</v>
      </c>
      <c r="CL193" s="971">
        <f>WWWW[[#This Row],['#_Water_Liters_from_Constructed/Existing water distribution system from river or natural spring]]/90/15</f>
        <v>0</v>
      </c>
      <c r="CM193" s="421">
        <f>IF(WWWW[[#This Row],['#_of water points in TLS/CFS]]*500&gt;WWWW[[#This Row],[Total PoP ]],WWWW[[#This Row],[Total PoP ]],WWWW[[#This Row],['#_of water points in TLS/CFS]]*500)</f>
        <v>0</v>
      </c>
      <c r="CN193" s="421">
        <f>IF(WWWW[[#This Row],['#_of water points in THF]]*500&gt;WWWW[[#This Row],[Total PoP ]],WWWW[[#This Row],[Total PoP ]],WWWW[[#This Row],['#_of water points in THF]]*500)</f>
        <v>0</v>
      </c>
      <c r="CO193" s="421"/>
      <c r="CP19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0.96002518098835388</v>
      </c>
      <c r="CR193" s="970">
        <f>IF(WWWW[[#This Row],[Location Type 1]]="Village",WWWW[[#This Row],[Access to safe drinking water for Village]],WWWW[[#This Row],[Access to safe drinking water for Camp]])</f>
        <v>1</v>
      </c>
      <c r="CS193" s="968">
        <f>WWWW[[#This Row],[%Equitable and continuous access to sufficient quantity of safe drinking water]]*WWWW[[#This Row],[Total PoP ]]</f>
        <v>1059</v>
      </c>
      <c r="CT193" s="970">
        <f>IF((WWWW[[#This Row],['#_Constructed/Existing protected/fenced ponds]]*250)/WWWW[[#This Row],[Total PoP ]]&gt;1,1,(WWWW[[#This Row],['#_Constructed/Existing protected/fenced ponds]]*250)/WWWW[[#This Row],[Total PoP ]])</f>
        <v>0</v>
      </c>
      <c r="CU193" s="968">
        <f>WWWW[[#This Row],[% Access to unimproved water points]]*WWWW[[#This Row],[Total PoP ]]</f>
        <v>0</v>
      </c>
      <c r="CV19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1059</v>
      </c>
      <c r="CX193" s="968">
        <f>WWWW[[#This Row],[HRP1]]/500</f>
        <v>2.1179999999999999</v>
      </c>
      <c r="CY193" s="973">
        <f>1-WWWW[[#This Row],[% Equitable and continuous access to sufficient quantity of domestic water]]</f>
        <v>0</v>
      </c>
      <c r="CZ193" s="968">
        <f>WWWW[[#This Row],[%equitable and continuous access to sufficient quantity of safe drinking and domestic water''s GAP]]*WWWW[[#This Row],[Total PoP ]]</f>
        <v>0</v>
      </c>
      <c r="DA193" s="971">
        <f>IF(WWWW[[#This Row],[Total required water points]]-WWWW[[#This Row],['#Water points coverage]]&lt;0,0,WWWW[[#This Row],[Total required water points]]-WWWW[[#This Row],['#Water points coverage]])</f>
        <v>0</v>
      </c>
      <c r="DB193" s="971">
        <f>ROUND(IF(WWWW[[#This Row],[Total PoP ]]&lt;500,1,WWWW[[#This Row],[Total PoP ]]/500),0)</f>
        <v>2</v>
      </c>
      <c r="DC193" s="971">
        <f>(WWWW[[#This Row],['#_Constructed latrines_by_WASHAgencies]]+WWWW[[#This Row],['#_Non Cluster partner latrines]])-WWWW[[#This Row],['#_Non-functional latrines]]</f>
        <v>170</v>
      </c>
      <c r="DD193" s="619">
        <f>WWWW[[#This Row],[HRP2]]/WWWW[[#This Row],[Total PoP ]]</f>
        <v>0.80264400377714828</v>
      </c>
      <c r="DE19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850</v>
      </c>
      <c r="DF19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3" s="421">
        <f>IF(WWWW[[#This Row],['# of functional latrines in THF supported by WASH partners during the reporting period2]]="",0,WWWW[[#This Row],['# of functional latrines in THF supported by WASH partners during the reporting period2]]*50)</f>
        <v>0</v>
      </c>
      <c r="DI193" s="971">
        <f>ROUND(IF(WWWW[[#This Row],[Location Type 1]]="camp",WWWW[[#This Row],[Total PoP ]]/20,IF(WWWW[[#This Row],[Location Type 1]]="Temporary Location",WWWW[[#This Row],[Total PoP ]]/50,(WWWW[[#This Row],[Total PoP ]]/6))),0)</f>
        <v>177</v>
      </c>
      <c r="DJ193" s="971">
        <f>IF(WWWW[[#This Row],[Total required Latrines]]-(WWWW[[#This Row],['#_Constructed latrines_by_WASHAgencies]]+WWWW[[#This Row],['#_Non Cluster partner latrines]])&lt;0,0,WWWW[[#This Row],[Total required Latrines]]-(WWWW[[#This Row],['#_Constructed latrines_by_WASHAgencies]]+WWWW[[#This Row],['#_Non Cluster partner latrines]]))</f>
        <v>7</v>
      </c>
      <c r="DK193" s="973">
        <f>1-WWWW[[#This Row],[% people access to functioning Latrine]]</f>
        <v>0.19735599622285172</v>
      </c>
      <c r="DL193" s="972">
        <f>IF(OR(WWWW[[#This Row],['#_Non-functional latrines]]="",WWWW[[#This Row],['#_Non-functional latrines]]=0),0,WWWW[[#This Row],['#_Non-functional latrines]]/(WWWW[[#This Row],['#_Constructed latrines_by_WASHAgencies]]+WWWW[[#This Row],['#_Non Cluster partner latrines]]))</f>
        <v>0</v>
      </c>
      <c r="DM193" s="968">
        <f>IF(500*(WWWW[[#This Row],['#_male hygiene promoters]]+WWWW[[#This Row],['#_female hygiene promoters]])&gt;WWWW[[#This Row],[Total PoP ]],WWWW[[#This Row],[Total PoP ]],500*(WWWW[[#This Row],['#_male hygiene promoters]]+WWWW[[#This Row],['#_female hygiene promoters]]))</f>
        <v>1059</v>
      </c>
      <c r="DN19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3" s="971">
        <f>IF(WWWW[[#This Row],['# People with access to soap]]&gt;WWWW[[#This Row],['# People with access to Sanity Pads]],WWWW[[#This Row],['# People with access to soap]],WWWW[[#This Row],['# People with access to Sanity Pads]])</f>
        <v>0</v>
      </c>
      <c r="DQ193" s="971">
        <f>IF(WWWW[[#This Row],['# people reached by regular dedicated hygiene promotion_5]]&gt;WWWW[[#This Row],['# People received regular supply of hygiene items_6]],WWWW[[#This Row],['# people reached by regular dedicated hygiene promotion_5]],WWWW[[#This Row],['# People received regular supply of hygiene items_6]])</f>
        <v>1059</v>
      </c>
      <c r="DR193" s="973">
        <f>IF(WWWW[[#This Row],[HRP3]]/WWWW[[#This Row],[Total PoP ]]&gt;1,1,WWWW[[#This Row],[HRP3]]/WWWW[[#This Row],[Total PoP ]])</f>
        <v>1</v>
      </c>
      <c r="DS193" s="972">
        <f>1-WWWW[[#This Row],[Hygiene Coverage%]]</f>
        <v>0</v>
      </c>
      <c r="DT193" s="970">
        <f>WWWW[[#This Row],['# people reached by regular dedicated hygiene promotion_5]]/WWWW[[#This Row],[Total PoP ]]</f>
        <v>1</v>
      </c>
      <c r="DU19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3" s="971">
        <f>WWWW[[#This Row],['#_Constructed/Existing hand washing stations]]-WWWW[[#This Row],['#_Non-Functional_hand_washing_stations]]</f>
        <v>25</v>
      </c>
      <c r="DX193" s="968">
        <f>IF(WWWW[[#This Row],['# Functional hand washing stations during reporting period]]*20&gt;WWWW[[#This Row],[Total HH]],WWWW[[#This Row],[Total HH]],WWWW[[#This Row],['# Functional hand washing stations during reporting period]]*20)</f>
        <v>171</v>
      </c>
      <c r="DY193" s="968">
        <f>IF(WWWW[[#This Row],[Is sufficient soap available for TLS? (Yes/No)]]="yes",WWWW[[#This Row],['#_Constructed/Existing hand washing stations at TLS/CFS/THF]],0)</f>
        <v>0</v>
      </c>
      <c r="DZ193" s="425">
        <f>IF(WWWW[[#This Row],['# Functional hand washing stations during reporting period]]*100&gt;WWWW[[#This Row],[Total PoP ]],WWWW[[#This Row],[Total PoP ]],WWWW[[#This Row],['# Functional hand washing stations during reporting period]]*100)</f>
        <v>1059</v>
      </c>
      <c r="EA193" s="425" t="str">
        <f>IF(OR(WWWW[[#This Row],['#_students at TLS_CFS]]="",WWWW[[#This Row],['#_students at TLS_CFS]]=0),"No","Yes")</f>
        <v>No</v>
      </c>
      <c r="EB19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3" s="570">
        <f>WWWW[[#This Row],[%_of_affected_people_surveyed_who_report_feeling_satistfied_with_the_latrine_design_and_sanitation_service]]*WWWW[[#This Row],[Total PoP ]]</f>
        <v>0</v>
      </c>
      <c r="ED193" s="570">
        <f>WWWW[[#This Row],[%_of_affected_people_surveyed_who_report_feeling_satistfied_with_the_water_point_design_and_water_service]]*WWWW[[#This Row],[Total PoP ]]</f>
        <v>0</v>
      </c>
      <c r="EE193" s="570">
        <f>WWWW[[#This Row],[%_of_complaints_received_that_result_in_timely_corrective_action_and_feedback_to_the_community]]*WWWW[[#This Row],[Total PoP ]]</f>
        <v>0</v>
      </c>
      <c r="EF19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3" s="964" t="str">
        <f>VLOOKUP(WWWW[[#This Row],[Site Name]],SiteDB6[[Site Name]:[CCCM Management]],6,FALSE)</f>
        <v>Yes</v>
      </c>
      <c r="EJ193" s="964" t="str">
        <f>VLOOKUP(WWWW[[#This Row],[Site Name]],SiteDB6[[Site Name]:[CCCM Focal Agency]],7,FALSE)</f>
        <v>KBC-MYT</v>
      </c>
      <c r="EK193" s="964" t="str">
        <f>VLOOKUP(WWWW[[#This Row],[Site Name]],SiteDB6[[Site Name]:[Location Type 1]],9,FALSE)</f>
        <v>Village Type Camp</v>
      </c>
      <c r="EL193" s="964" t="str">
        <f>VLOOKUP(WWWW[[#This Row],[Site Name]],SiteDB6[[Site Name]:[Type of Accommodation]],10,FALSE)</f>
        <v>Camp</v>
      </c>
      <c r="EM193" s="964" t="str">
        <f>VLOOKUP(WWWW[[#This Row],[Site Name]],SiteDB6[[Site Name]:[Ethnic or GCA/NGCA]],11,FALSE)</f>
        <v>NGCA</v>
      </c>
      <c r="EN193" s="964">
        <f>VLOOKUP(WWWW[[#This Row],[Site Name]],SiteDB6[[Site Name]:[Lat]],12,FALSE)</f>
        <v>24.831944</v>
      </c>
      <c r="EO193" s="964">
        <f>VLOOKUP(WWWW[[#This Row],[Site Name]],SiteDB6[[Site Name]:[Long]],13,FALSE)</f>
        <v>97.751389000000003</v>
      </c>
      <c r="EP193" s="964" t="str">
        <f>VLOOKUP(WWWW[[#This Row],[Site Name]],SiteDB6[[Site Name]:[Pcode]],3,FALSE)</f>
        <v>MMR001CMP120</v>
      </c>
      <c r="EQ193" s="969" t="str">
        <f t="shared" si="6"/>
        <v>Covered</v>
      </c>
      <c r="ER193" s="969" t="s">
        <v>3147</v>
      </c>
      <c r="ES193" s="964">
        <f>VLOOKUP(WWWW[[#This Row],[Site Name]],SiteDB6[[Site Name]:[Pop
(Kachin/Shan-CCCM as of March 2023)]],16,FALSE)</f>
        <v>166</v>
      </c>
      <c r="ET193" s="964">
        <f>VLOOKUP(WWWW[[#This Row],[Site Name]],SiteDB6[[Site Name]:[Pop
(Kachin/Shan-CCCM as of March 2023)]],17,FALSE)</f>
        <v>967</v>
      </c>
    </row>
    <row r="194" spans="1:150" hidden="1">
      <c r="A194" s="962" t="s">
        <v>2977</v>
      </c>
      <c r="B194" s="963" t="s">
        <v>141</v>
      </c>
      <c r="C194" s="963" t="s">
        <v>141</v>
      </c>
      <c r="D194" s="963" t="s">
        <v>241</v>
      </c>
      <c r="E194" s="963" t="s">
        <v>37</v>
      </c>
      <c r="F194" s="963" t="s">
        <v>142</v>
      </c>
      <c r="G194" s="964" t="str">
        <f>VLOOKUP(WWWW[[#This Row],[Site Name]],SiteDB6[[Site Name]:[Location Type]],8,FALSE)</f>
        <v>Camp</v>
      </c>
      <c r="H194" s="963" t="s">
        <v>181</v>
      </c>
      <c r="I194" s="965">
        <v>37</v>
      </c>
      <c r="J194" s="965">
        <v>193</v>
      </c>
      <c r="K194" s="966">
        <v>44811</v>
      </c>
      <c r="L194" s="967">
        <v>45175</v>
      </c>
      <c r="M194" s="965"/>
      <c r="N194" s="965">
        <v>1</v>
      </c>
      <c r="O194" s="965"/>
      <c r="P194" s="965"/>
      <c r="Q194" s="968" t="s">
        <v>41</v>
      </c>
      <c r="R194" s="965">
        <v>3</v>
      </c>
      <c r="S194" s="965">
        <v>3</v>
      </c>
      <c r="T194" s="445">
        <v>2</v>
      </c>
      <c r="U194" s="965"/>
      <c r="V194" s="965"/>
      <c r="W194" s="965"/>
      <c r="X194" s="965"/>
      <c r="Y194" s="965"/>
      <c r="Z194" s="965"/>
      <c r="AA194" s="965"/>
      <c r="AB194" s="965"/>
      <c r="AC194" s="965"/>
      <c r="AD194" s="965"/>
      <c r="AE194" s="965"/>
      <c r="AF194" s="965"/>
      <c r="AG194" s="965"/>
      <c r="AH194" s="965">
        <v>1</v>
      </c>
      <c r="AI194" s="965"/>
      <c r="AJ194" s="965"/>
      <c r="AK194" s="965"/>
      <c r="AL194" s="965"/>
      <c r="AM194" s="965"/>
      <c r="AN194" s="965"/>
      <c r="AO194" s="445"/>
      <c r="AP194" s="969"/>
      <c r="AQ194" s="965">
        <v>14</v>
      </c>
      <c r="AR194" s="965"/>
      <c r="AS194" s="970"/>
      <c r="AT194" s="965"/>
      <c r="AU194" s="965"/>
      <c r="AV194" s="965"/>
      <c r="AW194" s="965"/>
      <c r="AX194" s="965">
        <v>10</v>
      </c>
      <c r="AY194" s="964" t="s">
        <v>41</v>
      </c>
      <c r="AZ194" s="969" t="s">
        <v>137</v>
      </c>
      <c r="BA194" s="965"/>
      <c r="BB194" s="965"/>
      <c r="BC194" s="965"/>
      <c r="BD194" s="445"/>
      <c r="BE194" s="445"/>
      <c r="BF194" s="964"/>
      <c r="BG194" s="965">
        <v>1</v>
      </c>
      <c r="BH194" s="965"/>
      <c r="BI194" s="965"/>
      <c r="BJ194" s="965">
        <v>3</v>
      </c>
      <c r="BK194" s="965"/>
      <c r="BL194" s="965">
        <v>1</v>
      </c>
      <c r="BM194" s="965">
        <v>1</v>
      </c>
      <c r="BN194" s="965"/>
      <c r="BO194" s="965"/>
      <c r="BP194" s="964"/>
      <c r="BQ194" s="971"/>
      <c r="BR194" s="970"/>
      <c r="BS194" s="964"/>
      <c r="BT194" s="420"/>
      <c r="BU194" s="420"/>
      <c r="BV194" s="422"/>
      <c r="BW194" s="420"/>
      <c r="BX194" s="445"/>
      <c r="BY194" s="445"/>
      <c r="BZ194" s="445"/>
      <c r="CA194" s="445"/>
      <c r="CB194" s="445"/>
      <c r="CC194" s="702"/>
      <c r="CD194" s="445"/>
      <c r="CE194" s="972" t="str">
        <f>IFERROR(WWWW[[#This Row],['#_Water sources passed]]/WWWW[[#This Row],['#_Water sources tested for fecal coliform ]],"no test")</f>
        <v>no test</v>
      </c>
      <c r="CF194" s="970" t="str">
        <f>IFERROR(WWWW[[#This Row],['#_Household passed]]/WWWW[[#This Row],['#_Household water samples tested for fecal coliform]],"no test")</f>
        <v>no test</v>
      </c>
      <c r="CG194" s="971" t="str">
        <f>IF(AND(WWWW[[#This Row],[% of water sources passed]]="no test",WWWW[[#This Row],[% Household passed]]="no test"),"No Test","Tested")</f>
        <v>No Test</v>
      </c>
      <c r="CH194" s="971">
        <f>WWWW[[#This Row],['#_Constructed/existing protected hand dug well]]-WWWW[[#This Row],['#_Non-functional protected hand dug well]]</f>
        <v>2</v>
      </c>
      <c r="CI194" s="971">
        <f>(WWWW[[#This Row],['#_Constructed/Existing tube wells/boreholes/handpumps_WASH_agency]]+WWWW[[#This Row],['#_Non-Cluster partner water tube-wells/boreholes/handpumps]])-WWWW[[#This Row],['#_Non-functional tube wells/boreholes/handpumps]]</f>
        <v>0</v>
      </c>
      <c r="CJ194" s="971">
        <f>WWWW[[#This Row],['#_Constructed/Existingwater storage tank with gravity fed reticulation system]]-WWWW[[#This Row],['#_Non-functional storage tank gravity fed reticulation system]]</f>
        <v>0</v>
      </c>
      <c r="CK194" s="971">
        <f>(WWWW[[#This Row],['#_Water_Liters_supplied_by_Water boating or water trucking]]/90)/15</f>
        <v>0</v>
      </c>
      <c r="CL194" s="971">
        <f>WWWW[[#This Row],['#_Water_Liters_from_Constructed/Existing water distribution system from river or natural spring]]/90/15</f>
        <v>0</v>
      </c>
      <c r="CM194" s="421">
        <f>IF(WWWW[[#This Row],['#_of water points in TLS/CFS]]*500&gt;WWWW[[#This Row],[Total PoP ]],WWWW[[#This Row],[Total PoP ]],WWWW[[#This Row],['#_of water points in TLS/CFS]]*500)</f>
        <v>0</v>
      </c>
      <c r="CN194" s="421">
        <f>IF(WWWW[[#This Row],['#_of water points in THF]]*500&gt;WWWW[[#This Row],[Total PoP ]],WWWW[[#This Row],[Total PoP ]],WWWW[[#This Row],['#_of water points in THF]]*500)</f>
        <v>0</v>
      </c>
      <c r="CO194" s="421"/>
      <c r="CP19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4" s="970">
        <f>IF(WWWW[[#This Row],[Location Type 1]]="Village",WWWW[[#This Row],[Access to safe drinking water for Village]],WWWW[[#This Row],[Access to safe drinking water for Camp]])</f>
        <v>1</v>
      </c>
      <c r="CS194" s="968">
        <f>WWWW[[#This Row],[%Equitable and continuous access to sufficient quantity of safe drinking water]]*WWWW[[#This Row],[Total PoP ]]</f>
        <v>193</v>
      </c>
      <c r="CT194" s="970">
        <f>IF((WWWW[[#This Row],['#_Constructed/Existing protected/fenced ponds]]*250)/WWWW[[#This Row],[Total PoP ]]&gt;1,1,(WWWW[[#This Row],['#_Constructed/Existing protected/fenced ponds]]*250)/WWWW[[#This Row],[Total PoP ]])</f>
        <v>0</v>
      </c>
      <c r="CU194" s="968">
        <f>WWWW[[#This Row],[% Access to unimproved water points]]*WWWW[[#This Row],[Total PoP ]]</f>
        <v>0</v>
      </c>
      <c r="CV19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X194" s="968">
        <f>WWWW[[#This Row],[HRP1]]/500</f>
        <v>0.38600000000000001</v>
      </c>
      <c r="CY194" s="973">
        <f>1-WWWW[[#This Row],[% Equitable and continuous access to sufficient quantity of domestic water]]</f>
        <v>0</v>
      </c>
      <c r="CZ194" s="968">
        <f>WWWW[[#This Row],[%equitable and continuous access to sufficient quantity of safe drinking and domestic water''s GAP]]*WWWW[[#This Row],[Total PoP ]]</f>
        <v>0</v>
      </c>
      <c r="DA194" s="971">
        <f>IF(WWWW[[#This Row],[Total required water points]]-WWWW[[#This Row],['#Water points coverage]]&lt;0,0,WWWW[[#This Row],[Total required water points]]-WWWW[[#This Row],['#Water points coverage]])</f>
        <v>0.61399999999999999</v>
      </c>
      <c r="DB194" s="971">
        <f>ROUND(IF(WWWW[[#This Row],[Total PoP ]]&lt;500,1,WWWW[[#This Row],[Total PoP ]]/500),0)</f>
        <v>1</v>
      </c>
      <c r="DC194" s="971">
        <f>(WWWW[[#This Row],['#_Constructed latrines_by_WASHAgencies]]+WWWW[[#This Row],['#_Non Cluster partner latrines]])-WWWW[[#This Row],['#_Non-functional latrines]]</f>
        <v>14</v>
      </c>
      <c r="DD194" s="619">
        <f>WWWW[[#This Row],[HRP2]]/WWWW[[#This Row],[Total PoP ]]</f>
        <v>1</v>
      </c>
      <c r="DE19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193</v>
      </c>
      <c r="DF19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4" s="421">
        <f>IF(WWWW[[#This Row],['# of functional latrines in THF supported by WASH partners during the reporting period2]]="",0,WWWW[[#This Row],['# of functional latrines in THF supported by WASH partners during the reporting period2]]*50)</f>
        <v>0</v>
      </c>
      <c r="DI194" s="971">
        <f>ROUND(IF(WWWW[[#This Row],[Location Type 1]]="camp",WWWW[[#This Row],[Total PoP ]]/20,IF(WWWW[[#This Row],[Location Type 1]]="Temporary Location",WWWW[[#This Row],[Total PoP ]]/50,(WWWW[[#This Row],[Total PoP ]]/6))),0)</f>
        <v>10</v>
      </c>
      <c r="DJ194" s="971">
        <f>IF(WWWW[[#This Row],[Total required Latrines]]-(WWWW[[#This Row],['#_Constructed latrines_by_WASHAgencies]]+WWWW[[#This Row],['#_Non Cluster partner latrines]])&lt;0,0,WWWW[[#This Row],[Total required Latrines]]-(WWWW[[#This Row],['#_Constructed latrines_by_WASHAgencies]]+WWWW[[#This Row],['#_Non Cluster partner latrines]]))</f>
        <v>0</v>
      </c>
      <c r="DK194" s="973">
        <f>1-WWWW[[#This Row],[% people access to functioning Latrine]]</f>
        <v>0</v>
      </c>
      <c r="DL194" s="972">
        <f>IF(OR(WWWW[[#This Row],['#_Non-functional latrines]]="",WWWW[[#This Row],['#_Non-functional latrines]]=0),0,WWWW[[#This Row],['#_Non-functional latrines]]/(WWWW[[#This Row],['#_Constructed latrines_by_WASHAgencies]]+WWWW[[#This Row],['#_Non Cluster partner latrines]]))</f>
        <v>0</v>
      </c>
      <c r="DM194" s="968">
        <f>IF(500*(WWWW[[#This Row],['#_male hygiene promoters]]+WWWW[[#This Row],['#_female hygiene promoters]])&gt;WWWW[[#This Row],[Total PoP ]],WWWW[[#This Row],[Total PoP ]],500*(WWWW[[#This Row],['#_male hygiene promoters]]+WWWW[[#This Row],['#_female hygiene promoters]]))</f>
        <v>193</v>
      </c>
      <c r="DN19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4" s="971">
        <f>IF(WWWW[[#This Row],['# People with access to soap]]&gt;WWWW[[#This Row],['# People with access to Sanity Pads]],WWWW[[#This Row],['# People with access to soap]],WWWW[[#This Row],['# People with access to Sanity Pads]])</f>
        <v>0</v>
      </c>
      <c r="DQ194" s="971">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R194" s="973">
        <f>IF(WWWW[[#This Row],[HRP3]]/WWWW[[#This Row],[Total PoP ]]&gt;1,1,WWWW[[#This Row],[HRP3]]/WWWW[[#This Row],[Total PoP ]])</f>
        <v>1</v>
      </c>
      <c r="DS194" s="972">
        <f>1-WWWW[[#This Row],[Hygiene Coverage%]]</f>
        <v>0</v>
      </c>
      <c r="DT194" s="970">
        <f>WWWW[[#This Row],['# people reached by regular dedicated hygiene promotion_5]]/WWWW[[#This Row],[Total PoP ]]</f>
        <v>1</v>
      </c>
      <c r="DU19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4" s="971">
        <f>WWWW[[#This Row],['#_Constructed/Existing hand washing stations]]-WWWW[[#This Row],['#_Non-Functional_hand_washing_stations]]</f>
        <v>1</v>
      </c>
      <c r="DX194" s="968">
        <f>IF(WWWW[[#This Row],['# Functional hand washing stations during reporting period]]*20&gt;WWWW[[#This Row],[Total HH]],WWWW[[#This Row],[Total HH]],WWWW[[#This Row],['# Functional hand washing stations during reporting period]]*20)</f>
        <v>20</v>
      </c>
      <c r="DY194" s="968">
        <f>IF(WWWW[[#This Row],[Is sufficient soap available for TLS? (Yes/No)]]="yes",WWWW[[#This Row],['#_Constructed/Existing hand washing stations at TLS/CFS/THF]],0)</f>
        <v>0</v>
      </c>
      <c r="DZ194" s="425">
        <f>IF(WWWW[[#This Row],['# Functional hand washing stations during reporting period]]*100&gt;WWWW[[#This Row],[Total PoP ]],WWWW[[#This Row],[Total PoP ]],WWWW[[#This Row],['# Functional hand washing stations during reporting period]]*100)</f>
        <v>100</v>
      </c>
      <c r="EA194" s="425" t="str">
        <f>IF(OR(WWWW[[#This Row],['#_students at TLS_CFS]]="",WWWW[[#This Row],['#_students at TLS_CFS]]=0),"No","Yes")</f>
        <v>No</v>
      </c>
      <c r="EB19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4" s="570">
        <f>WWWW[[#This Row],[%_of_affected_people_surveyed_who_report_feeling_satistfied_with_the_latrine_design_and_sanitation_service]]*WWWW[[#This Row],[Total PoP ]]</f>
        <v>0</v>
      </c>
      <c r="ED194" s="570">
        <f>WWWW[[#This Row],[%_of_affected_people_surveyed_who_report_feeling_satistfied_with_the_water_point_design_and_water_service]]*WWWW[[#This Row],[Total PoP ]]</f>
        <v>0</v>
      </c>
      <c r="EE194" s="570">
        <f>WWWW[[#This Row],[%_of_complaints_received_that_result_in_timely_corrective_action_and_feedback_to_the_community]]*WWWW[[#This Row],[Total PoP ]]</f>
        <v>0</v>
      </c>
      <c r="EF19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4" s="964" t="str">
        <f>VLOOKUP(WWWW[[#This Row],[Site Name]],SiteDB6[[Site Name]:[CCCM Management]],6,FALSE)</f>
        <v>Yes</v>
      </c>
      <c r="EJ194" s="964" t="str">
        <f>VLOOKUP(WWWW[[#This Row],[Site Name]],SiteDB6[[Site Name]:[CCCM Focal Agency]],7,FALSE)</f>
        <v>KBC-MYT</v>
      </c>
      <c r="EK194" s="964" t="str">
        <f>VLOOKUP(WWWW[[#This Row],[Site Name]],SiteDB6[[Site Name]:[Location Type 1]],9,FALSE)</f>
        <v>Camp</v>
      </c>
      <c r="EL194" s="964" t="str">
        <f>VLOOKUP(WWWW[[#This Row],[Site Name]],SiteDB6[[Site Name]:[Type of Accommodation]],10,FALSE)</f>
        <v>Camp</v>
      </c>
      <c r="EM194" s="964" t="str">
        <f>VLOOKUP(WWWW[[#This Row],[Site Name]],SiteDB6[[Site Name]:[Ethnic or GCA/NGCA]],11,FALSE)</f>
        <v>GCA</v>
      </c>
      <c r="EN194" s="964">
        <f>VLOOKUP(WWWW[[#This Row],[Site Name]],SiteDB6[[Site Name]:[Lat]],12,FALSE)</f>
        <v>25.351724999999998</v>
      </c>
      <c r="EO194" s="964">
        <f>VLOOKUP(WWWW[[#This Row],[Site Name]],SiteDB6[[Site Name]:[Long]],13,FALSE)</f>
        <v>97.438432380952406</v>
      </c>
      <c r="EP194" s="964" t="str">
        <f>VLOOKUP(WWWW[[#This Row],[Site Name]],SiteDB6[[Site Name]:[Pcode]],3,FALSE)</f>
        <v>MMR001CMP025</v>
      </c>
      <c r="EQ194" s="969" t="str">
        <f t="shared" si="6"/>
        <v>Covered</v>
      </c>
      <c r="ER194" s="969" t="s">
        <v>3147</v>
      </c>
      <c r="ES194" s="964">
        <f>VLOOKUP(WWWW[[#This Row],[Site Name]],SiteDB6[[Site Name]:[Pop
(Kachin/Shan-CCCM as of March 2023)]],16,FALSE)</f>
        <v>73</v>
      </c>
      <c r="ET194" s="964">
        <f>VLOOKUP(WWWW[[#This Row],[Site Name]],SiteDB6[[Site Name]:[Pop
(Kachin/Shan-CCCM as of March 2023)]],17,FALSE)</f>
        <v>365</v>
      </c>
    </row>
    <row r="195" spans="1:150" hidden="1">
      <c r="A195" s="962" t="s">
        <v>2977</v>
      </c>
      <c r="B195" s="1068" t="s">
        <v>3203</v>
      </c>
      <c r="C195" s="963" t="s">
        <v>141</v>
      </c>
      <c r="D195" s="963" t="s">
        <v>3114</v>
      </c>
      <c r="E195" s="963" t="s">
        <v>37</v>
      </c>
      <c r="F195" s="963" t="s">
        <v>142</v>
      </c>
      <c r="G195" s="964" t="str">
        <f>VLOOKUP(WWWW[[#This Row],[Site Name]],SiteDB6[[Site Name]:[Location Type]],8,FALSE)</f>
        <v>Camp</v>
      </c>
      <c r="H195" s="963" t="s">
        <v>143</v>
      </c>
      <c r="I195" s="965">
        <v>286</v>
      </c>
      <c r="J195" s="965">
        <v>1438</v>
      </c>
      <c r="K195" s="966">
        <v>44811</v>
      </c>
      <c r="L195" s="967">
        <v>45175</v>
      </c>
      <c r="M195" s="965"/>
      <c r="N195" s="965">
        <v>5</v>
      </c>
      <c r="O195" s="965"/>
      <c r="P195" s="965"/>
      <c r="Q195" s="968" t="s">
        <v>41</v>
      </c>
      <c r="R195" s="965">
        <v>9</v>
      </c>
      <c r="S195" s="965">
        <v>6</v>
      </c>
      <c r="T195" s="445"/>
      <c r="U195" s="965"/>
      <c r="V195" s="965"/>
      <c r="W195" s="965">
        <v>5</v>
      </c>
      <c r="X195" s="965"/>
      <c r="Y195" s="965"/>
      <c r="Z195" s="965"/>
      <c r="AA195" s="965"/>
      <c r="AB195" s="965"/>
      <c r="AC195" s="965"/>
      <c r="AD195" s="965"/>
      <c r="AE195" s="965"/>
      <c r="AF195" s="965"/>
      <c r="AG195" s="965"/>
      <c r="AH195" s="965"/>
      <c r="AI195" s="965"/>
      <c r="AJ195" s="965"/>
      <c r="AK195" s="965"/>
      <c r="AL195" s="965"/>
      <c r="AM195" s="965"/>
      <c r="AN195" s="965"/>
      <c r="AO195" s="445"/>
      <c r="AP195" s="969"/>
      <c r="AQ195" s="965">
        <v>413</v>
      </c>
      <c r="AR195" s="965"/>
      <c r="AS195" s="970"/>
      <c r="AT195" s="965"/>
      <c r="AU195" s="965"/>
      <c r="AV195" s="965"/>
      <c r="AW195" s="965"/>
      <c r="AX195" s="965">
        <v>413</v>
      </c>
      <c r="AY195" s="964" t="s">
        <v>41</v>
      </c>
      <c r="AZ195" s="969" t="s">
        <v>137</v>
      </c>
      <c r="BA195" s="965"/>
      <c r="BB195" s="965"/>
      <c r="BC195" s="965"/>
      <c r="BD195" s="445"/>
      <c r="BE195" s="445"/>
      <c r="BF195" s="964"/>
      <c r="BG195" s="965">
        <v>315</v>
      </c>
      <c r="BH195" s="965"/>
      <c r="BI195" s="965">
        <v>5</v>
      </c>
      <c r="BJ195" s="965">
        <v>1</v>
      </c>
      <c r="BK195" s="965"/>
      <c r="BL195" s="965">
        <v>1</v>
      </c>
      <c r="BM195" s="965">
        <v>3</v>
      </c>
      <c r="BN195" s="965"/>
      <c r="BO195" s="965"/>
      <c r="BP195" s="964"/>
      <c r="BQ195" s="971"/>
      <c r="BR195" s="970"/>
      <c r="BS195" s="964"/>
      <c r="BT195" s="420"/>
      <c r="BU195" s="420"/>
      <c r="BV195" s="422"/>
      <c r="BW195" s="420"/>
      <c r="BX195" s="445"/>
      <c r="BY195" s="445"/>
      <c r="BZ195" s="445"/>
      <c r="CA195" s="445"/>
      <c r="CB195" s="445"/>
      <c r="CC195" s="702"/>
      <c r="CD195" s="445"/>
      <c r="CE195" s="972" t="str">
        <f>IFERROR(WWWW[[#This Row],['#_Water sources passed]]/WWWW[[#This Row],['#_Water sources tested for fecal coliform ]],"no test")</f>
        <v>no test</v>
      </c>
      <c r="CF195" s="970" t="str">
        <f>IFERROR(WWWW[[#This Row],['#_Household passed]]/WWWW[[#This Row],['#_Household water samples tested for fecal coliform]],"no test")</f>
        <v>no test</v>
      </c>
      <c r="CG195" s="971" t="str">
        <f>IF(AND(WWWW[[#This Row],[% of water sources passed]]="no test",WWWW[[#This Row],[% Household passed]]="no test"),"No Test","Tested")</f>
        <v>No Test</v>
      </c>
      <c r="CH195" s="971">
        <f>WWWW[[#This Row],['#_Constructed/existing protected hand dug well]]-WWWW[[#This Row],['#_Non-functional protected hand dug well]]</f>
        <v>0</v>
      </c>
      <c r="CI195" s="971">
        <f>(WWWW[[#This Row],['#_Constructed/Existing tube wells/boreholes/handpumps_WASH_agency]]+WWWW[[#This Row],['#_Non-Cluster partner water tube-wells/boreholes/handpumps]])-WWWW[[#This Row],['#_Non-functional tube wells/boreholes/handpumps]]</f>
        <v>5</v>
      </c>
      <c r="CJ195" s="971">
        <f>WWWW[[#This Row],['#_Constructed/Existingwater storage tank with gravity fed reticulation system]]-WWWW[[#This Row],['#_Non-functional storage tank gravity fed reticulation system]]</f>
        <v>0</v>
      </c>
      <c r="CK195" s="971">
        <f>(WWWW[[#This Row],['#_Water_Liters_supplied_by_Water boating or water trucking]]/90)/15</f>
        <v>0</v>
      </c>
      <c r="CL195" s="971">
        <f>WWWW[[#This Row],['#_Water_Liters_from_Constructed/Existing water distribution system from river or natural spring]]/90/15</f>
        <v>0</v>
      </c>
      <c r="CM195" s="421">
        <f>IF(WWWW[[#This Row],['#_of water points in TLS/CFS]]*500&gt;WWWW[[#This Row],[Total PoP ]],WWWW[[#This Row],[Total PoP ]],WWWW[[#This Row],['#_of water points in TLS/CFS]]*500)</f>
        <v>0</v>
      </c>
      <c r="CN195" s="421">
        <f>IF(WWWW[[#This Row],['#_of water points in THF]]*500&gt;WWWW[[#This Row],[Total PoP ]],WWWW[[#This Row],[Total PoP ]],WWWW[[#This Row],['#_of water points in THF]]*500)</f>
        <v>0</v>
      </c>
      <c r="CO195" s="421"/>
      <c r="CP19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0.86926286509040329</v>
      </c>
      <c r="CR195" s="970">
        <f>IF(WWWW[[#This Row],[Location Type 1]]="Village",WWWW[[#This Row],[Access to safe drinking water for Village]],WWWW[[#This Row],[Access to safe drinking water for Camp]])</f>
        <v>1</v>
      </c>
      <c r="CS195" s="968">
        <f>WWWW[[#This Row],[%Equitable and continuous access to sufficient quantity of safe drinking water]]*WWWW[[#This Row],[Total PoP ]]</f>
        <v>1438</v>
      </c>
      <c r="CT195" s="970">
        <f>IF((WWWW[[#This Row],['#_Constructed/Existing protected/fenced ponds]]*250)/WWWW[[#This Row],[Total PoP ]]&gt;1,1,(WWWW[[#This Row],['#_Constructed/Existing protected/fenced ponds]]*250)/WWWW[[#This Row],[Total PoP ]])</f>
        <v>0</v>
      </c>
      <c r="CU195" s="968">
        <f>WWWW[[#This Row],[% Access to unimproved water points]]*WWWW[[#This Row],[Total PoP ]]</f>
        <v>0</v>
      </c>
      <c r="CV19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1438</v>
      </c>
      <c r="CX195" s="968">
        <f>WWWW[[#This Row],[HRP1]]/500</f>
        <v>2.8759999999999999</v>
      </c>
      <c r="CY195" s="973">
        <f>1-WWWW[[#This Row],[% Equitable and continuous access to sufficient quantity of domestic water]]</f>
        <v>0</v>
      </c>
      <c r="CZ195" s="968">
        <f>WWWW[[#This Row],[%equitable and continuous access to sufficient quantity of safe drinking and domestic water''s GAP]]*WWWW[[#This Row],[Total PoP ]]</f>
        <v>0</v>
      </c>
      <c r="DA195" s="971">
        <f>IF(WWWW[[#This Row],[Total required water points]]-WWWW[[#This Row],['#Water points coverage]]&lt;0,0,WWWW[[#This Row],[Total required water points]]-WWWW[[#This Row],['#Water points coverage]])</f>
        <v>0.12400000000000011</v>
      </c>
      <c r="DB195" s="971">
        <f>ROUND(IF(WWWW[[#This Row],[Total PoP ]]&lt;500,1,WWWW[[#This Row],[Total PoP ]]/500),0)</f>
        <v>3</v>
      </c>
      <c r="DC195" s="971">
        <f>(WWWW[[#This Row],['#_Constructed latrines_by_WASHAgencies]]+WWWW[[#This Row],['#_Non Cluster partner latrines]])-WWWW[[#This Row],['#_Non-functional latrines]]</f>
        <v>413</v>
      </c>
      <c r="DD195" s="619">
        <f>WWWW[[#This Row],[HRP2]]/WWWW[[#This Row],[Total PoP ]]</f>
        <v>1</v>
      </c>
      <c r="DE19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1438</v>
      </c>
      <c r="DF19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5" s="421">
        <f>IF(WWWW[[#This Row],['# of functional latrines in THF supported by WASH partners during the reporting period2]]="",0,WWWW[[#This Row],['# of functional latrines in THF supported by WASH partners during the reporting period2]]*50)</f>
        <v>0</v>
      </c>
      <c r="DI195" s="971">
        <f>ROUND(IF(WWWW[[#This Row],[Location Type 1]]="camp",WWWW[[#This Row],[Total PoP ]]/20,IF(WWWW[[#This Row],[Location Type 1]]="Temporary Location",WWWW[[#This Row],[Total PoP ]]/50,(WWWW[[#This Row],[Total PoP ]]/6))),0)</f>
        <v>72</v>
      </c>
      <c r="DJ195" s="971">
        <f>IF(WWWW[[#This Row],[Total required Latrines]]-(WWWW[[#This Row],['#_Constructed latrines_by_WASHAgencies]]+WWWW[[#This Row],['#_Non Cluster partner latrines]])&lt;0,0,WWWW[[#This Row],[Total required Latrines]]-(WWWW[[#This Row],['#_Constructed latrines_by_WASHAgencies]]+WWWW[[#This Row],['#_Non Cluster partner latrines]]))</f>
        <v>0</v>
      </c>
      <c r="DK195" s="973">
        <f>1-WWWW[[#This Row],[% people access to functioning Latrine]]</f>
        <v>0</v>
      </c>
      <c r="DL195" s="972">
        <f>IF(OR(WWWW[[#This Row],['#_Non-functional latrines]]="",WWWW[[#This Row],['#_Non-functional latrines]]=0),0,WWWW[[#This Row],['#_Non-functional latrines]]/(WWWW[[#This Row],['#_Constructed latrines_by_WASHAgencies]]+WWWW[[#This Row],['#_Non Cluster partner latrines]]))</f>
        <v>0</v>
      </c>
      <c r="DM195" s="968">
        <f>IF(500*(WWWW[[#This Row],['#_male hygiene promoters]]+WWWW[[#This Row],['#_female hygiene promoters]])&gt;WWWW[[#This Row],[Total PoP ]],WWWW[[#This Row],[Total PoP ]],500*(WWWW[[#This Row],['#_male hygiene promoters]]+WWWW[[#This Row],['#_female hygiene promoters]]))</f>
        <v>1438</v>
      </c>
      <c r="DN19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5" s="971">
        <f>IF(WWWW[[#This Row],['# People with access to soap]]&gt;WWWW[[#This Row],['# People with access to Sanity Pads]],WWWW[[#This Row],['# People with access to soap]],WWWW[[#This Row],['# People with access to Sanity Pads]])</f>
        <v>0</v>
      </c>
      <c r="DQ195" s="971">
        <f>IF(WWWW[[#This Row],['# people reached by regular dedicated hygiene promotion_5]]&gt;WWWW[[#This Row],['# People received regular supply of hygiene items_6]],WWWW[[#This Row],['# people reached by regular dedicated hygiene promotion_5]],WWWW[[#This Row],['# People received regular supply of hygiene items_6]])</f>
        <v>1438</v>
      </c>
      <c r="DR195" s="973">
        <f>IF(WWWW[[#This Row],[HRP3]]/WWWW[[#This Row],[Total PoP ]]&gt;1,1,WWWW[[#This Row],[HRP3]]/WWWW[[#This Row],[Total PoP ]])</f>
        <v>1</v>
      </c>
      <c r="DS195" s="972">
        <f>1-WWWW[[#This Row],[Hygiene Coverage%]]</f>
        <v>0</v>
      </c>
      <c r="DT195" s="970">
        <f>WWWW[[#This Row],['# people reached by regular dedicated hygiene promotion_5]]/WWWW[[#This Row],[Total PoP ]]</f>
        <v>1</v>
      </c>
      <c r="DU19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5" s="971">
        <f>WWWW[[#This Row],['#_Constructed/Existing hand washing stations]]-WWWW[[#This Row],['#_Non-Functional_hand_washing_stations]]</f>
        <v>315</v>
      </c>
      <c r="DX195" s="968">
        <f>IF(WWWW[[#This Row],['# Functional hand washing stations during reporting period]]*20&gt;WWWW[[#This Row],[Total HH]],WWWW[[#This Row],[Total HH]],WWWW[[#This Row],['# Functional hand washing stations during reporting period]]*20)</f>
        <v>286</v>
      </c>
      <c r="DY195" s="968">
        <f>IF(WWWW[[#This Row],[Is sufficient soap available for TLS? (Yes/No)]]="yes",WWWW[[#This Row],['#_Constructed/Existing hand washing stations at TLS/CFS/THF]],0)</f>
        <v>0</v>
      </c>
      <c r="DZ195" s="425">
        <f>IF(WWWW[[#This Row],['# Functional hand washing stations during reporting period]]*100&gt;WWWW[[#This Row],[Total PoP ]],WWWW[[#This Row],[Total PoP ]],WWWW[[#This Row],['# Functional hand washing stations during reporting period]]*100)</f>
        <v>1438</v>
      </c>
      <c r="EA195" s="425" t="str">
        <f>IF(OR(WWWW[[#This Row],['#_students at TLS_CFS]]="",WWWW[[#This Row],['#_students at TLS_CFS]]=0),"No","Yes")</f>
        <v>No</v>
      </c>
      <c r="EB19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5" s="570">
        <f>WWWW[[#This Row],[%_of_affected_people_surveyed_who_report_feeling_satistfied_with_the_latrine_design_and_sanitation_service]]*WWWW[[#This Row],[Total PoP ]]</f>
        <v>0</v>
      </c>
      <c r="ED195" s="570">
        <f>WWWW[[#This Row],[%_of_affected_people_surveyed_who_report_feeling_satistfied_with_the_water_point_design_and_water_service]]*WWWW[[#This Row],[Total PoP ]]</f>
        <v>0</v>
      </c>
      <c r="EE195" s="570">
        <f>WWWW[[#This Row],[%_of_complaints_received_that_result_in_timely_corrective_action_and_feedback_to_the_community]]*WWWW[[#This Row],[Total PoP ]]</f>
        <v>0</v>
      </c>
      <c r="EF19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5" s="964" t="str">
        <f>VLOOKUP(WWWW[[#This Row],[Site Name]],SiteDB6[[Site Name]:[CCCM Management]],6,FALSE)</f>
        <v>Yes</v>
      </c>
      <c r="EJ195" s="964" t="str">
        <f>VLOOKUP(WWWW[[#This Row],[Site Name]],SiteDB6[[Site Name]:[CCCM Focal Agency]],7,FALSE)</f>
        <v>KBC-MYT</v>
      </c>
      <c r="EK195" s="964" t="str">
        <f>VLOOKUP(WWWW[[#This Row],[Site Name]],SiteDB6[[Site Name]:[Location Type 1]],9,FALSE)</f>
        <v>Camp</v>
      </c>
      <c r="EL195" s="964" t="str">
        <f>VLOOKUP(WWWW[[#This Row],[Site Name]],SiteDB6[[Site Name]:[Type of Accommodation]],10,FALSE)</f>
        <v>Camp</v>
      </c>
      <c r="EM195" s="964" t="str">
        <f>VLOOKUP(WWWW[[#This Row],[Site Name]],SiteDB6[[Site Name]:[Ethnic or GCA/NGCA]],11,FALSE)</f>
        <v>NGCA</v>
      </c>
      <c r="EN195" s="964">
        <f>VLOOKUP(WWWW[[#This Row],[Site Name]],SiteDB6[[Site Name]:[Lat]],12,FALSE)</f>
        <v>25.418084</v>
      </c>
      <c r="EO195" s="964">
        <f>VLOOKUP(WWWW[[#This Row],[Site Name]],SiteDB6[[Site Name]:[Long]],13,FALSE)</f>
        <v>98.025662999999994</v>
      </c>
      <c r="EP195" s="964" t="str">
        <f>VLOOKUP(WWWW[[#This Row],[Site Name]],SiteDB6[[Site Name]:[Pcode]],3,FALSE)</f>
        <v>MMR001CMP249</v>
      </c>
      <c r="EQ195" s="969" t="str">
        <f t="shared" si="6"/>
        <v>Covered</v>
      </c>
      <c r="ER195" s="969" t="s">
        <v>3147</v>
      </c>
      <c r="ES195" s="964">
        <f>VLOOKUP(WWWW[[#This Row],[Site Name]],SiteDB6[[Site Name]:[Pop
(Kachin/Shan-CCCM as of March 2023)]],16,FALSE)</f>
        <v>380</v>
      </c>
      <c r="ET195" s="964">
        <f>VLOOKUP(WWWW[[#This Row],[Site Name]],SiteDB6[[Site Name]:[Pop
(Kachin/Shan-CCCM as of March 2023)]],17,FALSE)</f>
        <v>1878</v>
      </c>
    </row>
    <row r="196" spans="1:150" hidden="1">
      <c r="A196" s="962" t="s">
        <v>2977</v>
      </c>
      <c r="B196" s="963" t="s">
        <v>141</v>
      </c>
      <c r="C196" s="963" t="s">
        <v>141</v>
      </c>
      <c r="D196" s="963" t="s">
        <v>241</v>
      </c>
      <c r="E196" s="963" t="s">
        <v>37</v>
      </c>
      <c r="F196" s="963" t="s">
        <v>142</v>
      </c>
      <c r="G196" s="964" t="str">
        <f>VLOOKUP(WWWW[[#This Row],[Site Name]],SiteDB6[[Site Name]:[Location Type]],8,FALSE)</f>
        <v>Camp</v>
      </c>
      <c r="H196" s="963" t="s">
        <v>182</v>
      </c>
      <c r="I196" s="965">
        <v>206</v>
      </c>
      <c r="J196" s="965">
        <v>1050</v>
      </c>
      <c r="K196" s="966">
        <v>44811</v>
      </c>
      <c r="L196" s="967">
        <v>45175</v>
      </c>
      <c r="M196" s="965"/>
      <c r="N196" s="965">
        <v>1</v>
      </c>
      <c r="O196" s="965"/>
      <c r="P196" s="965"/>
      <c r="Q196" s="968" t="s">
        <v>41</v>
      </c>
      <c r="R196" s="965">
        <v>2</v>
      </c>
      <c r="S196" s="965">
        <v>3</v>
      </c>
      <c r="T196" s="445"/>
      <c r="U196" s="965"/>
      <c r="V196" s="965"/>
      <c r="W196" s="965"/>
      <c r="X196" s="965"/>
      <c r="Y196" s="965"/>
      <c r="Z196" s="965"/>
      <c r="AA196" s="965"/>
      <c r="AB196" s="965"/>
      <c r="AC196" s="965"/>
      <c r="AD196" s="965"/>
      <c r="AE196" s="965"/>
      <c r="AF196" s="965"/>
      <c r="AG196" s="965"/>
      <c r="AH196" s="965"/>
      <c r="AI196" s="965"/>
      <c r="AJ196" s="965"/>
      <c r="AK196" s="965"/>
      <c r="AL196" s="965"/>
      <c r="AM196" s="965"/>
      <c r="AN196" s="965"/>
      <c r="AO196" s="445"/>
      <c r="AP196" s="969"/>
      <c r="AQ196" s="965">
        <v>158</v>
      </c>
      <c r="AR196" s="965"/>
      <c r="AS196" s="970"/>
      <c r="AT196" s="965"/>
      <c r="AU196" s="965"/>
      <c r="AV196" s="965"/>
      <c r="AW196" s="965"/>
      <c r="AX196" s="965">
        <v>158</v>
      </c>
      <c r="AY196" s="964" t="s">
        <v>41</v>
      </c>
      <c r="AZ196" s="969" t="s">
        <v>137</v>
      </c>
      <c r="BA196" s="965"/>
      <c r="BB196" s="965"/>
      <c r="BC196" s="965"/>
      <c r="BD196" s="445"/>
      <c r="BE196" s="445"/>
      <c r="BF196" s="964"/>
      <c r="BG196" s="965">
        <v>7</v>
      </c>
      <c r="BH196" s="965"/>
      <c r="BI196" s="965"/>
      <c r="BJ196" s="965">
        <v>4</v>
      </c>
      <c r="BK196" s="965"/>
      <c r="BL196" s="965">
        <v>2</v>
      </c>
      <c r="BM196" s="965">
        <v>1</v>
      </c>
      <c r="BN196" s="965"/>
      <c r="BO196" s="965"/>
      <c r="BP196" s="964"/>
      <c r="BQ196" s="971"/>
      <c r="BR196" s="970"/>
      <c r="BS196" s="964"/>
      <c r="BT196" s="420"/>
      <c r="BU196" s="420"/>
      <c r="BV196" s="422"/>
      <c r="BW196" s="420"/>
      <c r="BX196" s="445"/>
      <c r="BY196" s="445"/>
      <c r="BZ196" s="445"/>
      <c r="CA196" s="445"/>
      <c r="CB196" s="445"/>
      <c r="CC196" s="702"/>
      <c r="CD196" s="445"/>
      <c r="CE196" s="972" t="str">
        <f>IFERROR(WWWW[[#This Row],['#_Water sources passed]]/WWWW[[#This Row],['#_Water sources tested for fecal coliform ]],"no test")</f>
        <v>no test</v>
      </c>
      <c r="CF196" s="970" t="str">
        <f>IFERROR(WWWW[[#This Row],['#_Household passed]]/WWWW[[#This Row],['#_Household water samples tested for fecal coliform]],"no test")</f>
        <v>no test</v>
      </c>
      <c r="CG196" s="971" t="str">
        <f>IF(AND(WWWW[[#This Row],[% of water sources passed]]="no test",WWWW[[#This Row],[% Household passed]]="no test"),"No Test","Tested")</f>
        <v>No Test</v>
      </c>
      <c r="CH196" s="971">
        <f>WWWW[[#This Row],['#_Constructed/existing protected hand dug well]]-WWWW[[#This Row],['#_Non-functional protected hand dug well]]</f>
        <v>0</v>
      </c>
      <c r="CI196" s="971">
        <f>(WWWW[[#This Row],['#_Constructed/Existing tube wells/boreholes/handpumps_WASH_agency]]+WWWW[[#This Row],['#_Non-Cluster partner water tube-wells/boreholes/handpumps]])-WWWW[[#This Row],['#_Non-functional tube wells/boreholes/handpumps]]</f>
        <v>0</v>
      </c>
      <c r="CJ196" s="971">
        <f>WWWW[[#This Row],['#_Constructed/Existingwater storage tank with gravity fed reticulation system]]-WWWW[[#This Row],['#_Non-functional storage tank gravity fed reticulation system]]</f>
        <v>0</v>
      </c>
      <c r="CK196" s="971">
        <f>(WWWW[[#This Row],['#_Water_Liters_supplied_by_Water boating or water trucking]]/90)/15</f>
        <v>0</v>
      </c>
      <c r="CL196" s="971">
        <f>WWWW[[#This Row],['#_Water_Liters_from_Constructed/Existing water distribution system from river or natural spring]]/90/15</f>
        <v>0</v>
      </c>
      <c r="CM196" s="421">
        <f>IF(WWWW[[#This Row],['#_of water points in TLS/CFS]]*500&gt;WWWW[[#This Row],[Total PoP ]],WWWW[[#This Row],[Total PoP ]],WWWW[[#This Row],['#_of water points in TLS/CFS]]*500)</f>
        <v>0</v>
      </c>
      <c r="CN196" s="421">
        <f>IF(WWWW[[#This Row],['#_of water points in THF]]*500&gt;WWWW[[#This Row],[Total PoP ]],WWWW[[#This Row],[Total PoP ]],WWWW[[#This Row],['#_of water points in THF]]*500)</f>
        <v>0</v>
      </c>
      <c r="CO196" s="421"/>
      <c r="CP19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9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96" s="970">
        <f>IF(WWWW[[#This Row],[Location Type 1]]="Village",WWWW[[#This Row],[Access to safe drinking water for Village]],WWWW[[#This Row],[Access to safe drinking water for Camp]])</f>
        <v>0</v>
      </c>
      <c r="CS196" s="968">
        <f>WWWW[[#This Row],[%Equitable and continuous access to sufficient quantity of safe drinking water]]*WWWW[[#This Row],[Total PoP ]]</f>
        <v>0</v>
      </c>
      <c r="CT196" s="970">
        <f>IF((WWWW[[#This Row],['#_Constructed/Existing protected/fenced ponds]]*250)/WWWW[[#This Row],[Total PoP ]]&gt;1,1,(WWWW[[#This Row],['#_Constructed/Existing protected/fenced ponds]]*250)/WWWW[[#This Row],[Total PoP ]])</f>
        <v>0</v>
      </c>
      <c r="CU196" s="968">
        <f>WWWW[[#This Row],[% Access to unimproved water points]]*WWWW[[#This Row],[Total PoP ]]</f>
        <v>0</v>
      </c>
      <c r="CV19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9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96" s="968">
        <f>WWWW[[#This Row],[HRP1]]/500</f>
        <v>0</v>
      </c>
      <c r="CY196" s="973">
        <f>1-WWWW[[#This Row],[% Equitable and continuous access to sufficient quantity of domestic water]]</f>
        <v>1</v>
      </c>
      <c r="CZ196" s="968">
        <f>WWWW[[#This Row],[%equitable and continuous access to sufficient quantity of safe drinking and domestic water''s GAP]]*WWWW[[#This Row],[Total PoP ]]</f>
        <v>1050</v>
      </c>
      <c r="DA196" s="971">
        <f>IF(WWWW[[#This Row],[Total required water points]]-WWWW[[#This Row],['#Water points coverage]]&lt;0,0,WWWW[[#This Row],[Total required water points]]-WWWW[[#This Row],['#Water points coverage]])</f>
        <v>2</v>
      </c>
      <c r="DB196" s="971">
        <f>ROUND(IF(WWWW[[#This Row],[Total PoP ]]&lt;500,1,WWWW[[#This Row],[Total PoP ]]/500),0)</f>
        <v>2</v>
      </c>
      <c r="DC196" s="971">
        <f>(WWWW[[#This Row],['#_Constructed latrines_by_WASHAgencies]]+WWWW[[#This Row],['#_Non Cluster partner latrines]])-WWWW[[#This Row],['#_Non-functional latrines]]</f>
        <v>158</v>
      </c>
      <c r="DD196" s="619">
        <f>WWWW[[#This Row],[HRP2]]/WWWW[[#This Row],[Total PoP ]]</f>
        <v>1</v>
      </c>
      <c r="DE19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1050</v>
      </c>
      <c r="DF19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6" s="421">
        <f>IF(WWWW[[#This Row],['# of functional latrines in THF supported by WASH partners during the reporting period2]]="",0,WWWW[[#This Row],['# of functional latrines in THF supported by WASH partners during the reporting period2]]*50)</f>
        <v>0</v>
      </c>
      <c r="DI196" s="971">
        <f>ROUND(IF(WWWW[[#This Row],[Location Type 1]]="camp",WWWW[[#This Row],[Total PoP ]]/20,IF(WWWW[[#This Row],[Location Type 1]]="Temporary Location",WWWW[[#This Row],[Total PoP ]]/50,(WWWW[[#This Row],[Total PoP ]]/6))),0)</f>
        <v>53</v>
      </c>
      <c r="DJ196" s="971">
        <f>IF(WWWW[[#This Row],[Total required Latrines]]-(WWWW[[#This Row],['#_Constructed latrines_by_WASHAgencies]]+WWWW[[#This Row],['#_Non Cluster partner latrines]])&lt;0,0,WWWW[[#This Row],[Total required Latrines]]-(WWWW[[#This Row],['#_Constructed latrines_by_WASHAgencies]]+WWWW[[#This Row],['#_Non Cluster partner latrines]]))</f>
        <v>0</v>
      </c>
      <c r="DK196" s="973">
        <f>1-WWWW[[#This Row],[% people access to functioning Latrine]]</f>
        <v>0</v>
      </c>
      <c r="DL196" s="972">
        <f>IF(OR(WWWW[[#This Row],['#_Non-functional latrines]]="",WWWW[[#This Row],['#_Non-functional latrines]]=0),0,WWWW[[#This Row],['#_Non-functional latrines]]/(WWWW[[#This Row],['#_Constructed latrines_by_WASHAgencies]]+WWWW[[#This Row],['#_Non Cluster partner latrines]]))</f>
        <v>0</v>
      </c>
      <c r="DM196" s="968">
        <f>IF(500*(WWWW[[#This Row],['#_male hygiene promoters]]+WWWW[[#This Row],['#_female hygiene promoters]])&gt;WWWW[[#This Row],[Total PoP ]],WWWW[[#This Row],[Total PoP ]],500*(WWWW[[#This Row],['#_male hygiene promoters]]+WWWW[[#This Row],['#_female hygiene promoters]]))</f>
        <v>1050</v>
      </c>
      <c r="DN19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6" s="971">
        <f>IF(WWWW[[#This Row],['# People with access to soap]]&gt;WWWW[[#This Row],['# People with access to Sanity Pads]],WWWW[[#This Row],['# People with access to soap]],WWWW[[#This Row],['# People with access to Sanity Pads]])</f>
        <v>0</v>
      </c>
      <c r="DQ196" s="971">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R196" s="973">
        <f>IF(WWWW[[#This Row],[HRP3]]/WWWW[[#This Row],[Total PoP ]]&gt;1,1,WWWW[[#This Row],[HRP3]]/WWWW[[#This Row],[Total PoP ]])</f>
        <v>1</v>
      </c>
      <c r="DS196" s="972">
        <f>1-WWWW[[#This Row],[Hygiene Coverage%]]</f>
        <v>0</v>
      </c>
      <c r="DT196" s="970">
        <f>WWWW[[#This Row],['# people reached by regular dedicated hygiene promotion_5]]/WWWW[[#This Row],[Total PoP ]]</f>
        <v>1</v>
      </c>
      <c r="DU19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6" s="971">
        <f>WWWW[[#This Row],['#_Constructed/Existing hand washing stations]]-WWWW[[#This Row],['#_Non-Functional_hand_washing_stations]]</f>
        <v>7</v>
      </c>
      <c r="DX196" s="968">
        <f>IF(WWWW[[#This Row],['# Functional hand washing stations during reporting period]]*20&gt;WWWW[[#This Row],[Total HH]],WWWW[[#This Row],[Total HH]],WWWW[[#This Row],['# Functional hand washing stations during reporting period]]*20)</f>
        <v>140</v>
      </c>
      <c r="DY196" s="968">
        <f>IF(WWWW[[#This Row],[Is sufficient soap available for TLS? (Yes/No)]]="yes",WWWW[[#This Row],['#_Constructed/Existing hand washing stations at TLS/CFS/THF]],0)</f>
        <v>0</v>
      </c>
      <c r="DZ196" s="425">
        <f>IF(WWWW[[#This Row],['# Functional hand washing stations during reporting period]]*100&gt;WWWW[[#This Row],[Total PoP ]],WWWW[[#This Row],[Total PoP ]],WWWW[[#This Row],['# Functional hand washing stations during reporting period]]*100)</f>
        <v>700</v>
      </c>
      <c r="EA196" s="425" t="str">
        <f>IF(OR(WWWW[[#This Row],['#_students at TLS_CFS]]="",WWWW[[#This Row],['#_students at TLS_CFS]]=0),"No","Yes")</f>
        <v>No</v>
      </c>
      <c r="EB19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6" s="570">
        <f>WWWW[[#This Row],[%_of_affected_people_surveyed_who_report_feeling_satistfied_with_the_latrine_design_and_sanitation_service]]*WWWW[[#This Row],[Total PoP ]]</f>
        <v>0</v>
      </c>
      <c r="ED196" s="570">
        <f>WWWW[[#This Row],[%_of_affected_people_surveyed_who_report_feeling_satistfied_with_the_water_point_design_and_water_service]]*WWWW[[#This Row],[Total PoP ]]</f>
        <v>0</v>
      </c>
      <c r="EE196" s="570">
        <f>WWWW[[#This Row],[%_of_complaints_received_that_result_in_timely_corrective_action_and_feedback_to_the_community]]*WWWW[[#This Row],[Total PoP ]]</f>
        <v>0</v>
      </c>
      <c r="EF19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6" s="964" t="str">
        <f>VLOOKUP(WWWW[[#This Row],[Site Name]],SiteDB6[[Site Name]:[CCCM Management]],6,FALSE)</f>
        <v>Yes</v>
      </c>
      <c r="EJ196" s="964" t="str">
        <f>VLOOKUP(WWWW[[#This Row],[Site Name]],SiteDB6[[Site Name]:[CCCM Focal Agency]],7,FALSE)</f>
        <v>KBC-MYT</v>
      </c>
      <c r="EK196" s="964" t="str">
        <f>VLOOKUP(WWWW[[#This Row],[Site Name]],SiteDB6[[Site Name]:[Location Type 1]],9,FALSE)</f>
        <v>Camp</v>
      </c>
      <c r="EL196" s="964" t="str">
        <f>VLOOKUP(WWWW[[#This Row],[Site Name]],SiteDB6[[Site Name]:[Type of Accommodation]],10,FALSE)</f>
        <v>Camp</v>
      </c>
      <c r="EM196" s="964" t="str">
        <f>VLOOKUP(WWWW[[#This Row],[Site Name]],SiteDB6[[Site Name]:[Ethnic or GCA/NGCA]],11,FALSE)</f>
        <v>GCA</v>
      </c>
      <c r="EN196" s="964">
        <f>VLOOKUP(WWWW[[#This Row],[Site Name]],SiteDB6[[Site Name]:[Lat]],12,FALSE)</f>
        <v>25.418084</v>
      </c>
      <c r="EO196" s="964">
        <f>VLOOKUP(WWWW[[#This Row],[Site Name]],SiteDB6[[Site Name]:[Long]],13,FALSE)</f>
        <v>98.025662999999994</v>
      </c>
      <c r="EP196" s="964" t="str">
        <f>VLOOKUP(WWWW[[#This Row],[Site Name]],SiteDB6[[Site Name]:[Pcode]],3,FALSE)</f>
        <v>MMR001CMP041</v>
      </c>
      <c r="EQ196" s="969" t="str">
        <f t="shared" si="6"/>
        <v>Covered</v>
      </c>
      <c r="ER196" s="969" t="s">
        <v>3147</v>
      </c>
      <c r="ES196" s="964">
        <f>VLOOKUP(WWWW[[#This Row],[Site Name]],SiteDB6[[Site Name]:[Pop
(Kachin/Shan-CCCM as of March 2023)]],16,FALSE)</f>
        <v>216</v>
      </c>
      <c r="ET196" s="964">
        <f>VLOOKUP(WWWW[[#This Row],[Site Name]],SiteDB6[[Site Name]:[Pop
(Kachin/Shan-CCCM as of March 2023)]],17,FALSE)</f>
        <v>1190</v>
      </c>
    </row>
    <row r="197" spans="1:150" hidden="1">
      <c r="A197" s="962" t="s">
        <v>2977</v>
      </c>
      <c r="B197" s="1068" t="s">
        <v>3241</v>
      </c>
      <c r="C197" s="963" t="s">
        <v>3245</v>
      </c>
      <c r="D197" s="963" t="s">
        <v>3242</v>
      </c>
      <c r="E197" s="963" t="s">
        <v>37</v>
      </c>
      <c r="F197" s="963" t="s">
        <v>142</v>
      </c>
      <c r="G197" s="964" t="str">
        <f>VLOOKUP(WWWW[[#This Row],[Site Name]],SiteDB6[[Site Name]:[Location Type]],8,FALSE)</f>
        <v>Camp</v>
      </c>
      <c r="H197" s="963" t="s">
        <v>1611</v>
      </c>
      <c r="I197" s="965">
        <v>55</v>
      </c>
      <c r="J197" s="965">
        <v>253</v>
      </c>
      <c r="K197" s="966" t="s">
        <v>3243</v>
      </c>
      <c r="L197" s="967" t="s">
        <v>3244</v>
      </c>
      <c r="M197" s="965"/>
      <c r="N197" s="965">
        <v>1</v>
      </c>
      <c r="O197" s="965">
        <v>1</v>
      </c>
      <c r="P197" s="965"/>
      <c r="Q197" s="968" t="s">
        <v>41</v>
      </c>
      <c r="R197" s="965">
        <f>2+1</f>
        <v>3</v>
      </c>
      <c r="S197" s="965">
        <f>2+4</f>
        <v>6</v>
      </c>
      <c r="T197" s="445">
        <v>2</v>
      </c>
      <c r="U197" s="965"/>
      <c r="V197" s="965"/>
      <c r="W197" s="965"/>
      <c r="X197" s="965">
        <v>1</v>
      </c>
      <c r="Y197" s="965"/>
      <c r="Z197" s="965"/>
      <c r="AA197" s="965"/>
      <c r="AB197" s="965"/>
      <c r="AC197" s="965"/>
      <c r="AD197" s="965"/>
      <c r="AE197" s="965"/>
      <c r="AF197" s="965"/>
      <c r="AG197" s="965"/>
      <c r="AH197" s="965">
        <v>3</v>
      </c>
      <c r="AI197" s="965"/>
      <c r="AJ197" s="965"/>
      <c r="AK197" s="965"/>
      <c r="AL197" s="965"/>
      <c r="AM197" s="965">
        <v>1</v>
      </c>
      <c r="AN197" s="965"/>
      <c r="AO197" s="445"/>
      <c r="AP197" s="969" t="s">
        <v>3221</v>
      </c>
      <c r="AQ197" s="965">
        <v>9</v>
      </c>
      <c r="AR197" s="965"/>
      <c r="AS197" s="970"/>
      <c r="AT197" s="965">
        <v>1</v>
      </c>
      <c r="AU197" s="965">
        <v>1</v>
      </c>
      <c r="AV197" s="965">
        <v>6</v>
      </c>
      <c r="AW197" s="965"/>
      <c r="AX197" s="965">
        <v>6</v>
      </c>
      <c r="AY197" s="964" t="s">
        <v>41</v>
      </c>
      <c r="AZ197" s="969" t="s">
        <v>137</v>
      </c>
      <c r="BA197" s="965"/>
      <c r="BB197" s="965"/>
      <c r="BC197" s="965"/>
      <c r="BD197" s="445"/>
      <c r="BE197" s="445">
        <v>1</v>
      </c>
      <c r="BF197" s="964" t="s">
        <v>3222</v>
      </c>
      <c r="BG197" s="965">
        <v>10</v>
      </c>
      <c r="BH197" s="965">
        <v>2</v>
      </c>
      <c r="BI197" s="965"/>
      <c r="BJ197" s="965">
        <v>2</v>
      </c>
      <c r="BK197" s="965"/>
      <c r="BL197" s="965">
        <v>1</v>
      </c>
      <c r="BM197" s="965">
        <v>2</v>
      </c>
      <c r="BN197" s="965"/>
      <c r="BO197" s="965"/>
      <c r="BP197" s="964"/>
      <c r="BQ197" s="971">
        <v>1</v>
      </c>
      <c r="BR197" s="970">
        <v>0.89</v>
      </c>
      <c r="BS197" s="964"/>
      <c r="BT197" s="420">
        <v>0.99</v>
      </c>
      <c r="BU197" s="420">
        <v>1</v>
      </c>
      <c r="BV197" s="422">
        <v>80</v>
      </c>
      <c r="BW197" s="420">
        <v>0.99</v>
      </c>
      <c r="BX197" s="445"/>
      <c r="BY197" s="445"/>
      <c r="BZ197" s="445"/>
      <c r="CA197" s="445"/>
      <c r="CB197" s="445"/>
      <c r="CC197" s="702"/>
      <c r="CD197" s="445"/>
      <c r="CE197" s="972" t="str">
        <f>IFERROR(WWWW[[#This Row],['#_Water sources passed]]/WWWW[[#This Row],['#_Water sources tested for fecal coliform ]],"no test")</f>
        <v>no test</v>
      </c>
      <c r="CF197" s="970" t="str">
        <f>IFERROR(WWWW[[#This Row],['#_Household passed]]/WWWW[[#This Row],['#_Household water samples tested for fecal coliform]],"no test")</f>
        <v>no test</v>
      </c>
      <c r="CG197" s="971" t="str">
        <f>IF(AND(WWWW[[#This Row],[% of water sources passed]]="no test",WWWW[[#This Row],[% Household passed]]="no test"),"No Test","Tested")</f>
        <v>No Test</v>
      </c>
      <c r="CH197" s="971">
        <f>WWWW[[#This Row],['#_Constructed/existing protected hand dug well]]-WWWW[[#This Row],['#_Non-functional protected hand dug well]]</f>
        <v>2</v>
      </c>
      <c r="CI197" s="971">
        <f>(WWWW[[#This Row],['#_Constructed/Existing tube wells/boreholes/handpumps_WASH_agency]]+WWWW[[#This Row],['#_Non-Cluster partner water tube-wells/boreholes/handpumps]])-WWWW[[#This Row],['#_Non-functional tube wells/boreholes/handpumps]]</f>
        <v>1</v>
      </c>
      <c r="CJ197" s="971">
        <f>WWWW[[#This Row],['#_Constructed/Existingwater storage tank with gravity fed reticulation system]]-WWWW[[#This Row],['#_Non-functional storage tank gravity fed reticulation system]]</f>
        <v>0</v>
      </c>
      <c r="CK197" s="971">
        <f>(WWWW[[#This Row],['#_Water_Liters_supplied_by_Water boating or water trucking]]/90)/15</f>
        <v>0</v>
      </c>
      <c r="CL197" s="971">
        <f>WWWW[[#This Row],['#_Water_Liters_from_Constructed/Existing water distribution system from river or natural spring]]/90/15</f>
        <v>0</v>
      </c>
      <c r="CM197" s="421">
        <f>IF(WWWW[[#This Row],['#_of water points in TLS/CFS]]*500&gt;WWWW[[#This Row],[Total PoP ]],WWWW[[#This Row],[Total PoP ]],WWWW[[#This Row],['#_of water points in TLS/CFS]]*500)</f>
        <v>0</v>
      </c>
      <c r="CN197" s="421">
        <f>IF(WWWW[[#This Row],['#_of water points in THF]]*500&gt;WWWW[[#This Row],[Total PoP ]],WWWW[[#This Row],[Total PoP ]],WWWW[[#This Row],['#_of water points in THF]]*500)</f>
        <v>0</v>
      </c>
      <c r="CO197" s="421"/>
      <c r="CP19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7" s="970">
        <f>IF(WWWW[[#This Row],[Location Type 1]]="Village",WWWW[[#This Row],[Access to safe drinking water for Village]],WWWW[[#This Row],[Access to safe drinking water for Camp]])</f>
        <v>1</v>
      </c>
      <c r="CS197" s="968">
        <f>WWWW[[#This Row],[%Equitable and continuous access to sufficient quantity of safe drinking water]]*WWWW[[#This Row],[Total PoP ]]</f>
        <v>253</v>
      </c>
      <c r="CT197" s="970">
        <f>IF((WWWW[[#This Row],['#_Constructed/Existing protected/fenced ponds]]*250)/WWWW[[#This Row],[Total PoP ]]&gt;1,1,(WWWW[[#This Row],['#_Constructed/Existing protected/fenced ponds]]*250)/WWWW[[#This Row],[Total PoP ]])</f>
        <v>0</v>
      </c>
      <c r="CU197" s="968">
        <f>WWWW[[#This Row],[% Access to unimproved water points]]*WWWW[[#This Row],[Total PoP ]]</f>
        <v>0</v>
      </c>
      <c r="CV19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X197" s="968">
        <f>WWWW[[#This Row],[HRP1]]/500</f>
        <v>0.50600000000000001</v>
      </c>
      <c r="CY197" s="973">
        <f>1-WWWW[[#This Row],[% Equitable and continuous access to sufficient quantity of domestic water]]</f>
        <v>0</v>
      </c>
      <c r="CZ197" s="968">
        <f>WWWW[[#This Row],[%equitable and continuous access to sufficient quantity of safe drinking and domestic water''s GAP]]*WWWW[[#This Row],[Total PoP ]]</f>
        <v>0</v>
      </c>
      <c r="DA197" s="971">
        <f>IF(WWWW[[#This Row],[Total required water points]]-WWWW[[#This Row],['#Water points coverage]]&lt;0,0,WWWW[[#This Row],[Total required water points]]-WWWW[[#This Row],['#Water points coverage]])</f>
        <v>0.49399999999999999</v>
      </c>
      <c r="DB197" s="971">
        <f>ROUND(IF(WWWW[[#This Row],[Total PoP ]]&lt;500,1,WWWW[[#This Row],[Total PoP ]]/500),0)</f>
        <v>1</v>
      </c>
      <c r="DC197" s="971">
        <f>(WWWW[[#This Row],['#_Constructed latrines_by_WASHAgencies]]+WWWW[[#This Row],['#_Non Cluster partner latrines]])-WWWW[[#This Row],['#_Non-functional latrines]]</f>
        <v>8</v>
      </c>
      <c r="DD197" s="619">
        <f>WWWW[[#This Row],[HRP2]]/WWWW[[#This Row],[Total PoP ]]</f>
        <v>0.63636363636363635</v>
      </c>
      <c r="DE19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161</v>
      </c>
      <c r="DF19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19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7" s="421">
        <f>IF(WWWW[[#This Row],['# of functional latrines in THF supported by WASH partners during the reporting period2]]="",0,WWWW[[#This Row],['# of functional latrines in THF supported by WASH partners during the reporting period2]]*50)</f>
        <v>0</v>
      </c>
      <c r="DI197" s="971">
        <f>ROUND(IF(WWWW[[#This Row],[Location Type 1]]="camp",WWWW[[#This Row],[Total PoP ]]/20,IF(WWWW[[#This Row],[Location Type 1]]="Temporary Location",WWWW[[#This Row],[Total PoP ]]/50,(WWWW[[#This Row],[Total PoP ]]/6))),0)</f>
        <v>13</v>
      </c>
      <c r="DJ197" s="971">
        <f>IF(WWWW[[#This Row],[Total required Latrines]]-(WWWW[[#This Row],['#_Constructed latrines_by_WASHAgencies]]+WWWW[[#This Row],['#_Non Cluster partner latrines]])&lt;0,0,WWWW[[#This Row],[Total required Latrines]]-(WWWW[[#This Row],['#_Constructed latrines_by_WASHAgencies]]+WWWW[[#This Row],['#_Non Cluster partner latrines]]))</f>
        <v>4</v>
      </c>
      <c r="DK197" s="973">
        <f>1-WWWW[[#This Row],[% people access to functioning Latrine]]</f>
        <v>0.36363636363636365</v>
      </c>
      <c r="DL197" s="972">
        <f>IF(OR(WWWW[[#This Row],['#_Non-functional latrines]]="",WWWW[[#This Row],['#_Non-functional latrines]]=0),0,WWWW[[#This Row],['#_Non-functional latrines]]/(WWWW[[#This Row],['#_Constructed latrines_by_WASHAgencies]]+WWWW[[#This Row],['#_Non Cluster partner latrines]]))</f>
        <v>0.1111111111111111</v>
      </c>
      <c r="DM197" s="968">
        <f>IF(500*(WWWW[[#This Row],['#_male hygiene promoters]]+WWWW[[#This Row],['#_female hygiene promoters]])&gt;WWWW[[#This Row],[Total PoP ]],WWWW[[#This Row],[Total PoP ]],500*(WWWW[[#This Row],['#_male hygiene promoters]]+WWWW[[#This Row],['#_female hygiene promoters]]))</f>
        <v>253</v>
      </c>
      <c r="DN19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7" s="971">
        <f>IF(WWWW[[#This Row],['# People with access to soap]]&gt;WWWW[[#This Row],['# People with access to Sanity Pads]],WWWW[[#This Row],['# People with access to soap]],WWWW[[#This Row],['# People with access to Sanity Pads]])</f>
        <v>0</v>
      </c>
      <c r="DQ197" s="971">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R197" s="973">
        <f>IF(WWWW[[#This Row],[HRP3]]/WWWW[[#This Row],[Total PoP ]]&gt;1,1,WWWW[[#This Row],[HRP3]]/WWWW[[#This Row],[Total PoP ]])</f>
        <v>1</v>
      </c>
      <c r="DS197" s="972">
        <f>1-WWWW[[#This Row],[Hygiene Coverage%]]</f>
        <v>0</v>
      </c>
      <c r="DT197" s="970">
        <f>WWWW[[#This Row],['# people reached by regular dedicated hygiene promotion_5]]/WWWW[[#This Row],[Total PoP ]]</f>
        <v>1</v>
      </c>
      <c r="DU19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7" s="971">
        <f>WWWW[[#This Row],['#_Constructed/Existing hand washing stations]]-WWWW[[#This Row],['#_Non-Functional_hand_washing_stations]]</f>
        <v>8</v>
      </c>
      <c r="DX197" s="968">
        <f>IF(WWWW[[#This Row],['# Functional hand washing stations during reporting period]]*20&gt;WWWW[[#This Row],[Total HH]],WWWW[[#This Row],[Total HH]],WWWW[[#This Row],['# Functional hand washing stations during reporting period]]*20)</f>
        <v>55</v>
      </c>
      <c r="DY197" s="968">
        <f>IF(WWWW[[#This Row],[Is sufficient soap available for TLS? (Yes/No)]]="yes",WWWW[[#This Row],['#_Constructed/Existing hand washing stations at TLS/CFS/THF]],0)</f>
        <v>0</v>
      </c>
      <c r="DZ197" s="425">
        <f>IF(WWWW[[#This Row],['# Functional hand washing stations during reporting period]]*100&gt;WWWW[[#This Row],[Total PoP ]],WWWW[[#This Row],[Total PoP ]],WWWW[[#This Row],['# Functional hand washing stations during reporting period]]*100)</f>
        <v>253</v>
      </c>
      <c r="EA197" s="425" t="str">
        <f>IF(OR(WWWW[[#This Row],['#_students at TLS_CFS]]="",WWWW[[#This Row],['#_students at TLS_CFS]]=0),"No","Yes")</f>
        <v>No</v>
      </c>
      <c r="EB197" s="619">
        <f>IF(WWWW[[#This Row],['#_of_affected_people_surveyed_who_report_feeling_informed_about_the_different_WASH_services_available_to_them]]="","",WWWW[[#This Row],['#_of_affected_people_surveyed_who_report_feeling_informed_about_the_different_WASH_services_available_to_them]]/WWWW[[#This Row],[Total PoP ]])</f>
        <v>0.31620553359683795</v>
      </c>
      <c r="EC197" s="570">
        <f>WWWW[[#This Row],[%_of_affected_people_surveyed_who_report_feeling_satistfied_with_the_latrine_design_and_sanitation_service]]*WWWW[[#This Row],[Total PoP ]]</f>
        <v>250.47</v>
      </c>
      <c r="ED197" s="570">
        <f>WWWW[[#This Row],[%_of_affected_people_surveyed_who_report_feeling_satistfied_with_the_water_point_design_and_water_service]]*WWWW[[#This Row],[Total PoP ]]</f>
        <v>253</v>
      </c>
      <c r="EE197" s="570">
        <f>WWWW[[#This Row],[%_of_complaints_received_that_result_in_timely_corrective_action_and_feedback_to_the_community]]*WWWW[[#This Row],[Total PoP ]]</f>
        <v>250.47</v>
      </c>
      <c r="EF19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253</v>
      </c>
      <c r="EG19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7" s="964" t="str">
        <f>VLOOKUP(WWWW[[#This Row],[Site Name]],SiteDB6[[Site Name]:[CCCM Management]],6,FALSE)</f>
        <v>Yes</v>
      </c>
      <c r="EJ197" s="964" t="str">
        <f>VLOOKUP(WWWW[[#This Row],[Site Name]],SiteDB6[[Site Name]:[CCCM Focal Agency]],7,FALSE)</f>
        <v>KBC-MYT</v>
      </c>
      <c r="EK197" s="964" t="str">
        <f>VLOOKUP(WWWW[[#This Row],[Site Name]],SiteDB6[[Site Name]:[Location Type 1]],9,FALSE)</f>
        <v>Camp</v>
      </c>
      <c r="EL197" s="964" t="str">
        <f>VLOOKUP(WWWW[[#This Row],[Site Name]],SiteDB6[[Site Name]:[Type of Accommodation]],10,FALSE)</f>
        <v>Camp</v>
      </c>
      <c r="EM197" s="964" t="str">
        <f>VLOOKUP(WWWW[[#This Row],[Site Name]],SiteDB6[[Site Name]:[Ethnic or GCA/NGCA]],11,FALSE)</f>
        <v>GCA</v>
      </c>
      <c r="EN197" s="964">
        <f>VLOOKUP(WWWW[[#This Row],[Site Name]],SiteDB6[[Site Name]:[Lat]],12,FALSE)</f>
        <v>25.350989999999999</v>
      </c>
      <c r="EO197" s="964">
        <f>VLOOKUP(WWWW[[#This Row],[Site Name]],SiteDB6[[Site Name]:[Long]],13,FALSE)</f>
        <v>97.442809999999994</v>
      </c>
      <c r="EP197" s="964" t="str">
        <f>VLOOKUP(WWWW[[#This Row],[Site Name]],SiteDB6[[Site Name]:[Pcode]],3,FALSE)</f>
        <v>MMR001CMP269</v>
      </c>
      <c r="EQ197" s="969" t="str">
        <f t="shared" si="6"/>
        <v>Covered</v>
      </c>
      <c r="ER197" s="969" t="s">
        <v>3147</v>
      </c>
      <c r="ES197" s="964">
        <f>VLOOKUP(WWWW[[#This Row],[Site Name]],SiteDB6[[Site Name]:[Pop
(Kachin/Shan-CCCM as of March 2023)]],16,FALSE)</f>
        <v>81</v>
      </c>
      <c r="ET197" s="964">
        <f>VLOOKUP(WWWW[[#This Row],[Site Name]],SiteDB6[[Site Name]:[Pop
(Kachin/Shan-CCCM as of March 2023)]],17,FALSE)</f>
        <v>387</v>
      </c>
    </row>
    <row r="198" spans="1:150" hidden="1">
      <c r="A198" s="962" t="s">
        <v>2977</v>
      </c>
      <c r="B198" s="962" t="s">
        <v>141</v>
      </c>
      <c r="C198" s="963" t="s">
        <v>141</v>
      </c>
      <c r="D198" s="963" t="s">
        <v>299</v>
      </c>
      <c r="E198" s="963" t="s">
        <v>37</v>
      </c>
      <c r="F198" s="963" t="s">
        <v>205</v>
      </c>
      <c r="G198" s="964" t="str">
        <f>VLOOKUP(WWWW[[#This Row],[Site Name]],SiteDB6[[Site Name]:[Location Type]],8,FALSE)</f>
        <v>Camp</v>
      </c>
      <c r="H198" s="963" t="s">
        <v>290</v>
      </c>
      <c r="I198" s="965">
        <v>1592</v>
      </c>
      <c r="J198" s="965">
        <v>8225</v>
      </c>
      <c r="K198" s="966">
        <v>44835</v>
      </c>
      <c r="L198" s="967">
        <v>45107</v>
      </c>
      <c r="M198" s="965"/>
      <c r="N198" s="965">
        <v>1</v>
      </c>
      <c r="O198" s="965"/>
      <c r="P198" s="965"/>
      <c r="Q198" s="968" t="s">
        <v>41</v>
      </c>
      <c r="R198" s="965">
        <v>8</v>
      </c>
      <c r="S198" s="965">
        <v>14</v>
      </c>
      <c r="T198" s="445">
        <v>2</v>
      </c>
      <c r="U198" s="965"/>
      <c r="V198" s="965"/>
      <c r="W198" s="965">
        <v>2</v>
      </c>
      <c r="X198" s="965"/>
      <c r="Y198" s="965"/>
      <c r="Z198" s="965"/>
      <c r="AA198" s="965">
        <v>5</v>
      </c>
      <c r="AB198" s="965">
        <v>2</v>
      </c>
      <c r="AC198" s="965"/>
      <c r="AD198" s="965"/>
      <c r="AE198" s="965">
        <v>3</v>
      </c>
      <c r="AF198" s="965"/>
      <c r="AG198" s="965"/>
      <c r="AH198" s="965"/>
      <c r="AI198" s="965"/>
      <c r="AJ198" s="965"/>
      <c r="AK198" s="965"/>
      <c r="AL198" s="965"/>
      <c r="AM198" s="965"/>
      <c r="AN198" s="965"/>
      <c r="AO198" s="445"/>
      <c r="AP198" s="969" t="s">
        <v>2882</v>
      </c>
      <c r="AQ198" s="965">
        <v>614</v>
      </c>
      <c r="AR198" s="965"/>
      <c r="AS198" s="970"/>
      <c r="AT198" s="965">
        <v>5</v>
      </c>
      <c r="AU198" s="965">
        <v>5</v>
      </c>
      <c r="AV198" s="965">
        <v>153</v>
      </c>
      <c r="AW198" s="965">
        <v>171.70627999999999</v>
      </c>
      <c r="AX198" s="965"/>
      <c r="AY198" s="964" t="s">
        <v>41</v>
      </c>
      <c r="AZ198" s="969" t="s">
        <v>137</v>
      </c>
      <c r="BA198" s="965"/>
      <c r="BB198" s="965"/>
      <c r="BC198" s="965"/>
      <c r="BD198" s="445"/>
      <c r="BE198" s="445"/>
      <c r="BF198" s="964" t="s">
        <v>140</v>
      </c>
      <c r="BG198" s="965">
        <v>130</v>
      </c>
      <c r="BH198" s="965">
        <v>60</v>
      </c>
      <c r="BI198" s="965"/>
      <c r="BJ198" s="965">
        <v>20</v>
      </c>
      <c r="BK198" s="965">
        <v>2</v>
      </c>
      <c r="BL198" s="965"/>
      <c r="BM198" s="965">
        <v>14</v>
      </c>
      <c r="BN198" s="965"/>
      <c r="BO198" s="965"/>
      <c r="BP198" s="964" t="s">
        <v>136</v>
      </c>
      <c r="BQ198" s="971"/>
      <c r="BR198" s="970">
        <v>0.6</v>
      </c>
      <c r="BS198" s="964" t="s">
        <v>140</v>
      </c>
      <c r="BT198" s="420">
        <v>0.7</v>
      </c>
      <c r="BU198" s="420">
        <v>0.8</v>
      </c>
      <c r="BV198" s="422">
        <v>50</v>
      </c>
      <c r="BW198" s="420">
        <v>0.8</v>
      </c>
      <c r="BX198" s="445"/>
      <c r="BY198" s="445"/>
      <c r="BZ198" s="445"/>
      <c r="CA198" s="445"/>
      <c r="CB198" s="445"/>
      <c r="CC198" s="702"/>
      <c r="CD198" s="445"/>
      <c r="CE198" s="972" t="str">
        <f>IFERROR(WWWW[[#This Row],['#_Water sources passed]]/WWWW[[#This Row],['#_Water sources tested for fecal coliform ]],"no test")</f>
        <v>no test</v>
      </c>
      <c r="CF198" s="970" t="str">
        <f>IFERROR(WWWW[[#This Row],['#_Household passed]]/WWWW[[#This Row],['#_Household water samples tested for fecal coliform]],"no test")</f>
        <v>no test</v>
      </c>
      <c r="CG198" s="971" t="str">
        <f>IF(AND(WWWW[[#This Row],[% of water sources passed]]="no test",WWWW[[#This Row],[% Household passed]]="no test"),"No Test","Tested")</f>
        <v>No Test</v>
      </c>
      <c r="CH198" s="971">
        <f>WWWW[[#This Row],['#_Constructed/existing protected hand dug well]]-WWWW[[#This Row],['#_Non-functional protected hand dug well]]</f>
        <v>2</v>
      </c>
      <c r="CI198" s="971">
        <f>(WWWW[[#This Row],['#_Constructed/Existing tube wells/boreholes/handpumps_WASH_agency]]+WWWW[[#This Row],['#_Non-Cluster partner water tube-wells/boreholes/handpumps]])-WWWW[[#This Row],['#_Non-functional tube wells/boreholes/handpumps]]</f>
        <v>2</v>
      </c>
      <c r="CJ198" s="971">
        <f>WWWW[[#This Row],['#_Constructed/Existingwater storage tank with gravity fed reticulation system]]-WWWW[[#This Row],['#_Non-functional storage tank gravity fed reticulation system]]</f>
        <v>3</v>
      </c>
      <c r="CK198" s="971">
        <f>(WWWW[[#This Row],['#_Water_Liters_supplied_by_Water boating or water trucking]]/90)/15</f>
        <v>0</v>
      </c>
      <c r="CL198" s="971">
        <f>WWWW[[#This Row],['#_Water_Liters_from_Constructed/Existing water distribution system from river or natural spring]]/90/15</f>
        <v>0</v>
      </c>
      <c r="CM198" s="421">
        <f>IF(WWWW[[#This Row],['#_of water points in TLS/CFS]]*500&gt;WWWW[[#This Row],[Total PoP ]],WWWW[[#This Row],[Total PoP ]],WWWW[[#This Row],['#_of water points in TLS/CFS]]*500)</f>
        <v>0</v>
      </c>
      <c r="CN198" s="421">
        <f>IF(WWWW[[#This Row],['#_of water points in THF]]*500&gt;WWWW[[#This Row],[Total PoP ]],WWWW[[#This Row],[Total PoP ]],WWWW[[#This Row],['#_of water points in THF]]*500)</f>
        <v>0</v>
      </c>
      <c r="CO198" s="421"/>
      <c r="CP19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0.24316109422492402</v>
      </c>
      <c r="CQ19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0.1458966565349544</v>
      </c>
      <c r="CR198" s="970">
        <f>IF(WWWW[[#This Row],[Location Type 1]]="Village",WWWW[[#This Row],[Access to safe drinking water for Village]],WWWW[[#This Row],[Access to safe drinking water for Camp]])</f>
        <v>0.24316109422492402</v>
      </c>
      <c r="CS198" s="968">
        <f>WWWW[[#This Row],[%Equitable and continuous access to sufficient quantity of safe drinking water]]*WWWW[[#This Row],[Total PoP ]]</f>
        <v>2000</v>
      </c>
      <c r="CT198" s="970">
        <f>IF((WWWW[[#This Row],['#_Constructed/Existing protected/fenced ponds]]*250)/WWWW[[#This Row],[Total PoP ]]&gt;1,1,(WWWW[[#This Row],['#_Constructed/Existing protected/fenced ponds]]*250)/WWWW[[#This Row],[Total PoP ]])</f>
        <v>9.1185410334346503E-2</v>
      </c>
      <c r="CU198" s="968">
        <f>WWWW[[#This Row],[% Access to unimproved water points]]*WWWW[[#This Row],[Total PoP ]]</f>
        <v>750</v>
      </c>
      <c r="CV19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0.33434650455927051</v>
      </c>
      <c r="CW19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2750</v>
      </c>
      <c r="CX198" s="968">
        <f>WWWW[[#This Row],[HRP1]]/500</f>
        <v>5.5</v>
      </c>
      <c r="CY198" s="973">
        <f>1-WWWW[[#This Row],[% Equitable and continuous access to sufficient quantity of domestic water]]</f>
        <v>0.66565349544072949</v>
      </c>
      <c r="CZ198" s="968">
        <f>WWWW[[#This Row],[%equitable and continuous access to sufficient quantity of safe drinking and domestic water''s GAP]]*WWWW[[#This Row],[Total PoP ]]</f>
        <v>5475</v>
      </c>
      <c r="DA198" s="971">
        <f>IF(WWWW[[#This Row],[Total required water points]]-WWWW[[#This Row],['#Water points coverage]]&lt;0,0,WWWW[[#This Row],[Total required water points]]-WWWW[[#This Row],['#Water points coverage]])</f>
        <v>10.5</v>
      </c>
      <c r="DB198" s="971">
        <f>ROUND(IF(WWWW[[#This Row],[Total PoP ]]&lt;500,1,WWWW[[#This Row],[Total PoP ]]/500),0)</f>
        <v>16</v>
      </c>
      <c r="DC198" s="971">
        <f>(WWWW[[#This Row],['#_Constructed latrines_by_WASHAgencies]]+WWWW[[#This Row],['#_Non Cluster partner latrines]])-WWWW[[#This Row],['#_Non-functional latrines]]</f>
        <v>609</v>
      </c>
      <c r="DD198" s="619">
        <f>WWWW[[#This Row],[HRP2]]/WWWW[[#This Row],[Total PoP ]]</f>
        <v>1</v>
      </c>
      <c r="DE19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8225</v>
      </c>
      <c r="DF19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3060</v>
      </c>
      <c r="DG19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8" s="421">
        <f>IF(WWWW[[#This Row],['# of functional latrines in THF supported by WASH partners during the reporting period2]]="",0,WWWW[[#This Row],['# of functional latrines in THF supported by WASH partners during the reporting period2]]*50)</f>
        <v>0</v>
      </c>
      <c r="DI198" s="971">
        <f>ROUND(IF(WWWW[[#This Row],[Location Type 1]]="camp",WWWW[[#This Row],[Total PoP ]]/20,IF(WWWW[[#This Row],[Location Type 1]]="Temporary Location",WWWW[[#This Row],[Total PoP ]]/50,(WWWW[[#This Row],[Total PoP ]]/6))),0)</f>
        <v>411</v>
      </c>
      <c r="DJ198" s="971">
        <f>IF(WWWW[[#This Row],[Total required Latrines]]-(WWWW[[#This Row],['#_Constructed latrines_by_WASHAgencies]]+WWWW[[#This Row],['#_Non Cluster partner latrines]])&lt;0,0,WWWW[[#This Row],[Total required Latrines]]-(WWWW[[#This Row],['#_Constructed latrines_by_WASHAgencies]]+WWWW[[#This Row],['#_Non Cluster partner latrines]]))</f>
        <v>0</v>
      </c>
      <c r="DK198" s="973">
        <f>1-WWWW[[#This Row],[% people access to functioning Latrine]]</f>
        <v>0</v>
      </c>
      <c r="DL198" s="972">
        <f>IF(OR(WWWW[[#This Row],['#_Non-functional latrines]]="",WWWW[[#This Row],['#_Non-functional latrines]]=0),0,WWWW[[#This Row],['#_Non-functional latrines]]/(WWWW[[#This Row],['#_Constructed latrines_by_WASHAgencies]]+WWWW[[#This Row],['#_Non Cluster partner latrines]]))</f>
        <v>8.1433224755700327E-3</v>
      </c>
      <c r="DM198" s="968">
        <f>IF(500*(WWWW[[#This Row],['#_male hygiene promoters]]+WWWW[[#This Row],['#_female hygiene promoters]])&gt;WWWW[[#This Row],[Total PoP ]],WWWW[[#This Row],[Total PoP ]],500*(WWWW[[#This Row],['#_male hygiene promoters]]+WWWW[[#This Row],['#_female hygiene promoters]]))</f>
        <v>7000</v>
      </c>
      <c r="DN19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8" s="971">
        <f>IF(WWWW[[#This Row],['# People with access to soap]]&gt;WWWW[[#This Row],['# People with access to Sanity Pads]],WWWW[[#This Row],['# People with access to soap]],WWWW[[#This Row],['# People with access to Sanity Pads]])</f>
        <v>0</v>
      </c>
      <c r="DQ198" s="971">
        <f>IF(WWWW[[#This Row],['# people reached by regular dedicated hygiene promotion_5]]&gt;WWWW[[#This Row],['# People received regular supply of hygiene items_6]],WWWW[[#This Row],['# people reached by regular dedicated hygiene promotion_5]],WWWW[[#This Row],['# People received regular supply of hygiene items_6]])</f>
        <v>7000</v>
      </c>
      <c r="DR198" s="973">
        <f>IF(WWWW[[#This Row],[HRP3]]/WWWW[[#This Row],[Total PoP ]]&gt;1,1,WWWW[[#This Row],[HRP3]]/WWWW[[#This Row],[Total PoP ]])</f>
        <v>0.85106382978723405</v>
      </c>
      <c r="DS198" s="972">
        <f>1-WWWW[[#This Row],[Hygiene Coverage%]]</f>
        <v>0.14893617021276595</v>
      </c>
      <c r="DT198" s="970">
        <f>WWWW[[#This Row],['# people reached by regular dedicated hygiene promotion_5]]/WWWW[[#This Row],[Total PoP ]]</f>
        <v>0.85106382978723405</v>
      </c>
      <c r="DU19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8" s="971">
        <f>WWWW[[#This Row],['#_Constructed/Existing hand washing stations]]-WWWW[[#This Row],['#_Non-Functional_hand_washing_stations]]</f>
        <v>70</v>
      </c>
      <c r="DX198" s="968">
        <f>IF(WWWW[[#This Row],['# Functional hand washing stations during reporting period]]*20&gt;WWWW[[#This Row],[Total HH]],WWWW[[#This Row],[Total HH]],WWWW[[#This Row],['# Functional hand washing stations during reporting period]]*20)</f>
        <v>1400</v>
      </c>
      <c r="DY198" s="968">
        <f>IF(WWWW[[#This Row],[Is sufficient soap available for TLS? (Yes/No)]]="yes",WWWW[[#This Row],['#_Constructed/Existing hand washing stations at TLS/CFS/THF]],0)</f>
        <v>0</v>
      </c>
      <c r="DZ198" s="425">
        <f>IF(WWWW[[#This Row],['# Functional hand washing stations during reporting period]]*100&gt;WWWW[[#This Row],[Total PoP ]],WWWW[[#This Row],[Total PoP ]],WWWW[[#This Row],['# Functional hand washing stations during reporting period]]*100)</f>
        <v>7000</v>
      </c>
      <c r="EA198" s="425" t="str">
        <f>IF(OR(WWWW[[#This Row],['#_students at TLS_CFS]]="",WWWW[[#This Row],['#_students at TLS_CFS]]=0),"No","Yes")</f>
        <v>No</v>
      </c>
      <c r="EB198" s="619">
        <f>IF(WWWW[[#This Row],['#_of_affected_people_surveyed_who_report_feeling_informed_about_the_different_WASH_services_available_to_them]]="","",WWWW[[#This Row],['#_of_affected_people_surveyed_who_report_feeling_informed_about_the_different_WASH_services_available_to_them]]/WWWW[[#This Row],[Total PoP ]])</f>
        <v>6.0790273556231003E-3</v>
      </c>
      <c r="EC198" s="570">
        <f>WWWW[[#This Row],[%_of_affected_people_surveyed_who_report_feeling_satistfied_with_the_latrine_design_and_sanitation_service]]*WWWW[[#This Row],[Total PoP ]]</f>
        <v>5757.5</v>
      </c>
      <c r="ED198" s="570">
        <f>WWWW[[#This Row],[%_of_affected_people_surveyed_who_report_feeling_satistfied_with_the_water_point_design_and_water_service]]*WWWW[[#This Row],[Total PoP ]]</f>
        <v>6580</v>
      </c>
      <c r="EE198" s="570">
        <f>WWWW[[#This Row],[%_of_complaints_received_that_result_in_timely_corrective_action_and_feedback_to_the_community]]*WWWW[[#This Row],[Total PoP ]]</f>
        <v>6580</v>
      </c>
      <c r="EF19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6580</v>
      </c>
      <c r="EG19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8" s="964" t="str">
        <f>VLOOKUP(WWWW[[#This Row],[Site Name]],SiteDB6[[Site Name]:[CCCM Management]],6,FALSE)</f>
        <v>Yes</v>
      </c>
      <c r="EJ198" s="964" t="str">
        <f>VLOOKUP(WWWW[[#This Row],[Site Name]],SiteDB6[[Site Name]:[CCCM Focal Agency]],7,FALSE)</f>
        <v>KMSS-MYT</v>
      </c>
      <c r="EK198" s="964" t="str">
        <f>VLOOKUP(WWWW[[#This Row],[Site Name]],SiteDB6[[Site Name]:[Location Type 1]],9,FALSE)</f>
        <v>Camp</v>
      </c>
      <c r="EL198" s="964" t="str">
        <f>VLOOKUP(WWWW[[#This Row],[Site Name]],SiteDB6[[Site Name]:[Type of Accommodation]],10,FALSE)</f>
        <v>Camp</v>
      </c>
      <c r="EM198" s="964" t="str">
        <f>VLOOKUP(WWWW[[#This Row],[Site Name]],SiteDB6[[Site Name]:[Ethnic or GCA/NGCA]],11,FALSE)</f>
        <v>NGCA</v>
      </c>
      <c r="EN198" s="964">
        <f>VLOOKUP(WWWW[[#This Row],[Site Name]],SiteDB6[[Site Name]:[Lat]],12,FALSE)</f>
        <v>24.688338999999999</v>
      </c>
      <c r="EO198" s="964">
        <f>VLOOKUP(WWWW[[#This Row],[Site Name]],SiteDB6[[Site Name]:[Long]],13,FALSE)</f>
        <v>97.568331999999998</v>
      </c>
      <c r="EP198" s="964" t="str">
        <f>VLOOKUP(WWWW[[#This Row],[Site Name]],SiteDB6[[Site Name]:[Pcode]],3,FALSE)</f>
        <v>MMR001CMP121</v>
      </c>
      <c r="EQ198" s="969" t="str">
        <f t="shared" si="6"/>
        <v>Covered</v>
      </c>
      <c r="ER198" s="969" t="s">
        <v>3147</v>
      </c>
      <c r="ES198" s="964"/>
      <c r="ET198" s="964"/>
    </row>
    <row r="199" spans="1:150" hidden="1">
      <c r="A199" s="962" t="s">
        <v>2977</v>
      </c>
      <c r="B199" s="962" t="s">
        <v>3156</v>
      </c>
      <c r="C199" s="962" t="s">
        <v>3156</v>
      </c>
      <c r="D199" s="963" t="s">
        <v>3160</v>
      </c>
      <c r="E199" s="963" t="s">
        <v>37</v>
      </c>
      <c r="F199" s="963" t="s">
        <v>205</v>
      </c>
      <c r="G199" s="964" t="s">
        <v>3081</v>
      </c>
      <c r="H199" s="963" t="s">
        <v>1534</v>
      </c>
      <c r="I199" s="965">
        <v>416</v>
      </c>
      <c r="J199" s="965">
        <v>1936</v>
      </c>
      <c r="K199" s="966" t="s">
        <v>3161</v>
      </c>
      <c r="L199" s="967" t="s">
        <v>3162</v>
      </c>
      <c r="M199" s="965">
        <v>153</v>
      </c>
      <c r="N199" s="965"/>
      <c r="O199" s="965"/>
      <c r="P199" s="965"/>
      <c r="Q199" s="968" t="s">
        <v>41</v>
      </c>
      <c r="R199" s="965">
        <v>2</v>
      </c>
      <c r="S199" s="965">
        <v>6</v>
      </c>
      <c r="T199" s="445">
        <v>3</v>
      </c>
      <c r="U199" s="965">
        <v>1</v>
      </c>
      <c r="V199" s="965"/>
      <c r="W199" s="965"/>
      <c r="X199" s="965"/>
      <c r="Y199" s="965"/>
      <c r="Z199" s="965"/>
      <c r="AA199" s="965"/>
      <c r="AB199" s="965"/>
      <c r="AC199" s="965"/>
      <c r="AD199" s="965"/>
      <c r="AE199" s="965"/>
      <c r="AF199" s="965"/>
      <c r="AG199" s="965"/>
      <c r="AH199" s="965"/>
      <c r="AI199" s="965"/>
      <c r="AJ199" s="965"/>
      <c r="AK199" s="965"/>
      <c r="AL199" s="965"/>
      <c r="AM199" s="965">
        <v>5</v>
      </c>
      <c r="AN199" s="965"/>
      <c r="AO199" s="445"/>
      <c r="AP199" s="969" t="s">
        <v>140</v>
      </c>
      <c r="AQ199" s="965">
        <v>73</v>
      </c>
      <c r="AR199" s="965"/>
      <c r="AS199" s="970"/>
      <c r="AT199" s="965">
        <v>1</v>
      </c>
      <c r="AU199" s="965">
        <v>1</v>
      </c>
      <c r="AV199" s="965">
        <v>18</v>
      </c>
      <c r="AW199" s="965">
        <v>28.920549999999999</v>
      </c>
      <c r="AX199" s="965"/>
      <c r="AY199" s="964" t="s">
        <v>41</v>
      </c>
      <c r="AZ199" s="969" t="s">
        <v>137</v>
      </c>
      <c r="BA199" s="965"/>
      <c r="BB199" s="965"/>
      <c r="BC199" s="965"/>
      <c r="BD199" s="445"/>
      <c r="BE199" s="445"/>
      <c r="BF199" s="964" t="s">
        <v>140</v>
      </c>
      <c r="BG199" s="965">
        <v>20</v>
      </c>
      <c r="BH199" s="965">
        <v>5</v>
      </c>
      <c r="BI199" s="965"/>
      <c r="BJ199" s="965">
        <v>2</v>
      </c>
      <c r="BK199" s="965"/>
      <c r="BL199" s="965">
        <v>3</v>
      </c>
      <c r="BM199" s="965">
        <v>12</v>
      </c>
      <c r="BN199" s="965"/>
      <c r="BO199" s="965"/>
      <c r="BP199" s="964" t="s">
        <v>41</v>
      </c>
      <c r="BQ199" s="971">
        <v>1</v>
      </c>
      <c r="BR199" s="970">
        <v>0.3</v>
      </c>
      <c r="BS199" s="964" t="s">
        <v>140</v>
      </c>
      <c r="BT199" s="420">
        <v>0.8</v>
      </c>
      <c r="BU199" s="420">
        <v>0.8</v>
      </c>
      <c r="BV199" s="422">
        <v>20</v>
      </c>
      <c r="BW199" s="420">
        <v>0.8</v>
      </c>
      <c r="BX199" s="445"/>
      <c r="BY199" s="445"/>
      <c r="BZ199" s="445"/>
      <c r="CA199" s="445"/>
      <c r="CB199" s="445"/>
      <c r="CC199" s="702"/>
      <c r="CD199" s="445"/>
      <c r="CE199" s="972" t="str">
        <f>IFERROR(WWWW[[#This Row],['#_Water sources passed]]/WWWW[[#This Row],['#_Water sources tested for fecal coliform ]],"no test")</f>
        <v>no test</v>
      </c>
      <c r="CF199" s="970" t="str">
        <f>IFERROR(WWWW[[#This Row],['#_Household passed]]/WWWW[[#This Row],['#_Household water samples tested for fecal coliform]],"no test")</f>
        <v>no test</v>
      </c>
      <c r="CG199" s="971" t="str">
        <f>IF(AND(WWWW[[#This Row],[% of water sources passed]]="no test",WWWW[[#This Row],[% Household passed]]="no test"),"No Test","Tested")</f>
        <v>No Test</v>
      </c>
      <c r="CH199" s="971">
        <f>WWWW[[#This Row],['#_Constructed/existing protected hand dug well]]-WWWW[[#This Row],['#_Non-functional protected hand dug well]]</f>
        <v>2</v>
      </c>
      <c r="CI199" s="971">
        <f>(WWWW[[#This Row],['#_Constructed/Existing tube wells/boreholes/handpumps_WASH_agency]]+WWWW[[#This Row],['#_Non-Cluster partner water tube-wells/boreholes/handpumps]])-WWWW[[#This Row],['#_Non-functional tube wells/boreholes/handpumps]]</f>
        <v>0</v>
      </c>
      <c r="CJ199" s="971">
        <f>WWWW[[#This Row],['#_Constructed/Existingwater storage tank with gravity fed reticulation system]]-WWWW[[#This Row],['#_Non-functional storage tank gravity fed reticulation system]]</f>
        <v>0</v>
      </c>
      <c r="CK199" s="971">
        <f>(WWWW[[#This Row],['#_Water_Liters_supplied_by_Water boating or water trucking]]/90)/15</f>
        <v>0</v>
      </c>
      <c r="CL199" s="971">
        <f>WWWW[[#This Row],['#_Water_Liters_from_Constructed/Existing water distribution system from river or natural spring]]/90/15</f>
        <v>0</v>
      </c>
      <c r="CM199" s="421">
        <f>IF(WWWW[[#This Row],['#_of water points in TLS/CFS]]*500&gt;WWWW[[#This Row],[Total PoP ]],WWWW[[#This Row],[Total PoP ]],WWWW[[#This Row],['#_of water points in TLS/CFS]]*500)</f>
        <v>0</v>
      </c>
      <c r="CN199" s="421">
        <f>IF(WWWW[[#This Row],['#_of water points in THF]]*500&gt;WWWW[[#This Row],[Total PoP ]],WWWW[[#This Row],[Total PoP ]],WWWW[[#This Row],['#_of water points in THF]]*500)</f>
        <v>0</v>
      </c>
      <c r="CO199" s="421"/>
      <c r="CP19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0.41322314049586778</v>
      </c>
      <c r="CQ19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0.25826446280991733</v>
      </c>
      <c r="CR199" s="970">
        <f>IF(WWWW[[#This Row],[Location Type 1]]="Village",WWWW[[#This Row],[Access to safe drinking water for Village]],WWWW[[#This Row],[Access to safe drinking water for Camp]])</f>
        <v>0.41322314049586778</v>
      </c>
      <c r="CS199" s="968">
        <f>WWWW[[#This Row],[%Equitable and continuous access to sufficient quantity of safe drinking water]]*WWWW[[#This Row],[Total PoP ]]</f>
        <v>800</v>
      </c>
      <c r="CT199" s="970">
        <f>IF((WWWW[[#This Row],['#_Constructed/Existing protected/fenced ponds]]*250)/WWWW[[#This Row],[Total PoP ]]&gt;1,1,(WWWW[[#This Row],['#_Constructed/Existing protected/fenced ponds]]*250)/WWWW[[#This Row],[Total PoP ]])</f>
        <v>0</v>
      </c>
      <c r="CU199" s="968">
        <f>WWWW[[#This Row],[% Access to unimproved water points]]*WWWW[[#This Row],[Total PoP ]]</f>
        <v>0</v>
      </c>
      <c r="CV19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0.41322314049586778</v>
      </c>
      <c r="CW19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X199" s="968">
        <f>WWWW[[#This Row],[HRP1]]/500</f>
        <v>1.6</v>
      </c>
      <c r="CY199" s="973">
        <f>1-WWWW[[#This Row],[% Equitable and continuous access to sufficient quantity of domestic water]]</f>
        <v>0.58677685950413228</v>
      </c>
      <c r="CZ199" s="968">
        <f>WWWW[[#This Row],[%equitable and continuous access to sufficient quantity of safe drinking and domestic water''s GAP]]*WWWW[[#This Row],[Total PoP ]]</f>
        <v>1136</v>
      </c>
      <c r="DA199" s="971">
        <f>IF(WWWW[[#This Row],[Total required water points]]-WWWW[[#This Row],['#Water points coverage]]&lt;0,0,WWWW[[#This Row],[Total required water points]]-WWWW[[#This Row],['#Water points coverage]])</f>
        <v>2.4</v>
      </c>
      <c r="DB199" s="971">
        <f>ROUND(IF(WWWW[[#This Row],[Total PoP ]]&lt;500,1,WWWW[[#This Row],[Total PoP ]]/500),0)</f>
        <v>4</v>
      </c>
      <c r="DC199" s="971">
        <f>(WWWW[[#This Row],['#_Constructed latrines_by_WASHAgencies]]+WWWW[[#This Row],['#_Non Cluster partner latrines]])-WWWW[[#This Row],['#_Non-functional latrines]]</f>
        <v>72</v>
      </c>
      <c r="DD199" s="619">
        <f>WWWW[[#This Row],[HRP2]]/WWWW[[#This Row],[Total PoP ]]</f>
        <v>0.74380165289256195</v>
      </c>
      <c r="DE19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1440</v>
      </c>
      <c r="DF19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DG19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9" s="421">
        <f>IF(WWWW[[#This Row],['# of functional latrines in THF supported by WASH partners during the reporting period2]]="",0,WWWW[[#This Row],['# of functional latrines in THF supported by WASH partners during the reporting period2]]*50)</f>
        <v>0</v>
      </c>
      <c r="DI199" s="971">
        <f>ROUND(IF(WWWW[[#This Row],[Location Type 1]]="camp",WWWW[[#This Row],[Total PoP ]]/20,IF(WWWW[[#This Row],[Location Type 1]]="Temporary Location",WWWW[[#This Row],[Total PoP ]]/50,(WWWW[[#This Row],[Total PoP ]]/6))),0)</f>
        <v>97</v>
      </c>
      <c r="DJ199" s="971">
        <f>IF(WWWW[[#This Row],[Total required Latrines]]-(WWWW[[#This Row],['#_Constructed latrines_by_WASHAgencies]]+WWWW[[#This Row],['#_Non Cluster partner latrines]])&lt;0,0,WWWW[[#This Row],[Total required Latrines]]-(WWWW[[#This Row],['#_Constructed latrines_by_WASHAgencies]]+WWWW[[#This Row],['#_Non Cluster partner latrines]]))</f>
        <v>24</v>
      </c>
      <c r="DK199" s="973">
        <f>1-WWWW[[#This Row],[% people access to functioning Latrine]]</f>
        <v>0.25619834710743805</v>
      </c>
      <c r="DL199" s="972">
        <f>IF(OR(WWWW[[#This Row],['#_Non-functional latrines]]="",WWWW[[#This Row],['#_Non-functional latrines]]=0),0,WWWW[[#This Row],['#_Non-functional latrines]]/(WWWW[[#This Row],['#_Constructed latrines_by_WASHAgencies]]+WWWW[[#This Row],['#_Non Cluster partner latrines]]))</f>
        <v>1.3698630136986301E-2</v>
      </c>
      <c r="DM199" s="968">
        <f>IF(500*(WWWW[[#This Row],['#_male hygiene promoters]]+WWWW[[#This Row],['#_female hygiene promoters]])&gt;WWWW[[#This Row],[Total PoP ]],WWWW[[#This Row],[Total PoP ]],500*(WWWW[[#This Row],['#_male hygiene promoters]]+WWWW[[#This Row],['#_female hygiene promoters]]))</f>
        <v>1936</v>
      </c>
      <c r="DN19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9" s="971">
        <f>IF(WWWW[[#This Row],['# People with access to soap]]&gt;WWWW[[#This Row],['# People with access to Sanity Pads]],WWWW[[#This Row],['# People with access to soap]],WWWW[[#This Row],['# People with access to Sanity Pads]])</f>
        <v>0</v>
      </c>
      <c r="DQ199" s="971">
        <f>IF(WWWW[[#This Row],['# people reached by regular dedicated hygiene promotion_5]]&gt;WWWW[[#This Row],['# People received regular supply of hygiene items_6]],WWWW[[#This Row],['# people reached by regular dedicated hygiene promotion_5]],WWWW[[#This Row],['# People received regular supply of hygiene items_6]])</f>
        <v>1936</v>
      </c>
      <c r="DR199" s="973">
        <f>IF(WWWW[[#This Row],[HRP3]]/WWWW[[#This Row],[Total PoP ]]&gt;1,1,WWWW[[#This Row],[HRP3]]/WWWW[[#This Row],[Total PoP ]])</f>
        <v>1</v>
      </c>
      <c r="DS199" s="972">
        <f>1-WWWW[[#This Row],[Hygiene Coverage%]]</f>
        <v>0</v>
      </c>
      <c r="DT199" s="970">
        <f>WWWW[[#This Row],['# people reached by regular dedicated hygiene promotion_5]]/WWWW[[#This Row],[Total PoP ]]</f>
        <v>1</v>
      </c>
      <c r="DU19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9" s="971">
        <f>WWWW[[#This Row],['#_Constructed/Existing hand washing stations]]-WWWW[[#This Row],['#_Non-Functional_hand_washing_stations]]</f>
        <v>15</v>
      </c>
      <c r="DX199" s="968">
        <f>IF(WWWW[[#This Row],['# Functional hand washing stations during reporting period]]*20&gt;WWWW[[#This Row],[Total HH]],WWWW[[#This Row],[Total HH]],WWWW[[#This Row],['# Functional hand washing stations during reporting period]]*20)</f>
        <v>300</v>
      </c>
      <c r="DY199" s="968">
        <f>IF(WWWW[[#This Row],[Is sufficient soap available for TLS? (Yes/No)]]="yes",WWWW[[#This Row],['#_Constructed/Existing hand washing stations at TLS/CFS/THF]],0)</f>
        <v>5</v>
      </c>
      <c r="DZ199" s="425">
        <f>IF(WWWW[[#This Row],['# Functional hand washing stations during reporting period]]*100&gt;WWWW[[#This Row],[Total PoP ]],WWWW[[#This Row],[Total PoP ]],WWWW[[#This Row],['# Functional hand washing stations during reporting period]]*100)</f>
        <v>1500</v>
      </c>
      <c r="EA199" s="425" t="str">
        <f>IF(OR(WWWW[[#This Row],['#_students at TLS_CFS]]="",WWWW[[#This Row],['#_students at TLS_CFS]]=0),"No","Yes")</f>
        <v>Yes</v>
      </c>
      <c r="EB199" s="619">
        <f>IF(WWWW[[#This Row],['#_of_affected_people_surveyed_who_report_feeling_informed_about_the_different_WASH_services_available_to_them]]="","",WWWW[[#This Row],['#_of_affected_people_surveyed_who_report_feeling_informed_about_the_different_WASH_services_available_to_them]]/WWWW[[#This Row],[Total PoP ]])</f>
        <v>1.0330578512396695E-2</v>
      </c>
      <c r="EC199" s="570">
        <f>WWWW[[#This Row],[%_of_affected_people_surveyed_who_report_feeling_satistfied_with_the_latrine_design_and_sanitation_service]]*WWWW[[#This Row],[Total PoP ]]</f>
        <v>1548.8000000000002</v>
      </c>
      <c r="ED199" s="570">
        <f>WWWW[[#This Row],[%_of_affected_people_surveyed_who_report_feeling_satistfied_with_the_water_point_design_and_water_service]]*WWWW[[#This Row],[Total PoP ]]</f>
        <v>1548.8000000000002</v>
      </c>
      <c r="EE199" s="570">
        <f>WWWW[[#This Row],[%_of_complaints_received_that_result_in_timely_corrective_action_and_feedback_to_the_community]]*WWWW[[#This Row],[Total PoP ]]</f>
        <v>1548.8000000000002</v>
      </c>
      <c r="EF19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1548.8000000000002</v>
      </c>
      <c r="EG19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9" s="964">
        <f>VLOOKUP(WWWW[[#This Row],[Site Name]],SiteDB6[[Site Name]:[CCCM Management]],6,FALSE)</f>
        <v>0</v>
      </c>
      <c r="EJ199" s="964">
        <f>VLOOKUP(WWWW[[#This Row],[Site Name]],SiteDB6[[Site Name]:[CCCM Focal Agency]],7,FALSE)</f>
        <v>0</v>
      </c>
      <c r="EK199" s="964" t="str">
        <f>VLOOKUP(WWWW[[#This Row],[Site Name]],SiteDB6[[Site Name]:[Location Type 1]],9,FALSE)</f>
        <v>Camp</v>
      </c>
      <c r="EL199" s="964" t="str">
        <f>VLOOKUP(WWWW[[#This Row],[Site Name]],SiteDB6[[Site Name]:[Type of Accommodation]],10,FALSE)</f>
        <v>Camp</v>
      </c>
      <c r="EM199" s="964" t="str">
        <f>VLOOKUP(WWWW[[#This Row],[Site Name]],SiteDB6[[Site Name]:[Ethnic or GCA/NGCA]],11,FALSE)</f>
        <v>GCA</v>
      </c>
      <c r="EN199" s="964">
        <f>VLOOKUP(WWWW[[#This Row],[Site Name]],SiteDB6[[Site Name]:[Lat]],12,FALSE)</f>
        <v>0</v>
      </c>
      <c r="EO199" s="964">
        <f>VLOOKUP(WWWW[[#This Row],[Site Name]],SiteDB6[[Site Name]:[Long]],13,FALSE)</f>
        <v>0</v>
      </c>
      <c r="EP199" s="964">
        <f>VLOOKUP(WWWW[[#This Row],[Site Name]],SiteDB6[[Site Name]:[Pcode]],3,FALSE)</f>
        <v>0</v>
      </c>
      <c r="EQ199" s="969" t="str">
        <f t="shared" si="6"/>
        <v>Covered</v>
      </c>
      <c r="ER199" s="969" t="s">
        <v>3147</v>
      </c>
      <c r="ES199" s="964">
        <f>VLOOKUP(WWWW[[#This Row],[Site Name]],SiteDB6[[Site Name]:[Pop
(Kachin/Shan-CCCM as of March 2023)]],16,FALSE)</f>
        <v>0</v>
      </c>
      <c r="ET199" s="964">
        <f>VLOOKUP(WWWW[[#This Row],[Site Name]],SiteDB6[[Site Name]:[Pop
(Kachin/Shan-CCCM as of March 2023)]],17,FALSE)</f>
        <v>0</v>
      </c>
    </row>
    <row r="200" spans="1:150" hidden="1">
      <c r="A200" s="962" t="s">
        <v>2977</v>
      </c>
      <c r="B200" s="962" t="s">
        <v>141</v>
      </c>
      <c r="C200" s="963" t="s">
        <v>141</v>
      </c>
      <c r="D200" s="963" t="s">
        <v>3116</v>
      </c>
      <c r="E200" s="963" t="s">
        <v>37</v>
      </c>
      <c r="F200" s="963" t="s">
        <v>38</v>
      </c>
      <c r="G200" s="964" t="str">
        <f>VLOOKUP(WWWW[[#This Row],[Site Name]],SiteDB6[[Site Name]:[Location Type]],8,FALSE)</f>
        <v>Camp</v>
      </c>
      <c r="H200" s="963" t="s">
        <v>183</v>
      </c>
      <c r="I200" s="965">
        <v>365</v>
      </c>
      <c r="J200" s="965">
        <v>1517</v>
      </c>
      <c r="K200" s="966">
        <v>44896</v>
      </c>
      <c r="L200" s="967">
        <v>45016</v>
      </c>
      <c r="M200" s="965"/>
      <c r="N200" s="965"/>
      <c r="O200" s="965"/>
      <c r="P200" s="965"/>
      <c r="Q200" s="968" t="s">
        <v>41</v>
      </c>
      <c r="R200" s="965">
        <v>4</v>
      </c>
      <c r="S200" s="965">
        <v>4</v>
      </c>
      <c r="T200" s="445">
        <v>1</v>
      </c>
      <c r="U200" s="965"/>
      <c r="V200" s="965">
        <v>1</v>
      </c>
      <c r="W200" s="965">
        <v>1</v>
      </c>
      <c r="X200" s="965"/>
      <c r="Y200" s="965"/>
      <c r="Z200" s="965"/>
      <c r="AA200" s="965"/>
      <c r="AB200" s="965"/>
      <c r="AC200" s="965"/>
      <c r="AD200" s="965"/>
      <c r="AE200" s="965"/>
      <c r="AF200" s="965"/>
      <c r="AG200" s="965"/>
      <c r="AH200" s="965"/>
      <c r="AI200" s="965"/>
      <c r="AJ200" s="965"/>
      <c r="AK200" s="965"/>
      <c r="AL200" s="965"/>
      <c r="AM200" s="965"/>
      <c r="AN200" s="965"/>
      <c r="AO200" s="445"/>
      <c r="AP200" s="969" t="s">
        <v>140</v>
      </c>
      <c r="AQ200" s="965">
        <v>90</v>
      </c>
      <c r="AR200" s="965"/>
      <c r="AS200" s="970"/>
      <c r="AT200" s="965">
        <v>1</v>
      </c>
      <c r="AU200" s="965"/>
      <c r="AV200" s="965">
        <v>79</v>
      </c>
      <c r="AW200" s="965">
        <v>169.43503000000001</v>
      </c>
      <c r="AX200" s="965"/>
      <c r="AY200" s="964" t="s">
        <v>41</v>
      </c>
      <c r="AZ200" s="969" t="s">
        <v>137</v>
      </c>
      <c r="BA200" s="965"/>
      <c r="BB200" s="965"/>
      <c r="BC200" s="965"/>
      <c r="BD200" s="445"/>
      <c r="BE200" s="445"/>
      <c r="BF200" s="964" t="s">
        <v>140</v>
      </c>
      <c r="BG200" s="965">
        <v>25</v>
      </c>
      <c r="BH200" s="965">
        <v>10</v>
      </c>
      <c r="BI200" s="965">
        <v>2</v>
      </c>
      <c r="BJ200" s="965">
        <v>2</v>
      </c>
      <c r="BK200" s="965"/>
      <c r="BL200" s="965"/>
      <c r="BM200" s="965">
        <v>4</v>
      </c>
      <c r="BN200" s="965"/>
      <c r="BO200" s="965"/>
      <c r="BP200" s="964" t="s">
        <v>136</v>
      </c>
      <c r="BQ200" s="971"/>
      <c r="BR200" s="970">
        <v>0.3</v>
      </c>
      <c r="BS200" s="964" t="s">
        <v>140</v>
      </c>
      <c r="BT200" s="420">
        <v>0.8</v>
      </c>
      <c r="BU200" s="420">
        <v>0.8</v>
      </c>
      <c r="BV200" s="422">
        <v>20</v>
      </c>
      <c r="BW200" s="420">
        <v>0.8</v>
      </c>
      <c r="BX200" s="445"/>
      <c r="BY200" s="445"/>
      <c r="BZ200" s="445"/>
      <c r="CA200" s="445"/>
      <c r="CB200" s="445"/>
      <c r="CC200" s="702"/>
      <c r="CD200" s="445"/>
      <c r="CE200" s="972" t="str">
        <f>IFERROR(WWWW[[#This Row],['#_Water sources passed]]/WWWW[[#This Row],['#_Water sources tested for fecal coliform ]],"no test")</f>
        <v>no test</v>
      </c>
      <c r="CF200" s="970" t="str">
        <f>IFERROR(WWWW[[#This Row],['#_Household passed]]/WWWW[[#This Row],['#_Household water samples tested for fecal coliform]],"no test")</f>
        <v>no test</v>
      </c>
      <c r="CG200" s="971" t="str">
        <f>IF(AND(WWWW[[#This Row],[% of water sources passed]]="no test",WWWW[[#This Row],[% Household passed]]="no test"),"No Test","Tested")</f>
        <v>No Test</v>
      </c>
      <c r="CH200" s="971">
        <f>WWWW[[#This Row],['#_Constructed/existing protected hand dug well]]-WWWW[[#This Row],['#_Non-functional protected hand dug well]]</f>
        <v>1</v>
      </c>
      <c r="CI200" s="971">
        <f>(WWWW[[#This Row],['#_Constructed/Existing tube wells/boreholes/handpumps_WASH_agency]]+WWWW[[#This Row],['#_Non-Cluster partner water tube-wells/boreholes/handpumps]])-WWWW[[#This Row],['#_Non-functional tube wells/boreholes/handpumps]]</f>
        <v>1</v>
      </c>
      <c r="CJ200" s="971">
        <f>WWWW[[#This Row],['#_Constructed/Existingwater storage tank with gravity fed reticulation system]]-WWWW[[#This Row],['#_Non-functional storage tank gravity fed reticulation system]]</f>
        <v>0</v>
      </c>
      <c r="CK200" s="971">
        <f>(WWWW[[#This Row],['#_Water_Liters_supplied_by_Water boating or water trucking]]/90)/15</f>
        <v>0</v>
      </c>
      <c r="CL200" s="971">
        <f>WWWW[[#This Row],['#_Water_Liters_from_Constructed/Existing water distribution system from river or natural spring]]/90/15</f>
        <v>0</v>
      </c>
      <c r="CM200" s="421">
        <f>IF(WWWW[[#This Row],['#_of water points in TLS/CFS]]*500&gt;WWWW[[#This Row],[Total PoP ]],WWWW[[#This Row],[Total PoP ]],WWWW[[#This Row],['#_of water points in TLS/CFS]]*500)</f>
        <v>0</v>
      </c>
      <c r="CN200" s="421">
        <f>IF(WWWW[[#This Row],['#_of water points in THF]]*500&gt;WWWW[[#This Row],[Total PoP ]],WWWW[[#This Row],[Total PoP ]],WWWW[[#This Row],['#_of water points in THF]]*500)</f>
        <v>0</v>
      </c>
      <c r="CO200" s="421"/>
      <c r="CP20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0.59327620303230055</v>
      </c>
      <c r="CQ20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0.32959789057350031</v>
      </c>
      <c r="CR200" s="970">
        <f>IF(WWWW[[#This Row],[Location Type 1]]="Village",WWWW[[#This Row],[Access to safe drinking water for Village]],WWWW[[#This Row],[Access to safe drinking water for Camp]])</f>
        <v>0.59327620303230055</v>
      </c>
      <c r="CS200" s="968">
        <f>WWWW[[#This Row],[%Equitable and continuous access to sufficient quantity of safe drinking water]]*WWWW[[#This Row],[Total PoP ]]</f>
        <v>899.99999999999989</v>
      </c>
      <c r="CT200" s="970">
        <f>IF((WWWW[[#This Row],['#_Constructed/Existing protected/fenced ponds]]*250)/WWWW[[#This Row],[Total PoP ]]&gt;1,1,(WWWW[[#This Row],['#_Constructed/Existing protected/fenced ponds]]*250)/WWWW[[#This Row],[Total PoP ]])</f>
        <v>0</v>
      </c>
      <c r="CU200" s="968">
        <f>WWWW[[#This Row],[% Access to unimproved water points]]*WWWW[[#This Row],[Total PoP ]]</f>
        <v>0</v>
      </c>
      <c r="CV20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0.59327620303230055</v>
      </c>
      <c r="CW20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899.99999999999989</v>
      </c>
      <c r="CX200" s="968">
        <f>WWWW[[#This Row],[HRP1]]/500</f>
        <v>1.7999999999999998</v>
      </c>
      <c r="CY200" s="973">
        <f>1-WWWW[[#This Row],[% Equitable and continuous access to sufficient quantity of domestic water]]</f>
        <v>0.40672379696769945</v>
      </c>
      <c r="CZ200" s="968">
        <f>WWWW[[#This Row],[%equitable and continuous access to sufficient quantity of safe drinking and domestic water''s GAP]]*WWWW[[#This Row],[Total PoP ]]</f>
        <v>617.00000000000011</v>
      </c>
      <c r="DA200" s="971">
        <f>IF(WWWW[[#This Row],[Total required water points]]-WWWW[[#This Row],['#Water points coverage]]&lt;0,0,WWWW[[#This Row],[Total required water points]]-WWWW[[#This Row],['#Water points coverage]])</f>
        <v>1.2000000000000002</v>
      </c>
      <c r="DB200" s="971">
        <f>ROUND(IF(WWWW[[#This Row],[Total PoP ]]&lt;500,1,WWWW[[#This Row],[Total PoP ]]/500),0)</f>
        <v>3</v>
      </c>
      <c r="DC200" s="971">
        <f>(WWWW[[#This Row],['#_Constructed latrines_by_WASHAgencies]]+WWWW[[#This Row],['#_Non Cluster partner latrines]])-WWWW[[#This Row],['#_Non-functional latrines]]</f>
        <v>89</v>
      </c>
      <c r="DD200" s="619">
        <f>WWWW[[#This Row],[HRP2]]/WWWW[[#This Row],[Total PoP ]]</f>
        <v>1</v>
      </c>
      <c r="DE20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1517</v>
      </c>
      <c r="DF20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1517</v>
      </c>
      <c r="DG20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0" s="421">
        <f>IF(WWWW[[#This Row],['# of functional latrines in THF supported by WASH partners during the reporting period2]]="",0,WWWW[[#This Row],['# of functional latrines in THF supported by WASH partners during the reporting period2]]*50)</f>
        <v>0</v>
      </c>
      <c r="DI200" s="971">
        <f>ROUND(IF(WWWW[[#This Row],[Location Type 1]]="camp",WWWW[[#This Row],[Total PoP ]]/20,IF(WWWW[[#This Row],[Location Type 1]]="Temporary Location",WWWW[[#This Row],[Total PoP ]]/50,(WWWW[[#This Row],[Total PoP ]]/6))),0)</f>
        <v>76</v>
      </c>
      <c r="DJ200" s="971">
        <f>IF(WWWW[[#This Row],[Total required Latrines]]-(WWWW[[#This Row],['#_Constructed latrines_by_WASHAgencies]]+WWWW[[#This Row],['#_Non Cluster partner latrines]])&lt;0,0,WWWW[[#This Row],[Total required Latrines]]-(WWWW[[#This Row],['#_Constructed latrines_by_WASHAgencies]]+WWWW[[#This Row],['#_Non Cluster partner latrines]]))</f>
        <v>0</v>
      </c>
      <c r="DK200" s="973">
        <f>1-WWWW[[#This Row],[% people access to functioning Latrine]]</f>
        <v>0</v>
      </c>
      <c r="DL200" s="972">
        <f>IF(OR(WWWW[[#This Row],['#_Non-functional latrines]]="",WWWW[[#This Row],['#_Non-functional latrines]]=0),0,WWWW[[#This Row],['#_Non-functional latrines]]/(WWWW[[#This Row],['#_Constructed latrines_by_WASHAgencies]]+WWWW[[#This Row],['#_Non Cluster partner latrines]]))</f>
        <v>1.1111111111111112E-2</v>
      </c>
      <c r="DM200" s="968">
        <f>IF(500*(WWWW[[#This Row],['#_male hygiene promoters]]+WWWW[[#This Row],['#_female hygiene promoters]])&gt;WWWW[[#This Row],[Total PoP ]],WWWW[[#This Row],[Total PoP ]],500*(WWWW[[#This Row],['#_male hygiene promoters]]+WWWW[[#This Row],['#_female hygiene promoters]]))</f>
        <v>1517</v>
      </c>
      <c r="DN20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0" s="971">
        <f>IF(WWWW[[#This Row],['# People with access to soap]]&gt;WWWW[[#This Row],['# People with access to Sanity Pads]],WWWW[[#This Row],['# People with access to soap]],WWWW[[#This Row],['# People with access to Sanity Pads]])</f>
        <v>0</v>
      </c>
      <c r="DQ200" s="971">
        <f>IF(WWWW[[#This Row],['# people reached by regular dedicated hygiene promotion_5]]&gt;WWWW[[#This Row],['# People received regular supply of hygiene items_6]],WWWW[[#This Row],['# people reached by regular dedicated hygiene promotion_5]],WWWW[[#This Row],['# People received regular supply of hygiene items_6]])</f>
        <v>1517</v>
      </c>
      <c r="DR200" s="973">
        <f>IF(WWWW[[#This Row],[HRP3]]/WWWW[[#This Row],[Total PoP ]]&gt;1,1,WWWW[[#This Row],[HRP3]]/WWWW[[#This Row],[Total PoP ]])</f>
        <v>1</v>
      </c>
      <c r="DS200" s="972">
        <f>1-WWWW[[#This Row],[Hygiene Coverage%]]</f>
        <v>0</v>
      </c>
      <c r="DT200" s="970">
        <f>WWWW[[#This Row],['# people reached by regular dedicated hygiene promotion_5]]/WWWW[[#This Row],[Total PoP ]]</f>
        <v>1</v>
      </c>
      <c r="DU20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0" s="971">
        <f>WWWW[[#This Row],['#_Constructed/Existing hand washing stations]]-WWWW[[#This Row],['#_Non-Functional_hand_washing_stations]]</f>
        <v>15</v>
      </c>
      <c r="DX200" s="968">
        <f>IF(WWWW[[#This Row],['# Functional hand washing stations during reporting period]]*20&gt;WWWW[[#This Row],[Total HH]],WWWW[[#This Row],[Total HH]],WWWW[[#This Row],['# Functional hand washing stations during reporting period]]*20)</f>
        <v>300</v>
      </c>
      <c r="DY200" s="968">
        <f>IF(WWWW[[#This Row],[Is sufficient soap available for TLS? (Yes/No)]]="yes",WWWW[[#This Row],['#_Constructed/Existing hand washing stations at TLS/CFS/THF]],0)</f>
        <v>0</v>
      </c>
      <c r="DZ200" s="425">
        <f>IF(WWWW[[#This Row],['# Functional hand washing stations during reporting period]]*100&gt;WWWW[[#This Row],[Total PoP ]],WWWW[[#This Row],[Total PoP ]],WWWW[[#This Row],['# Functional hand washing stations during reporting period]]*100)</f>
        <v>1500</v>
      </c>
      <c r="EA200" s="425" t="str">
        <f>IF(OR(WWWW[[#This Row],['#_students at TLS_CFS]]="",WWWW[[#This Row],['#_students at TLS_CFS]]=0),"No","Yes")</f>
        <v>No</v>
      </c>
      <c r="EB200" s="619">
        <f>IF(WWWW[[#This Row],['#_of_affected_people_surveyed_who_report_feeling_informed_about_the_different_WASH_services_available_to_them]]="","",WWWW[[#This Row],['#_of_affected_people_surveyed_who_report_feeling_informed_about_the_different_WASH_services_available_to_them]]/WWWW[[#This Row],[Total PoP ]])</f>
        <v>1.3183915622940013E-2</v>
      </c>
      <c r="EC200" s="570">
        <f>WWWW[[#This Row],[%_of_affected_people_surveyed_who_report_feeling_satistfied_with_the_latrine_design_and_sanitation_service]]*WWWW[[#This Row],[Total PoP ]]</f>
        <v>1213.6000000000001</v>
      </c>
      <c r="ED200" s="570">
        <f>WWWW[[#This Row],[%_of_affected_people_surveyed_who_report_feeling_satistfied_with_the_water_point_design_and_water_service]]*WWWW[[#This Row],[Total PoP ]]</f>
        <v>1213.6000000000001</v>
      </c>
      <c r="EE200" s="570">
        <f>WWWW[[#This Row],[%_of_complaints_received_that_result_in_timely_corrective_action_and_feedback_to_the_community]]*WWWW[[#This Row],[Total PoP ]]</f>
        <v>1213.6000000000001</v>
      </c>
      <c r="EF20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1213.6000000000001</v>
      </c>
      <c r="EG20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0" s="964" t="str">
        <f>VLOOKUP(WWWW[[#This Row],[Site Name]],SiteDB6[[Site Name]:[CCCM Management]],6,FALSE)</f>
        <v>Yes</v>
      </c>
      <c r="EJ200" s="964" t="str">
        <f>VLOOKUP(WWWW[[#This Row],[Site Name]],SiteDB6[[Site Name]:[CCCM Focal Agency]],7,FALSE)</f>
        <v>KBC-BMO</v>
      </c>
      <c r="EK200" s="964" t="str">
        <f>VLOOKUP(WWWW[[#This Row],[Site Name]],SiteDB6[[Site Name]:[Location Type 1]],9,FALSE)</f>
        <v>Camp</v>
      </c>
      <c r="EL200" s="964" t="str">
        <f>VLOOKUP(WWWW[[#This Row],[Site Name]],SiteDB6[[Site Name]:[Type of Accommodation]],10,FALSE)</f>
        <v>Camp</v>
      </c>
      <c r="EM200" s="964" t="str">
        <f>VLOOKUP(WWWW[[#This Row],[Site Name]],SiteDB6[[Site Name]:[Ethnic or GCA/NGCA]],11,FALSE)</f>
        <v>GCA</v>
      </c>
      <c r="EN200" s="964">
        <f>VLOOKUP(WWWW[[#This Row],[Site Name]],SiteDB6[[Site Name]:[Lat]],12,FALSE)</f>
        <v>23.972453000000002</v>
      </c>
      <c r="EO200" s="964">
        <f>VLOOKUP(WWWW[[#This Row],[Site Name]],SiteDB6[[Site Name]:[Long]],13,FALSE)</f>
        <v>97.225881000000001</v>
      </c>
      <c r="EP200" s="964" t="str">
        <f>VLOOKUP(WWWW[[#This Row],[Site Name]],SiteDB6[[Site Name]:[Pcode]],3,FALSE)</f>
        <v>MMR001CMP218</v>
      </c>
      <c r="EQ200" s="969" t="str">
        <f t="shared" si="6"/>
        <v>Covered</v>
      </c>
      <c r="ER200" s="969" t="s">
        <v>3147</v>
      </c>
      <c r="ES200" s="964">
        <f>VLOOKUP(WWWW[[#This Row],[Site Name]],SiteDB6[[Site Name]:[Pop
(Kachin/Shan-CCCM as of March 2023)]],16,FALSE)</f>
        <v>365</v>
      </c>
      <c r="ET200" s="964">
        <f>VLOOKUP(WWWW[[#This Row],[Site Name]],SiteDB6[[Site Name]:[Pop
(Kachin/Shan-CCCM as of March 2023)]],17,FALSE)</f>
        <v>1718</v>
      </c>
    </row>
    <row r="201" spans="1:150" ht="12" hidden="1" customHeight="1">
      <c r="A201" s="962" t="s">
        <v>2977</v>
      </c>
      <c r="B201" s="962" t="s">
        <v>192</v>
      </c>
      <c r="C201" s="963" t="s">
        <v>192</v>
      </c>
      <c r="D201" s="963" t="s">
        <v>2899</v>
      </c>
      <c r="E201" s="963" t="s">
        <v>37</v>
      </c>
      <c r="F201" s="963" t="s">
        <v>142</v>
      </c>
      <c r="G201" s="964" t="s">
        <v>1099</v>
      </c>
      <c r="H201" s="963" t="s">
        <v>222</v>
      </c>
      <c r="I201" s="965">
        <v>546</v>
      </c>
      <c r="J201" s="965">
        <v>2550</v>
      </c>
      <c r="K201" s="966" t="s">
        <v>3154</v>
      </c>
      <c r="L201" s="967" t="s">
        <v>3155</v>
      </c>
      <c r="M201" s="965"/>
      <c r="N201" s="965"/>
      <c r="O201" s="965"/>
      <c r="P201" s="965"/>
      <c r="Q201" s="968" t="s">
        <v>136</v>
      </c>
      <c r="R201" s="965"/>
      <c r="S201" s="965"/>
      <c r="T201" s="445"/>
      <c r="U201" s="965"/>
      <c r="V201" s="965"/>
      <c r="W201" s="965"/>
      <c r="X201" s="965"/>
      <c r="Y201" s="965"/>
      <c r="Z201" s="965"/>
      <c r="AA201" s="965"/>
      <c r="AB201" s="965"/>
      <c r="AC201" s="965"/>
      <c r="AD201" s="965"/>
      <c r="AE201" s="965"/>
      <c r="AF201" s="965"/>
      <c r="AG201" s="965"/>
      <c r="AH201" s="965"/>
      <c r="AI201" s="965"/>
      <c r="AJ201" s="965"/>
      <c r="AK201" s="965"/>
      <c r="AL201" s="965"/>
      <c r="AM201" s="965"/>
      <c r="AN201" s="965"/>
      <c r="AO201" s="445"/>
      <c r="AP201" s="969"/>
      <c r="AQ201" s="965"/>
      <c r="AR201" s="965"/>
      <c r="AS201" s="970"/>
      <c r="AT201" s="965"/>
      <c r="AU201" s="965"/>
      <c r="AV201" s="965"/>
      <c r="AW201" s="965"/>
      <c r="AX201" s="965"/>
      <c r="AY201" s="964" t="s">
        <v>136</v>
      </c>
      <c r="AZ201" s="969" t="s">
        <v>136</v>
      </c>
      <c r="BA201" s="965"/>
      <c r="BB201" s="965"/>
      <c r="BC201" s="965"/>
      <c r="BD201" s="445"/>
      <c r="BE201" s="445"/>
      <c r="BF201" s="964"/>
      <c r="BG201" s="965">
        <v>7</v>
      </c>
      <c r="BH201" s="965"/>
      <c r="BI201" s="965"/>
      <c r="BJ201" s="965">
        <v>7</v>
      </c>
      <c r="BK201" s="965"/>
      <c r="BL201" s="965"/>
      <c r="BM201" s="965"/>
      <c r="BN201" s="965"/>
      <c r="BO201" s="965"/>
      <c r="BP201" s="964"/>
      <c r="BQ201" s="971"/>
      <c r="BR201" s="970"/>
      <c r="BS201" s="964"/>
      <c r="BT201" s="420"/>
      <c r="BU201" s="420"/>
      <c r="BV201" s="422"/>
      <c r="BW201" s="420"/>
      <c r="BX201" s="445"/>
      <c r="BY201" s="445"/>
      <c r="BZ201" s="445"/>
      <c r="CA201" s="445"/>
      <c r="CB201" s="445"/>
      <c r="CC201" s="702"/>
      <c r="CD201" s="445"/>
      <c r="CE201" s="972" t="str">
        <f>IFERROR(WWWW[[#This Row],['#_Water sources passed]]/WWWW[[#This Row],['#_Water sources tested for fecal coliform ]],"no test")</f>
        <v>no test</v>
      </c>
      <c r="CF201" s="970" t="str">
        <f>IFERROR(WWWW[[#This Row],['#_Household passed]]/WWWW[[#This Row],['#_Household water samples tested for fecal coliform]],"no test")</f>
        <v>no test</v>
      </c>
      <c r="CG201" s="971" t="str">
        <f>IF(AND(WWWW[[#This Row],[% of water sources passed]]="no test",WWWW[[#This Row],[% Household passed]]="no test"),"No Test","Tested")</f>
        <v>No Test</v>
      </c>
      <c r="CH201" s="971">
        <f>WWWW[[#This Row],['#_Constructed/existing protected hand dug well]]-WWWW[[#This Row],['#_Non-functional protected hand dug well]]</f>
        <v>0</v>
      </c>
      <c r="CI201" s="971">
        <f>(WWWW[[#This Row],['#_Constructed/Existing tube wells/boreholes/handpumps_WASH_agency]]+WWWW[[#This Row],['#_Non-Cluster partner water tube-wells/boreholes/handpumps]])-WWWW[[#This Row],['#_Non-functional tube wells/boreholes/handpumps]]</f>
        <v>0</v>
      </c>
      <c r="CJ201" s="971">
        <f>WWWW[[#This Row],['#_Constructed/Existingwater storage tank with gravity fed reticulation system]]-WWWW[[#This Row],['#_Non-functional storage tank gravity fed reticulation system]]</f>
        <v>0</v>
      </c>
      <c r="CK201" s="971">
        <f>(WWWW[[#This Row],['#_Water_Liters_supplied_by_Water boating or water trucking]]/90)/15</f>
        <v>0</v>
      </c>
      <c r="CL201" s="971">
        <f>WWWW[[#This Row],['#_Water_Liters_from_Constructed/Existing water distribution system from river or natural spring]]/90/15</f>
        <v>0</v>
      </c>
      <c r="CM201" s="421">
        <f>IF(WWWW[[#This Row],['#_of water points in TLS/CFS]]*500&gt;WWWW[[#This Row],[Total PoP ]],WWWW[[#This Row],[Total PoP ]],WWWW[[#This Row],['#_of water points in TLS/CFS]]*500)</f>
        <v>0</v>
      </c>
      <c r="CN201" s="421">
        <f>IF(WWWW[[#This Row],['#_of water points in THF]]*500&gt;WWWW[[#This Row],[Total PoP ]],WWWW[[#This Row],[Total PoP ]],WWWW[[#This Row],['#_of water points in THF]]*500)</f>
        <v>0</v>
      </c>
      <c r="CO201" s="421"/>
      <c r="CP20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0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01" s="970">
        <f>IF(WWWW[[#This Row],[Location Type 1]]="Village",WWWW[[#This Row],[Access to safe drinking water for Village]],WWWW[[#This Row],[Access to safe drinking water for Camp]])</f>
        <v>0</v>
      </c>
      <c r="CS201" s="968">
        <f>WWWW[[#This Row],[%Equitable and continuous access to sufficient quantity of safe drinking water]]*WWWW[[#This Row],[Total PoP ]]</f>
        <v>0</v>
      </c>
      <c r="CT201" s="970">
        <f>IF((WWWW[[#This Row],['#_Constructed/Existing protected/fenced ponds]]*250)/WWWW[[#This Row],[Total PoP ]]&gt;1,1,(WWWW[[#This Row],['#_Constructed/Existing protected/fenced ponds]]*250)/WWWW[[#This Row],[Total PoP ]])</f>
        <v>0</v>
      </c>
      <c r="CU201" s="968">
        <f>WWWW[[#This Row],[% Access to unimproved water points]]*WWWW[[#This Row],[Total PoP ]]</f>
        <v>0</v>
      </c>
      <c r="CV20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0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01" s="968">
        <f>WWWW[[#This Row],[HRP1]]/500</f>
        <v>0</v>
      </c>
      <c r="CY201" s="973">
        <f>1-WWWW[[#This Row],[% Equitable and continuous access to sufficient quantity of domestic water]]</f>
        <v>1</v>
      </c>
      <c r="CZ201" s="968">
        <f>WWWW[[#This Row],[%equitable and continuous access to sufficient quantity of safe drinking and domestic water''s GAP]]*WWWW[[#This Row],[Total PoP ]]</f>
        <v>2550</v>
      </c>
      <c r="DA201" s="971">
        <f>IF(WWWW[[#This Row],[Total required water points]]-WWWW[[#This Row],['#Water points coverage]]&lt;0,0,WWWW[[#This Row],[Total required water points]]-WWWW[[#This Row],['#Water points coverage]])</f>
        <v>5</v>
      </c>
      <c r="DB201" s="971">
        <f>ROUND(IF(WWWW[[#This Row],[Total PoP ]]&lt;500,1,WWWW[[#This Row],[Total PoP ]]/500),0)</f>
        <v>5</v>
      </c>
      <c r="DC201" s="971">
        <f>(WWWW[[#This Row],['#_Constructed latrines_by_WASHAgencies]]+WWWW[[#This Row],['#_Non Cluster partner latrines]])-WWWW[[#This Row],['#_Non-functional latrines]]</f>
        <v>0</v>
      </c>
      <c r="DD201" s="619">
        <f>WWWW[[#This Row],[HRP2]]/WWWW[[#This Row],[Total PoP ]]</f>
        <v>0</v>
      </c>
      <c r="DE20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0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1" s="421">
        <f>IF(WWWW[[#This Row],['# of functional latrines in THF supported by WASH partners during the reporting period2]]="",0,WWWW[[#This Row],['# of functional latrines in THF supported by WASH partners during the reporting period2]]*50)</f>
        <v>0</v>
      </c>
      <c r="DI201" s="971">
        <f>ROUND(IF(WWWW[[#This Row],[Location Type 1]]="camp",WWWW[[#This Row],[Total PoP ]]/20,IF(WWWW[[#This Row],[Location Type 1]]="Temporary Location",WWWW[[#This Row],[Total PoP ]]/50,(WWWW[[#This Row],[Total PoP ]]/6))),0)</f>
        <v>128</v>
      </c>
      <c r="DJ201" s="971">
        <f>IF(WWWW[[#This Row],[Total required Latrines]]-(WWWW[[#This Row],['#_Constructed latrines_by_WASHAgencies]]+WWWW[[#This Row],['#_Non Cluster partner latrines]])&lt;0,0,WWWW[[#This Row],[Total required Latrines]]-(WWWW[[#This Row],['#_Constructed latrines_by_WASHAgencies]]+WWWW[[#This Row],['#_Non Cluster partner latrines]]))</f>
        <v>128</v>
      </c>
      <c r="DK201" s="973">
        <f>1-WWWW[[#This Row],[% people access to functioning Latrine]]</f>
        <v>1</v>
      </c>
      <c r="DL201" s="972">
        <f>IF(OR(WWWW[[#This Row],['#_Non-functional latrines]]="",WWWW[[#This Row],['#_Non-functional latrines]]=0),0,WWWW[[#This Row],['#_Non-functional latrines]]/(WWWW[[#This Row],['#_Constructed latrines_by_WASHAgencies]]+WWWW[[#This Row],['#_Non Cluster partner latrines]]))</f>
        <v>0</v>
      </c>
      <c r="DM201" s="968">
        <f>IF(500*(WWWW[[#This Row],['#_male hygiene promoters]]+WWWW[[#This Row],['#_female hygiene promoters]])&gt;WWWW[[#This Row],[Total PoP ]],WWWW[[#This Row],[Total PoP ]],500*(WWWW[[#This Row],['#_male hygiene promoters]]+WWWW[[#This Row],['#_female hygiene promoters]]))</f>
        <v>0</v>
      </c>
      <c r="DN20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1" s="971">
        <f>IF(WWWW[[#This Row],['# People with access to soap]]&gt;WWWW[[#This Row],['# People with access to Sanity Pads]],WWWW[[#This Row],['# People with access to soap]],WWWW[[#This Row],['# People with access to Sanity Pads]])</f>
        <v>0</v>
      </c>
      <c r="DQ201"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01" s="973">
        <f>IF(WWWW[[#This Row],[HRP3]]/WWWW[[#This Row],[Total PoP ]]&gt;1,1,WWWW[[#This Row],[HRP3]]/WWWW[[#This Row],[Total PoP ]])</f>
        <v>0</v>
      </c>
      <c r="DS201" s="972">
        <f>1-WWWW[[#This Row],[Hygiene Coverage%]]</f>
        <v>1</v>
      </c>
      <c r="DT201" s="970">
        <f>WWWW[[#This Row],['# people reached by regular dedicated hygiene promotion_5]]/WWWW[[#This Row],[Total PoP ]]</f>
        <v>0</v>
      </c>
      <c r="DU20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1" s="971">
        <f>WWWW[[#This Row],['#_Constructed/Existing hand washing stations]]-WWWW[[#This Row],['#_Non-Functional_hand_washing_stations]]</f>
        <v>7</v>
      </c>
      <c r="DX201" s="968">
        <f>IF(WWWW[[#This Row],['# Functional hand washing stations during reporting period]]*20&gt;WWWW[[#This Row],[Total HH]],WWWW[[#This Row],[Total HH]],WWWW[[#This Row],['# Functional hand washing stations during reporting period]]*20)</f>
        <v>140</v>
      </c>
      <c r="DY201" s="968">
        <f>IF(WWWW[[#This Row],[Is sufficient soap available for TLS? (Yes/No)]]="yes",WWWW[[#This Row],['#_Constructed/Existing hand washing stations at TLS/CFS/THF]],0)</f>
        <v>0</v>
      </c>
      <c r="DZ201" s="425">
        <f>IF(WWWW[[#This Row],['# Functional hand washing stations during reporting period]]*100&gt;WWWW[[#This Row],[Total PoP ]],WWWW[[#This Row],[Total PoP ]],WWWW[[#This Row],['# Functional hand washing stations during reporting period]]*100)</f>
        <v>700</v>
      </c>
      <c r="EA201" s="425" t="str">
        <f>IF(OR(WWWW[[#This Row],['#_students at TLS_CFS]]="",WWWW[[#This Row],['#_students at TLS_CFS]]=0),"No","Yes")</f>
        <v>No</v>
      </c>
      <c r="EB20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1" s="570">
        <f>WWWW[[#This Row],[%_of_affected_people_surveyed_who_report_feeling_satistfied_with_the_latrine_design_and_sanitation_service]]*WWWW[[#This Row],[Total PoP ]]</f>
        <v>0</v>
      </c>
      <c r="ED201" s="570">
        <f>WWWW[[#This Row],[%_of_affected_people_surveyed_who_report_feeling_satistfied_with_the_water_point_design_and_water_service]]*WWWW[[#This Row],[Total PoP ]]</f>
        <v>0</v>
      </c>
      <c r="EE201" s="570">
        <f>WWWW[[#This Row],[%_of_complaints_received_that_result_in_timely_corrective_action_and_feedback_to_the_community]]*WWWW[[#This Row],[Total PoP ]]</f>
        <v>0</v>
      </c>
      <c r="EF20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0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1" s="964">
        <f>VLOOKUP(WWWW[[#This Row],[Site Name]],SiteDB6[[Site Name]:[CCCM Management]],6,FALSE)</f>
        <v>0</v>
      </c>
      <c r="EJ201" s="964">
        <f>VLOOKUP(WWWW[[#This Row],[Site Name]],SiteDB6[[Site Name]:[CCCM Focal Agency]],7,FALSE)</f>
        <v>0</v>
      </c>
      <c r="EK201" s="964" t="str">
        <f>VLOOKUP(WWWW[[#This Row],[Site Name]],SiteDB6[[Site Name]:[Location Type 1]],9,FALSE)</f>
        <v>Camp</v>
      </c>
      <c r="EL201" s="964" t="str">
        <f>VLOOKUP(WWWW[[#This Row],[Site Name]],SiteDB6[[Site Name]:[Type of Accommodation]],10,FALSE)</f>
        <v>Host Families</v>
      </c>
      <c r="EM201" s="964" t="str">
        <f>VLOOKUP(WWWW[[#This Row],[Site Name]],SiteDB6[[Site Name]:[Ethnic or GCA/NGCA]],11,FALSE)</f>
        <v>NGCA</v>
      </c>
      <c r="EN201" s="964">
        <f>VLOOKUP(WWWW[[#This Row],[Site Name]],SiteDB6[[Site Name]:[Lat]],12,FALSE)</f>
        <v>0</v>
      </c>
      <c r="EO201" s="964">
        <f>VLOOKUP(WWWW[[#This Row],[Site Name]],SiteDB6[[Site Name]:[Long]],13,FALSE)</f>
        <v>0</v>
      </c>
      <c r="EP201" s="964">
        <f>VLOOKUP(WWWW[[#This Row],[Site Name]],SiteDB6[[Site Name]:[Pcode]],3,FALSE)</f>
        <v>0</v>
      </c>
      <c r="EQ201" s="969" t="str">
        <f t="shared" si="6"/>
        <v>Covered</v>
      </c>
      <c r="ER201" s="969" t="s">
        <v>3147</v>
      </c>
      <c r="ES201" s="964">
        <f>VLOOKUP(WWWW[[#This Row],[Site Name]],SiteDB6[[Site Name]:[Pop
(Kachin/Shan-CCCM as of March 2023)]],16,FALSE)</f>
        <v>0</v>
      </c>
      <c r="ET201" s="964">
        <f>VLOOKUP(WWWW[[#This Row],[Site Name]],SiteDB6[[Site Name]:[Pop
(Kachin/Shan-CCCM as of March 2023)]],17,FALSE)</f>
        <v>0</v>
      </c>
    </row>
    <row r="202" spans="1:150" hidden="1">
      <c r="A202" s="962" t="s">
        <v>2977</v>
      </c>
      <c r="B202" s="962" t="s">
        <v>3117</v>
      </c>
      <c r="C202" s="963" t="s">
        <v>2808</v>
      </c>
      <c r="D202" s="963" t="s">
        <v>3118</v>
      </c>
      <c r="E202" s="963" t="s">
        <v>515</v>
      </c>
      <c r="F202" s="963" t="s">
        <v>961</v>
      </c>
      <c r="G202" s="964" t="s">
        <v>43</v>
      </c>
      <c r="H202" s="963" t="s">
        <v>2999</v>
      </c>
      <c r="I202" s="965">
        <v>96</v>
      </c>
      <c r="J202" s="965">
        <v>469</v>
      </c>
      <c r="K202" s="966">
        <v>44774</v>
      </c>
      <c r="L202" s="967">
        <v>45046</v>
      </c>
      <c r="M202" s="965"/>
      <c r="N202" s="965"/>
      <c r="O202" s="965"/>
      <c r="P202" s="965"/>
      <c r="Q202" s="968"/>
      <c r="R202" s="965"/>
      <c r="S202" s="965"/>
      <c r="T202" s="445"/>
      <c r="U202" s="965"/>
      <c r="V202" s="965"/>
      <c r="W202" s="965"/>
      <c r="X202" s="965"/>
      <c r="Y202" s="965"/>
      <c r="Z202" s="965"/>
      <c r="AA202" s="965">
        <v>1</v>
      </c>
      <c r="AB202" s="965"/>
      <c r="AC202" s="965"/>
      <c r="AD202" s="965"/>
      <c r="AE202" s="965"/>
      <c r="AF202" s="965"/>
      <c r="AG202" s="965">
        <v>9</v>
      </c>
      <c r="AH202" s="965"/>
      <c r="AI202" s="965"/>
      <c r="AJ202" s="965"/>
      <c r="AK202" s="965"/>
      <c r="AL202" s="965"/>
      <c r="AM202" s="965"/>
      <c r="AN202" s="965"/>
      <c r="AO202" s="445"/>
      <c r="AP202" s="969"/>
      <c r="AQ202" s="965"/>
      <c r="AR202" s="965"/>
      <c r="AS202" s="970"/>
      <c r="AT202" s="965"/>
      <c r="AU202" s="965"/>
      <c r="AV202" s="965"/>
      <c r="AW202" s="965"/>
      <c r="AX202" s="965"/>
      <c r="AY202" s="964" t="s">
        <v>136</v>
      </c>
      <c r="AZ202" s="964" t="s">
        <v>136</v>
      </c>
      <c r="BA202" s="965"/>
      <c r="BB202" s="965"/>
      <c r="BC202" s="965"/>
      <c r="BD202" s="445"/>
      <c r="BE202" s="445"/>
      <c r="BF202" s="964"/>
      <c r="BG202" s="965"/>
      <c r="BH202" s="965"/>
      <c r="BI202" s="965"/>
      <c r="BJ202" s="965"/>
      <c r="BK202" s="965"/>
      <c r="BL202" s="965"/>
      <c r="BM202" s="965"/>
      <c r="BN202" s="965"/>
      <c r="BO202" s="965"/>
      <c r="BP202" s="964"/>
      <c r="BQ202" s="971"/>
      <c r="BR202" s="970"/>
      <c r="BS202" s="964"/>
      <c r="BT202" s="420"/>
      <c r="BU202" s="420"/>
      <c r="BV202" s="422"/>
      <c r="BW202" s="420"/>
      <c r="BX202" s="445"/>
      <c r="BY202" s="445"/>
      <c r="BZ202" s="445"/>
      <c r="CA202" s="445"/>
      <c r="CB202" s="445"/>
      <c r="CC202" s="702"/>
      <c r="CD202" s="445"/>
      <c r="CE202" s="972" t="str">
        <f>IFERROR(WWWW[[#This Row],['#_Water sources passed]]/WWWW[[#This Row],['#_Water sources tested for fecal coliform ]],"no test")</f>
        <v>no test</v>
      </c>
      <c r="CF202" s="970" t="str">
        <f>IFERROR(WWWW[[#This Row],['#_Household passed]]/WWWW[[#This Row],['#_Household water samples tested for fecal coliform]],"no test")</f>
        <v>no test</v>
      </c>
      <c r="CG202" s="971" t="str">
        <f>IF(AND(WWWW[[#This Row],[% of water sources passed]]="no test",WWWW[[#This Row],[% Household passed]]="no test"),"No Test","Tested")</f>
        <v>No Test</v>
      </c>
      <c r="CH202" s="971">
        <f>WWWW[[#This Row],['#_Constructed/existing protected hand dug well]]-WWWW[[#This Row],['#_Non-functional protected hand dug well]]</f>
        <v>0</v>
      </c>
      <c r="CI202" s="971">
        <f>(WWWW[[#This Row],['#_Constructed/Existing tube wells/boreholes/handpumps_WASH_agency]]+WWWW[[#This Row],['#_Non-Cluster partner water tube-wells/boreholes/handpumps]])-WWWW[[#This Row],['#_Non-functional tube wells/boreholes/handpumps]]</f>
        <v>0</v>
      </c>
      <c r="CJ202" s="971">
        <f>WWWW[[#This Row],['#_Constructed/Existingwater storage tank with gravity fed reticulation system]]-WWWW[[#This Row],['#_Non-functional storage tank gravity fed reticulation system]]</f>
        <v>1</v>
      </c>
      <c r="CK202" s="971">
        <f>(WWWW[[#This Row],['#_Water_Liters_supplied_by_Water boating or water trucking]]/90)/15</f>
        <v>0</v>
      </c>
      <c r="CL202" s="971">
        <f>WWWW[[#This Row],['#_Water_Liters_from_Constructed/Existing water distribution system from river or natural spring]]/90/15</f>
        <v>0</v>
      </c>
      <c r="CM202" s="421">
        <f>IF(WWWW[[#This Row],['#_of water points in TLS/CFS]]*500&gt;WWWW[[#This Row],[Total PoP ]],WWWW[[#This Row],[Total PoP ]],WWWW[[#This Row],['#_of water points in TLS/CFS]]*500)</f>
        <v>0</v>
      </c>
      <c r="CN202" s="421">
        <f>IF(WWWW[[#This Row],['#_of water points in THF]]*500&gt;WWWW[[#This Row],[Total PoP ]],WWWW[[#This Row],[Total PoP ]],WWWW[[#This Row],['#_of water points in THF]]*500)</f>
        <v>0</v>
      </c>
      <c r="CO202" s="421"/>
      <c r="CP20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0.14214641080312723</v>
      </c>
      <c r="CQ20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0.14214641080312723</v>
      </c>
      <c r="CR202" s="970">
        <f>IF(WWWW[[#This Row],[Location Type 1]]="Village",WWWW[[#This Row],[Access to safe drinking water for Village]],WWWW[[#This Row],[Access to safe drinking water for Camp]])</f>
        <v>0.14214641080312723</v>
      </c>
      <c r="CS202" s="968">
        <f>WWWW[[#This Row],[%Equitable and continuous access to sufficient quantity of safe drinking water]]*WWWW[[#This Row],[Total PoP ]]</f>
        <v>66.666666666666671</v>
      </c>
      <c r="CT202" s="970">
        <f>IF((WWWW[[#This Row],['#_Constructed/Existing protected/fenced ponds]]*250)/WWWW[[#This Row],[Total PoP ]]&gt;1,1,(WWWW[[#This Row],['#_Constructed/Existing protected/fenced ponds]]*250)/WWWW[[#This Row],[Total PoP ]])</f>
        <v>0</v>
      </c>
      <c r="CU202" s="968">
        <f>WWWW[[#This Row],[% Access to unimproved water points]]*WWWW[[#This Row],[Total PoP ]]</f>
        <v>0</v>
      </c>
      <c r="CV20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0.14214641080312723</v>
      </c>
      <c r="CW20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202" s="968">
        <f>WWWW[[#This Row],[HRP1]]/500</f>
        <v>0.13333333333333333</v>
      </c>
      <c r="CY202" s="973">
        <f>1-WWWW[[#This Row],[% Equitable and continuous access to sufficient quantity of domestic water]]</f>
        <v>0.85785358919687282</v>
      </c>
      <c r="CZ202" s="968">
        <f>WWWW[[#This Row],[%equitable and continuous access to sufficient quantity of safe drinking and domestic water''s GAP]]*WWWW[[#This Row],[Total PoP ]]</f>
        <v>402.33333333333337</v>
      </c>
      <c r="DA202" s="971">
        <f>IF(WWWW[[#This Row],[Total required water points]]-WWWW[[#This Row],['#Water points coverage]]&lt;0,0,WWWW[[#This Row],[Total required water points]]-WWWW[[#This Row],['#Water points coverage]])</f>
        <v>0.8666666666666667</v>
      </c>
      <c r="DB202" s="971">
        <f>ROUND(IF(WWWW[[#This Row],[Total PoP ]]&lt;500,1,WWWW[[#This Row],[Total PoP ]]/500),0)</f>
        <v>1</v>
      </c>
      <c r="DC202" s="971">
        <f>(WWWW[[#This Row],['#_Constructed latrines_by_WASHAgencies]]+WWWW[[#This Row],['#_Non Cluster partner latrines]])-WWWW[[#This Row],['#_Non-functional latrines]]</f>
        <v>0</v>
      </c>
      <c r="DD202" s="619">
        <f>WWWW[[#This Row],[HRP2]]/WWWW[[#This Row],[Total PoP ]]</f>
        <v>0</v>
      </c>
      <c r="DE20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0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2" s="421">
        <f>IF(WWWW[[#This Row],['# of functional latrines in THF supported by WASH partners during the reporting period2]]="",0,WWWW[[#This Row],['# of functional latrines in THF supported by WASH partners during the reporting period2]]*50)</f>
        <v>0</v>
      </c>
      <c r="DI202" s="971">
        <f>ROUND(IF(WWWW[[#This Row],[Location Type 1]]="camp",WWWW[[#This Row],[Total PoP ]]/20,IF(WWWW[[#This Row],[Location Type 1]]="Temporary Location",WWWW[[#This Row],[Total PoP ]]/50,(WWWW[[#This Row],[Total PoP ]]/6))),0)</f>
        <v>23</v>
      </c>
      <c r="DJ202" s="971">
        <f>IF(WWWW[[#This Row],[Total required Latrines]]-(WWWW[[#This Row],['#_Constructed latrines_by_WASHAgencies]]+WWWW[[#This Row],['#_Non Cluster partner latrines]])&lt;0,0,WWWW[[#This Row],[Total required Latrines]]-(WWWW[[#This Row],['#_Constructed latrines_by_WASHAgencies]]+WWWW[[#This Row],['#_Non Cluster partner latrines]]))</f>
        <v>23</v>
      </c>
      <c r="DK202" s="973">
        <f>1-WWWW[[#This Row],[% people access to functioning Latrine]]</f>
        <v>1</v>
      </c>
      <c r="DL202" s="972">
        <f>IF(OR(WWWW[[#This Row],['#_Non-functional latrines]]="",WWWW[[#This Row],['#_Non-functional latrines]]=0),0,WWWW[[#This Row],['#_Non-functional latrines]]/(WWWW[[#This Row],['#_Constructed latrines_by_WASHAgencies]]+WWWW[[#This Row],['#_Non Cluster partner latrines]]))</f>
        <v>0</v>
      </c>
      <c r="DM202" s="968">
        <f>IF(500*(WWWW[[#This Row],['#_male hygiene promoters]]+WWWW[[#This Row],['#_female hygiene promoters]])&gt;WWWW[[#This Row],[Total PoP ]],WWWW[[#This Row],[Total PoP ]],500*(WWWW[[#This Row],['#_male hygiene promoters]]+WWWW[[#This Row],['#_female hygiene promoters]]))</f>
        <v>0</v>
      </c>
      <c r="DN20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2" s="971">
        <f>IF(WWWW[[#This Row],['# People with access to soap]]&gt;WWWW[[#This Row],['# People with access to Sanity Pads]],WWWW[[#This Row],['# People with access to soap]],WWWW[[#This Row],['# People with access to Sanity Pads]])</f>
        <v>0</v>
      </c>
      <c r="DQ202"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02" s="973">
        <f>IF(WWWW[[#This Row],[HRP3]]/WWWW[[#This Row],[Total PoP ]]&gt;1,1,WWWW[[#This Row],[HRP3]]/WWWW[[#This Row],[Total PoP ]])</f>
        <v>0</v>
      </c>
      <c r="DS202" s="972">
        <f>1-WWWW[[#This Row],[Hygiene Coverage%]]</f>
        <v>1</v>
      </c>
      <c r="DT202" s="970">
        <f>WWWW[[#This Row],['# people reached by regular dedicated hygiene promotion_5]]/WWWW[[#This Row],[Total PoP ]]</f>
        <v>0</v>
      </c>
      <c r="DU20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2" s="971">
        <f>WWWW[[#This Row],['#_Constructed/Existing hand washing stations]]-WWWW[[#This Row],['#_Non-Functional_hand_washing_stations]]</f>
        <v>0</v>
      </c>
      <c r="DX202" s="968">
        <f>IF(WWWW[[#This Row],['# Functional hand washing stations during reporting period]]*20&gt;WWWW[[#This Row],[Total HH]],WWWW[[#This Row],[Total HH]],WWWW[[#This Row],['# Functional hand washing stations during reporting period]]*20)</f>
        <v>0</v>
      </c>
      <c r="DY202" s="968">
        <f>IF(WWWW[[#This Row],[Is sufficient soap available for TLS? (Yes/No)]]="yes",WWWW[[#This Row],['#_Constructed/Existing hand washing stations at TLS/CFS/THF]],0)</f>
        <v>0</v>
      </c>
      <c r="DZ202" s="425">
        <f>IF(WWWW[[#This Row],['# Functional hand washing stations during reporting period]]*100&gt;WWWW[[#This Row],[Total PoP ]],WWWW[[#This Row],[Total PoP ]],WWWW[[#This Row],['# Functional hand washing stations during reporting period]]*100)</f>
        <v>0</v>
      </c>
      <c r="EA202" s="425" t="str">
        <f>IF(OR(WWWW[[#This Row],['#_students at TLS_CFS]]="",WWWW[[#This Row],['#_students at TLS_CFS]]=0),"No","Yes")</f>
        <v>No</v>
      </c>
      <c r="EB20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2" s="570">
        <f>WWWW[[#This Row],[%_of_affected_people_surveyed_who_report_feeling_satistfied_with_the_latrine_design_and_sanitation_service]]*WWWW[[#This Row],[Total PoP ]]</f>
        <v>0</v>
      </c>
      <c r="ED202" s="570">
        <f>WWWW[[#This Row],[%_of_affected_people_surveyed_who_report_feeling_satistfied_with_the_water_point_design_and_water_service]]*WWWW[[#This Row],[Total PoP ]]</f>
        <v>0</v>
      </c>
      <c r="EE202" s="570">
        <f>WWWW[[#This Row],[%_of_complaints_received_that_result_in_timely_corrective_action_and_feedback_to_the_community]]*WWWW[[#This Row],[Total PoP ]]</f>
        <v>0</v>
      </c>
      <c r="EF20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0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2" s="964">
        <f>VLOOKUP(WWWW[[#This Row],[Site Name]],SiteDB6[[Site Name]:[CCCM Management]],6,FALSE)</f>
        <v>0</v>
      </c>
      <c r="EJ202" s="964" t="str">
        <f>VLOOKUP(WWWW[[#This Row],[Site Name]],SiteDB6[[Site Name]:[CCCM Focal Agency]],7,FALSE)</f>
        <v>Uncovered</v>
      </c>
      <c r="EK202" s="964" t="str">
        <f>VLOOKUP(WWWW[[#This Row],[Site Name]],SiteDB6[[Site Name]:[Location Type 1]],9,FALSE)</f>
        <v>Camp</v>
      </c>
      <c r="EL202" s="964" t="str">
        <f>VLOOKUP(WWWW[[#This Row],[Site Name]],SiteDB6[[Site Name]:[Type of Accommodation]],10,FALSE)</f>
        <v>Camp like setting</v>
      </c>
      <c r="EM202" s="964" t="str">
        <f>VLOOKUP(WWWW[[#This Row],[Site Name]],SiteDB6[[Site Name]:[Ethnic or GCA/NGCA]],11,FALSE)</f>
        <v>GCA</v>
      </c>
      <c r="EN202" s="964">
        <f>VLOOKUP(WWWW[[#This Row],[Site Name]],SiteDB6[[Site Name]:[Lat]],12,FALSE)</f>
        <v>0</v>
      </c>
      <c r="EO202" s="964" t="str">
        <f>VLOOKUP(WWWW[[#This Row],[Site Name]],SiteDB6[[Site Name]:[Long]],13,FALSE)</f>
        <v>not available</v>
      </c>
      <c r="EP202" s="964" t="str">
        <f>VLOOKUP(WWWW[[#This Row],[Site Name]],SiteDB6[[Site Name]:[Pcode]],3,FALSE)</f>
        <v>MMR015CMP093</v>
      </c>
      <c r="EQ202" s="969" t="str">
        <f t="shared" si="6"/>
        <v>Covered</v>
      </c>
      <c r="ER202" s="969" t="s">
        <v>3147</v>
      </c>
      <c r="ES202" s="964">
        <f>VLOOKUP(WWWW[[#This Row],[Site Name]],SiteDB6[[Site Name]:[Pop
(Kachin/Shan-CCCM as of March 2023)]],16,FALSE)</f>
        <v>92</v>
      </c>
      <c r="ET202" s="964">
        <f>VLOOKUP(WWWW[[#This Row],[Site Name]],SiteDB6[[Site Name]:[Pop
(Kachin/Shan-CCCM as of March 2023)]],17,FALSE)</f>
        <v>451</v>
      </c>
    </row>
    <row r="203" spans="1:150" hidden="1">
      <c r="A203" s="962" t="s">
        <v>2977</v>
      </c>
      <c r="B203" s="962" t="s">
        <v>311</v>
      </c>
      <c r="C203" s="963" t="s">
        <v>2687</v>
      </c>
      <c r="D203" s="963" t="s">
        <v>3118</v>
      </c>
      <c r="E203" s="963" t="s">
        <v>515</v>
      </c>
      <c r="F203" s="963" t="s">
        <v>556</v>
      </c>
      <c r="G203" s="964" t="s">
        <v>43</v>
      </c>
      <c r="H203" s="963" t="s">
        <v>557</v>
      </c>
      <c r="I203" s="965">
        <v>37</v>
      </c>
      <c r="J203" s="965">
        <v>120</v>
      </c>
      <c r="K203" s="966">
        <v>44774</v>
      </c>
      <c r="L203" s="967">
        <v>45046</v>
      </c>
      <c r="M203" s="965"/>
      <c r="N203" s="965"/>
      <c r="O203" s="965"/>
      <c r="P203" s="965"/>
      <c r="Q203" s="968"/>
      <c r="R203" s="965"/>
      <c r="S203" s="965"/>
      <c r="T203" s="445"/>
      <c r="U203" s="965"/>
      <c r="V203" s="965"/>
      <c r="W203" s="965"/>
      <c r="X203" s="965"/>
      <c r="Y203" s="965"/>
      <c r="Z203" s="965"/>
      <c r="AA203" s="965"/>
      <c r="AB203" s="965"/>
      <c r="AC203" s="965"/>
      <c r="AD203" s="965"/>
      <c r="AE203" s="965"/>
      <c r="AF203" s="965"/>
      <c r="AG203" s="965"/>
      <c r="AH203" s="965"/>
      <c r="AI203" s="965"/>
      <c r="AJ203" s="965"/>
      <c r="AK203" s="965"/>
      <c r="AL203" s="965"/>
      <c r="AM203" s="965"/>
      <c r="AN203" s="965"/>
      <c r="AO203" s="445"/>
      <c r="AP203" s="969"/>
      <c r="AQ203" s="965"/>
      <c r="AR203" s="965"/>
      <c r="AS203" s="970"/>
      <c r="AT203" s="965"/>
      <c r="AU203" s="965"/>
      <c r="AV203" s="965"/>
      <c r="AW203" s="965"/>
      <c r="AX203" s="965"/>
      <c r="AY203" s="964" t="s">
        <v>136</v>
      </c>
      <c r="AZ203" s="964" t="s">
        <v>136</v>
      </c>
      <c r="BA203" s="965"/>
      <c r="BB203" s="965"/>
      <c r="BC203" s="965"/>
      <c r="BD203" s="445"/>
      <c r="BE203" s="445"/>
      <c r="BF203" s="964"/>
      <c r="BG203" s="965"/>
      <c r="BH203" s="965"/>
      <c r="BI203" s="965"/>
      <c r="BJ203" s="965"/>
      <c r="BK203" s="965"/>
      <c r="BL203" s="965"/>
      <c r="BM203" s="965"/>
      <c r="BN203" s="965">
        <v>9</v>
      </c>
      <c r="BO203" s="965">
        <v>14</v>
      </c>
      <c r="BP203" s="964" t="s">
        <v>41</v>
      </c>
      <c r="BQ203" s="971"/>
      <c r="BR203" s="970"/>
      <c r="BS203" s="964"/>
      <c r="BT203" s="420"/>
      <c r="BU203" s="420"/>
      <c r="BV203" s="422"/>
      <c r="BW203" s="420"/>
      <c r="BX203" s="445"/>
      <c r="BY203" s="445"/>
      <c r="BZ203" s="445"/>
      <c r="CA203" s="445"/>
      <c r="CB203" s="445"/>
      <c r="CC203" s="702"/>
      <c r="CD203" s="445"/>
      <c r="CE203" s="972" t="str">
        <f>IFERROR(WWWW[[#This Row],['#_Water sources passed]]/WWWW[[#This Row],['#_Water sources tested for fecal coliform ]],"no test")</f>
        <v>no test</v>
      </c>
      <c r="CF203" s="970" t="str">
        <f>IFERROR(WWWW[[#This Row],['#_Household passed]]/WWWW[[#This Row],['#_Household water samples tested for fecal coliform]],"no test")</f>
        <v>no test</v>
      </c>
      <c r="CG203" s="971" t="str">
        <f>IF(AND(WWWW[[#This Row],[% of water sources passed]]="no test",WWWW[[#This Row],[% Household passed]]="no test"),"No Test","Tested")</f>
        <v>No Test</v>
      </c>
      <c r="CH203" s="971">
        <f>WWWW[[#This Row],['#_Constructed/existing protected hand dug well]]-WWWW[[#This Row],['#_Non-functional protected hand dug well]]</f>
        <v>0</v>
      </c>
      <c r="CI203" s="971">
        <f>(WWWW[[#This Row],['#_Constructed/Existing tube wells/boreholes/handpumps_WASH_agency]]+WWWW[[#This Row],['#_Non-Cluster partner water tube-wells/boreholes/handpumps]])-WWWW[[#This Row],['#_Non-functional tube wells/boreholes/handpumps]]</f>
        <v>0</v>
      </c>
      <c r="CJ203" s="971">
        <f>WWWW[[#This Row],['#_Constructed/Existingwater storage tank with gravity fed reticulation system]]-WWWW[[#This Row],['#_Non-functional storage tank gravity fed reticulation system]]</f>
        <v>0</v>
      </c>
      <c r="CK203" s="971">
        <f>(WWWW[[#This Row],['#_Water_Liters_supplied_by_Water boating or water trucking]]/90)/15</f>
        <v>0</v>
      </c>
      <c r="CL203" s="971">
        <f>WWWW[[#This Row],['#_Water_Liters_from_Constructed/Existing water distribution system from river or natural spring]]/90/15</f>
        <v>0</v>
      </c>
      <c r="CM203" s="421">
        <f>IF(WWWW[[#This Row],['#_of water points in TLS/CFS]]*500&gt;WWWW[[#This Row],[Total PoP ]],WWWW[[#This Row],[Total PoP ]],WWWW[[#This Row],['#_of water points in TLS/CFS]]*500)</f>
        <v>0</v>
      </c>
      <c r="CN203" s="421">
        <f>IF(WWWW[[#This Row],['#_of water points in THF]]*500&gt;WWWW[[#This Row],[Total PoP ]],WWWW[[#This Row],[Total PoP ]],WWWW[[#This Row],['#_of water points in THF]]*500)</f>
        <v>0</v>
      </c>
      <c r="CO203" s="421"/>
      <c r="CP20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0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03" s="970">
        <f>IF(WWWW[[#This Row],[Location Type 1]]="Village",WWWW[[#This Row],[Access to safe drinking water for Village]],WWWW[[#This Row],[Access to safe drinking water for Camp]])</f>
        <v>0</v>
      </c>
      <c r="CS203" s="968">
        <f>WWWW[[#This Row],[%Equitable and continuous access to sufficient quantity of safe drinking water]]*WWWW[[#This Row],[Total PoP ]]</f>
        <v>0</v>
      </c>
      <c r="CT203" s="970">
        <f>IF((WWWW[[#This Row],['#_Constructed/Existing protected/fenced ponds]]*250)/WWWW[[#This Row],[Total PoP ]]&gt;1,1,(WWWW[[#This Row],['#_Constructed/Existing protected/fenced ponds]]*250)/WWWW[[#This Row],[Total PoP ]])</f>
        <v>0</v>
      </c>
      <c r="CU203" s="968">
        <f>WWWW[[#This Row],[% Access to unimproved water points]]*WWWW[[#This Row],[Total PoP ]]</f>
        <v>0</v>
      </c>
      <c r="CV20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0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03" s="968">
        <f>WWWW[[#This Row],[HRP1]]/500</f>
        <v>0</v>
      </c>
      <c r="CY203" s="973">
        <f>1-WWWW[[#This Row],[% Equitable and continuous access to sufficient quantity of domestic water]]</f>
        <v>1</v>
      </c>
      <c r="CZ203" s="968">
        <f>WWWW[[#This Row],[%equitable and continuous access to sufficient quantity of safe drinking and domestic water''s GAP]]*WWWW[[#This Row],[Total PoP ]]</f>
        <v>120</v>
      </c>
      <c r="DA203" s="971">
        <f>IF(WWWW[[#This Row],[Total required water points]]-WWWW[[#This Row],['#Water points coverage]]&lt;0,0,WWWW[[#This Row],[Total required water points]]-WWWW[[#This Row],['#Water points coverage]])</f>
        <v>1</v>
      </c>
      <c r="DB203" s="971">
        <f>ROUND(IF(WWWW[[#This Row],[Total PoP ]]&lt;500,1,WWWW[[#This Row],[Total PoP ]]/500),0)</f>
        <v>1</v>
      </c>
      <c r="DC203" s="971">
        <f>(WWWW[[#This Row],['#_Constructed latrines_by_WASHAgencies]]+WWWW[[#This Row],['#_Non Cluster partner latrines]])-WWWW[[#This Row],['#_Non-functional latrines]]</f>
        <v>0</v>
      </c>
      <c r="DD203" s="619">
        <f>WWWW[[#This Row],[HRP2]]/WWWW[[#This Row],[Total PoP ]]</f>
        <v>0</v>
      </c>
      <c r="DE20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0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3" s="421">
        <f>IF(WWWW[[#This Row],['# of functional latrines in THF supported by WASH partners during the reporting period2]]="",0,WWWW[[#This Row],['# of functional latrines in THF supported by WASH partners during the reporting period2]]*50)</f>
        <v>0</v>
      </c>
      <c r="DI203" s="971">
        <f>ROUND(IF(WWWW[[#This Row],[Location Type 1]]="camp",WWWW[[#This Row],[Total PoP ]]/20,IF(WWWW[[#This Row],[Location Type 1]]="Temporary Location",WWWW[[#This Row],[Total PoP ]]/50,(WWWW[[#This Row],[Total PoP ]]/6))),0)</f>
        <v>6</v>
      </c>
      <c r="DJ203" s="971">
        <f>IF(WWWW[[#This Row],[Total required Latrines]]-(WWWW[[#This Row],['#_Constructed latrines_by_WASHAgencies]]+WWWW[[#This Row],['#_Non Cluster partner latrines]])&lt;0,0,WWWW[[#This Row],[Total required Latrines]]-(WWWW[[#This Row],['#_Constructed latrines_by_WASHAgencies]]+WWWW[[#This Row],['#_Non Cluster partner latrines]]))</f>
        <v>6</v>
      </c>
      <c r="DK203" s="973">
        <f>1-WWWW[[#This Row],[% people access to functioning Latrine]]</f>
        <v>1</v>
      </c>
      <c r="DL203" s="972">
        <f>IF(OR(WWWW[[#This Row],['#_Non-functional latrines]]="",WWWW[[#This Row],['#_Non-functional latrines]]=0),0,WWWW[[#This Row],['#_Non-functional latrines]]/(WWWW[[#This Row],['#_Constructed latrines_by_WASHAgencies]]+WWWW[[#This Row],['#_Non Cluster partner latrines]]))</f>
        <v>0</v>
      </c>
      <c r="DM203" s="968">
        <f>IF(500*(WWWW[[#This Row],['#_male hygiene promoters]]+WWWW[[#This Row],['#_female hygiene promoters]])&gt;WWWW[[#This Row],[Total PoP ]],WWWW[[#This Row],[Total PoP ]],500*(WWWW[[#This Row],['#_male hygiene promoters]]+WWWW[[#This Row],['#_female hygiene promoters]]))</f>
        <v>0</v>
      </c>
      <c r="DN20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O20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P203" s="971">
        <f>IF(WWWW[[#This Row],['# People with access to soap]]&gt;WWWW[[#This Row],['# People with access to Sanity Pads]],WWWW[[#This Row],['# People with access to soap]],WWWW[[#This Row],['# People with access to Sanity Pads]])</f>
        <v>45</v>
      </c>
      <c r="DQ203" s="971">
        <f>IF(WWWW[[#This Row],['# people reached by regular dedicated hygiene promotion_5]]&gt;WWWW[[#This Row],['# People received regular supply of hygiene items_6]],WWWW[[#This Row],['# people reached by regular dedicated hygiene promotion_5]],WWWW[[#This Row],['# People received regular supply of hygiene items_6]])</f>
        <v>45</v>
      </c>
      <c r="DR203" s="973">
        <f>IF(WWWW[[#This Row],[HRP3]]/WWWW[[#This Row],[Total PoP ]]&gt;1,1,WWWW[[#This Row],[HRP3]]/WWWW[[#This Row],[Total PoP ]])</f>
        <v>0.375</v>
      </c>
      <c r="DS203" s="972">
        <f>1-WWWW[[#This Row],[Hygiene Coverage%]]</f>
        <v>0.625</v>
      </c>
      <c r="DT203" s="970">
        <f>WWWW[[#This Row],['# people reached by regular dedicated hygiene promotion_5]]/WWWW[[#This Row],[Total PoP ]]</f>
        <v>0</v>
      </c>
      <c r="DU20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0.97297297297297303</v>
      </c>
      <c r="DV20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0.3783783783783784</v>
      </c>
      <c r="DW203" s="971">
        <f>WWWW[[#This Row],['#_Constructed/Existing hand washing stations]]-WWWW[[#This Row],['#_Non-Functional_hand_washing_stations]]</f>
        <v>0</v>
      </c>
      <c r="DX203" s="968">
        <f>IF(WWWW[[#This Row],['# Functional hand washing stations during reporting period]]*20&gt;WWWW[[#This Row],[Total HH]],WWWW[[#This Row],[Total HH]],WWWW[[#This Row],['# Functional hand washing stations during reporting period]]*20)</f>
        <v>0</v>
      </c>
      <c r="DY203" s="968">
        <f>IF(WWWW[[#This Row],[Is sufficient soap available for TLS? (Yes/No)]]="yes",WWWW[[#This Row],['#_Constructed/Existing hand washing stations at TLS/CFS/THF]],0)</f>
        <v>0</v>
      </c>
      <c r="DZ203" s="425">
        <f>IF(WWWW[[#This Row],['# Functional hand washing stations during reporting period]]*100&gt;WWWW[[#This Row],[Total PoP ]],WWWW[[#This Row],[Total PoP ]],WWWW[[#This Row],['# Functional hand washing stations during reporting period]]*100)</f>
        <v>0</v>
      </c>
      <c r="EA203" s="425" t="str">
        <f>IF(OR(WWWW[[#This Row],['#_students at TLS_CFS]]="",WWWW[[#This Row],['#_students at TLS_CFS]]=0),"No","Yes")</f>
        <v>No</v>
      </c>
      <c r="EB20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3" s="570">
        <f>WWWW[[#This Row],[%_of_affected_people_surveyed_who_report_feeling_satistfied_with_the_latrine_design_and_sanitation_service]]*WWWW[[#This Row],[Total PoP ]]</f>
        <v>0</v>
      </c>
      <c r="ED203" s="570">
        <f>WWWW[[#This Row],[%_of_affected_people_surveyed_who_report_feeling_satistfied_with_the_water_point_design_and_water_service]]*WWWW[[#This Row],[Total PoP ]]</f>
        <v>0</v>
      </c>
      <c r="EE203" s="570">
        <f>WWWW[[#This Row],[%_of_complaints_received_that_result_in_timely_corrective_action_and_feedback_to_the_community]]*WWWW[[#This Row],[Total PoP ]]</f>
        <v>0</v>
      </c>
      <c r="EF20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0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3" s="964">
        <f>VLOOKUP(WWWW[[#This Row],[Site Name]],SiteDB6[[Site Name]:[CCCM Management]],6,FALSE)</f>
        <v>0</v>
      </c>
      <c r="EJ203" s="964" t="str">
        <f>VLOOKUP(WWWW[[#This Row],[Site Name]],SiteDB6[[Site Name]:[CCCM Focal Agency]],7,FALSE)</f>
        <v>uncovered</v>
      </c>
      <c r="EK203" s="964" t="str">
        <f>VLOOKUP(WWWW[[#This Row],[Site Name]],SiteDB6[[Site Name]:[Location Type 1]],9,FALSE)</f>
        <v>Camp</v>
      </c>
      <c r="EL203" s="964" t="str">
        <f>VLOOKUP(WWWW[[#This Row],[Site Name]],SiteDB6[[Site Name]:[Type of Accommodation]],10,FALSE)</f>
        <v>Camp like setting</v>
      </c>
      <c r="EM203" s="964" t="str">
        <f>VLOOKUP(WWWW[[#This Row],[Site Name]],SiteDB6[[Site Name]:[Ethnic or GCA/NGCA]],11,FALSE)</f>
        <v>GCA</v>
      </c>
      <c r="EN203" s="964">
        <f>VLOOKUP(WWWW[[#This Row],[Site Name]],SiteDB6[[Site Name]:[Lat]],12,FALSE)</f>
        <v>22.677008000000001</v>
      </c>
      <c r="EO203" s="964">
        <f>VLOOKUP(WWWW[[#This Row],[Site Name]],SiteDB6[[Site Name]:[Long]],13,FALSE)</f>
        <v>97.314762999999999</v>
      </c>
      <c r="EP203" s="964" t="str">
        <f>VLOOKUP(WWWW[[#This Row],[Site Name]],SiteDB6[[Site Name]:[Pcode]],3,FALSE)</f>
        <v>MMR015CMP062</v>
      </c>
      <c r="EQ203" s="969" t="str">
        <f t="shared" si="6"/>
        <v>Covered</v>
      </c>
      <c r="ER203" s="969" t="s">
        <v>3147</v>
      </c>
      <c r="ES203" s="964">
        <f>VLOOKUP(WWWW[[#This Row],[Site Name]],SiteDB6[[Site Name]:[Pop
(Kachin/Shan-CCCM as of March 2023)]],16,FALSE)</f>
        <v>37</v>
      </c>
      <c r="ET203" s="964">
        <f>VLOOKUP(WWWW[[#This Row],[Site Name]],SiteDB6[[Site Name]:[Pop
(Kachin/Shan-CCCM as of March 2023)]],17,FALSE)</f>
        <v>120</v>
      </c>
    </row>
    <row r="204" spans="1:150" hidden="1">
      <c r="A204" s="962" t="s">
        <v>2977</v>
      </c>
      <c r="B204" s="962" t="s">
        <v>242</v>
      </c>
      <c r="C204" s="963" t="s">
        <v>242</v>
      </c>
      <c r="D204" s="963" t="s">
        <v>3207</v>
      </c>
      <c r="E204" s="963" t="s">
        <v>37</v>
      </c>
      <c r="F204" s="963" t="s">
        <v>142</v>
      </c>
      <c r="G204" s="964" t="str">
        <f>VLOOKUP(WWWW[[#This Row],[Site Name]],SiteDB6[[Site Name]:[Location Type]],8,FALSE)</f>
        <v>Camp</v>
      </c>
      <c r="H204" s="963" t="s">
        <v>2876</v>
      </c>
      <c r="I204" s="965">
        <v>45</v>
      </c>
      <c r="J204" s="965">
        <v>221</v>
      </c>
      <c r="K204" s="966">
        <v>44927</v>
      </c>
      <c r="L204" s="967">
        <v>45291</v>
      </c>
      <c r="M204" s="965"/>
      <c r="N204" s="965"/>
      <c r="O204" s="965">
        <v>1</v>
      </c>
      <c r="P204" s="965"/>
      <c r="Q204" s="968" t="s">
        <v>41</v>
      </c>
      <c r="R204" s="965">
        <v>2</v>
      </c>
      <c r="S204" s="965">
        <v>5</v>
      </c>
      <c r="T204" s="445">
        <v>1</v>
      </c>
      <c r="U204" s="965"/>
      <c r="V204" s="965"/>
      <c r="W204" s="965">
        <v>1</v>
      </c>
      <c r="X204" s="965"/>
      <c r="Y204" s="965"/>
      <c r="Z204" s="965"/>
      <c r="AA204" s="965"/>
      <c r="AB204" s="965"/>
      <c r="AC204" s="965"/>
      <c r="AD204" s="965"/>
      <c r="AE204" s="965"/>
      <c r="AF204" s="965"/>
      <c r="AG204" s="965"/>
      <c r="AH204" s="965"/>
      <c r="AI204" s="965"/>
      <c r="AJ204" s="965"/>
      <c r="AK204" s="965"/>
      <c r="AL204" s="965"/>
      <c r="AM204" s="965"/>
      <c r="AN204" s="965"/>
      <c r="AO204" s="445"/>
      <c r="AP204" s="969" t="s">
        <v>3220</v>
      </c>
      <c r="AQ204" s="965">
        <v>10</v>
      </c>
      <c r="AR204" s="965"/>
      <c r="AS204" s="970"/>
      <c r="AT204" s="965">
        <v>2</v>
      </c>
      <c r="AU204" s="965"/>
      <c r="AV204" s="965"/>
      <c r="AW204" s="965"/>
      <c r="AX204" s="965"/>
      <c r="AY204" s="964" t="s">
        <v>41</v>
      </c>
      <c r="AZ204" s="969" t="s">
        <v>137</v>
      </c>
      <c r="BA204" s="965"/>
      <c r="BB204" s="965"/>
      <c r="BC204" s="965"/>
      <c r="BD204" s="445"/>
      <c r="BE204" s="445"/>
      <c r="BF204" s="964"/>
      <c r="BG204" s="965">
        <v>10</v>
      </c>
      <c r="BH204" s="965"/>
      <c r="BI204" s="965"/>
      <c r="BJ204" s="965">
        <v>2</v>
      </c>
      <c r="BK204" s="965"/>
      <c r="BL204" s="965"/>
      <c r="BM204" s="965">
        <v>1</v>
      </c>
      <c r="BN204" s="965">
        <v>45</v>
      </c>
      <c r="BO204" s="965"/>
      <c r="BP204" s="964"/>
      <c r="BQ204" s="971">
        <v>1</v>
      </c>
      <c r="BR204" s="970">
        <v>0.5</v>
      </c>
      <c r="BS204" s="964"/>
      <c r="BT204" s="420">
        <v>0.98</v>
      </c>
      <c r="BU204" s="420">
        <v>0.9</v>
      </c>
      <c r="BV204" s="422"/>
      <c r="BW204" s="420">
        <v>0.99</v>
      </c>
      <c r="BX204" s="445"/>
      <c r="BY204" s="445"/>
      <c r="BZ204" s="445"/>
      <c r="CA204" s="445"/>
      <c r="CB204" s="445"/>
      <c r="CC204" s="702"/>
      <c r="CD204" s="445"/>
      <c r="CE204" s="972" t="str">
        <f>IFERROR(WWWW[[#This Row],['#_Water sources passed]]/WWWW[[#This Row],['#_Water sources tested for fecal coliform ]],"no test")</f>
        <v>no test</v>
      </c>
      <c r="CF204" s="970" t="str">
        <f>IFERROR(WWWW[[#This Row],['#_Household passed]]/WWWW[[#This Row],['#_Household water samples tested for fecal coliform]],"no test")</f>
        <v>no test</v>
      </c>
      <c r="CG204" s="971" t="str">
        <f>IF(AND(WWWW[[#This Row],[% of water sources passed]]="no test",WWWW[[#This Row],[% Household passed]]="no test"),"No Test","Tested")</f>
        <v>No Test</v>
      </c>
      <c r="CH204" s="971">
        <f>WWWW[[#This Row],['#_Constructed/existing protected hand dug well]]-WWWW[[#This Row],['#_Non-functional protected hand dug well]]</f>
        <v>1</v>
      </c>
      <c r="CI204" s="971">
        <f>(WWWW[[#This Row],['#_Constructed/Existing tube wells/boreholes/handpumps_WASH_agency]]+WWWW[[#This Row],['#_Non-Cluster partner water tube-wells/boreholes/handpumps]])-WWWW[[#This Row],['#_Non-functional tube wells/boreholes/handpumps]]</f>
        <v>1</v>
      </c>
      <c r="CJ204" s="971">
        <f>WWWW[[#This Row],['#_Constructed/Existingwater storage tank with gravity fed reticulation system]]-WWWW[[#This Row],['#_Non-functional storage tank gravity fed reticulation system]]</f>
        <v>0</v>
      </c>
      <c r="CK204" s="971">
        <f>(WWWW[[#This Row],['#_Water_Liters_supplied_by_Water boating or water trucking]]/90)/15</f>
        <v>0</v>
      </c>
      <c r="CL204" s="971">
        <f>WWWW[[#This Row],['#_Water_Liters_from_Constructed/Existing water distribution system from river or natural spring]]/90/15</f>
        <v>0</v>
      </c>
      <c r="CM204" s="421">
        <f>IF(WWWW[[#This Row],['#_of water points in TLS/CFS]]*500&gt;WWWW[[#This Row],[Total PoP ]],WWWW[[#This Row],[Total PoP ]],WWWW[[#This Row],['#_of water points in TLS/CFS]]*500)</f>
        <v>0</v>
      </c>
      <c r="CN204" s="421">
        <f>IF(WWWW[[#This Row],['#_of water points in THF]]*500&gt;WWWW[[#This Row],[Total PoP ]],WWWW[[#This Row],[Total PoP ]],WWWW[[#This Row],['#_of water points in THF]]*500)</f>
        <v>0</v>
      </c>
      <c r="CO204" s="421"/>
      <c r="CP20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4" s="970">
        <f>IF(WWWW[[#This Row],[Location Type 1]]="Village",WWWW[[#This Row],[Access to safe drinking water for Village]],WWWW[[#This Row],[Access to safe drinking water for Camp]])</f>
        <v>1</v>
      </c>
      <c r="CS204" s="968">
        <f>WWWW[[#This Row],[%Equitable and continuous access to sufficient quantity of safe drinking water]]*WWWW[[#This Row],[Total PoP ]]</f>
        <v>221</v>
      </c>
      <c r="CT204" s="970">
        <f>IF((WWWW[[#This Row],['#_Constructed/Existing protected/fenced ponds]]*250)/WWWW[[#This Row],[Total PoP ]]&gt;1,1,(WWWW[[#This Row],['#_Constructed/Existing protected/fenced ponds]]*250)/WWWW[[#This Row],[Total PoP ]])</f>
        <v>0</v>
      </c>
      <c r="CU204" s="968">
        <f>WWWW[[#This Row],[% Access to unimproved water points]]*WWWW[[#This Row],[Total PoP ]]</f>
        <v>0</v>
      </c>
      <c r="CV20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204" s="968">
        <f>WWWW[[#This Row],[HRP1]]/500</f>
        <v>0.442</v>
      </c>
      <c r="CY204" s="973">
        <f>1-WWWW[[#This Row],[% Equitable and continuous access to sufficient quantity of domestic water]]</f>
        <v>0</v>
      </c>
      <c r="CZ204" s="968">
        <f>WWWW[[#This Row],[%equitable and continuous access to sufficient quantity of safe drinking and domestic water''s GAP]]*WWWW[[#This Row],[Total PoP ]]</f>
        <v>0</v>
      </c>
      <c r="DA204" s="971">
        <f>IF(WWWW[[#This Row],[Total required water points]]-WWWW[[#This Row],['#Water points coverage]]&lt;0,0,WWWW[[#This Row],[Total required water points]]-WWWW[[#This Row],['#Water points coverage]])</f>
        <v>0.55800000000000005</v>
      </c>
      <c r="DB204" s="971">
        <f>ROUND(IF(WWWW[[#This Row],[Total PoP ]]&lt;500,1,WWWW[[#This Row],[Total PoP ]]/500),0)</f>
        <v>1</v>
      </c>
      <c r="DC204" s="971">
        <f>(WWWW[[#This Row],['#_Constructed latrines_by_WASHAgencies]]+WWWW[[#This Row],['#_Non Cluster partner latrines]])-WWWW[[#This Row],['#_Non-functional latrines]]</f>
        <v>8</v>
      </c>
      <c r="DD204" s="619">
        <f>WWWW[[#This Row],[HRP2]]/WWWW[[#This Row],[Total PoP ]]</f>
        <v>0.72398190045248867</v>
      </c>
      <c r="DE20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0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4" s="421">
        <f>IF(WWWW[[#This Row],['# of functional latrines in THF supported by WASH partners during the reporting period2]]="",0,WWWW[[#This Row],['# of functional latrines in THF supported by WASH partners during the reporting period2]]*50)</f>
        <v>0</v>
      </c>
      <c r="DI204" s="971">
        <f>ROUND(IF(WWWW[[#This Row],[Location Type 1]]="camp",WWWW[[#This Row],[Total PoP ]]/20,IF(WWWW[[#This Row],[Location Type 1]]="Temporary Location",WWWW[[#This Row],[Total PoP ]]/50,(WWWW[[#This Row],[Total PoP ]]/6))),0)</f>
        <v>11</v>
      </c>
      <c r="DJ204" s="971">
        <f>IF(WWWW[[#This Row],[Total required Latrines]]-(WWWW[[#This Row],['#_Constructed latrines_by_WASHAgencies]]+WWWW[[#This Row],['#_Non Cluster partner latrines]])&lt;0,0,WWWW[[#This Row],[Total required Latrines]]-(WWWW[[#This Row],['#_Constructed latrines_by_WASHAgencies]]+WWWW[[#This Row],['#_Non Cluster partner latrines]]))</f>
        <v>1</v>
      </c>
      <c r="DK204" s="973">
        <f>1-WWWW[[#This Row],[% people access to functioning Latrine]]</f>
        <v>0.27601809954751133</v>
      </c>
      <c r="DL204" s="972">
        <f>IF(OR(WWWW[[#This Row],['#_Non-functional latrines]]="",WWWW[[#This Row],['#_Non-functional latrines]]=0),0,WWWW[[#This Row],['#_Non-functional latrines]]/(WWWW[[#This Row],['#_Constructed latrines_by_WASHAgencies]]+WWWW[[#This Row],['#_Non Cluster partner latrines]]))</f>
        <v>0.2</v>
      </c>
      <c r="DM204" s="968">
        <f>IF(500*(WWWW[[#This Row],['#_male hygiene promoters]]+WWWW[[#This Row],['#_female hygiene promoters]])&gt;WWWW[[#This Row],[Total PoP ]],WWWW[[#This Row],[Total PoP ]],500*(WWWW[[#This Row],['#_male hygiene promoters]]+WWWW[[#This Row],['#_female hygiene promoters]]))</f>
        <v>221</v>
      </c>
      <c r="DN20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O20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4" s="971">
        <f>IF(WWWW[[#This Row],['# People with access to soap]]&gt;WWWW[[#This Row],['# People with access to Sanity Pads]],WWWW[[#This Row],['# People with access to soap]],WWWW[[#This Row],['# People with access to Sanity Pads]])</f>
        <v>221</v>
      </c>
      <c r="DQ204" s="971">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204" s="973">
        <f>IF(WWWW[[#This Row],[HRP3]]/WWWW[[#This Row],[Total PoP ]]&gt;1,1,WWWW[[#This Row],[HRP3]]/WWWW[[#This Row],[Total PoP ]])</f>
        <v>1</v>
      </c>
      <c r="DS204" s="972">
        <f>1-WWWW[[#This Row],[Hygiene Coverage%]]</f>
        <v>0</v>
      </c>
      <c r="DT204" s="970">
        <f>WWWW[[#This Row],['# people reached by regular dedicated hygiene promotion_5]]/WWWW[[#This Row],[Total PoP ]]</f>
        <v>1</v>
      </c>
      <c r="DU20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4" s="971">
        <f>WWWW[[#This Row],['#_Constructed/Existing hand washing stations]]-WWWW[[#This Row],['#_Non-Functional_hand_washing_stations]]</f>
        <v>10</v>
      </c>
      <c r="DX204" s="968">
        <f>IF(WWWW[[#This Row],['# Functional hand washing stations during reporting period]]*20&gt;WWWW[[#This Row],[Total HH]],WWWW[[#This Row],[Total HH]],WWWW[[#This Row],['# Functional hand washing stations during reporting period]]*20)</f>
        <v>45</v>
      </c>
      <c r="DY204" s="968">
        <f>IF(WWWW[[#This Row],[Is sufficient soap available for TLS? (Yes/No)]]="yes",WWWW[[#This Row],['#_Constructed/Existing hand washing stations at TLS/CFS/THF]],0)</f>
        <v>0</v>
      </c>
      <c r="DZ204" s="425">
        <f>IF(WWWW[[#This Row],['# Functional hand washing stations during reporting period]]*100&gt;WWWW[[#This Row],[Total PoP ]],WWWW[[#This Row],[Total PoP ]],WWWW[[#This Row],['# Functional hand washing stations during reporting period]]*100)</f>
        <v>221</v>
      </c>
      <c r="EA204" s="425" t="str">
        <f>IF(OR(WWWW[[#This Row],['#_students at TLS_CFS]]="",WWWW[[#This Row],['#_students at TLS_CFS]]=0),"No","Yes")</f>
        <v>No</v>
      </c>
      <c r="EB20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4" s="570">
        <f>WWWW[[#This Row],[%_of_affected_people_surveyed_who_report_feeling_satistfied_with_the_latrine_design_and_sanitation_service]]*WWWW[[#This Row],[Total PoP ]]</f>
        <v>216.57999999999998</v>
      </c>
      <c r="ED204" s="570">
        <f>WWWW[[#This Row],[%_of_affected_people_surveyed_who_report_feeling_satistfied_with_the_water_point_design_and_water_service]]*WWWW[[#This Row],[Total PoP ]]</f>
        <v>198.9</v>
      </c>
      <c r="EE204" s="570">
        <f>WWWW[[#This Row],[%_of_complaints_received_that_result_in_timely_corrective_action_and_feedback_to_the_community]]*WWWW[[#This Row],[Total PoP ]]</f>
        <v>218.79</v>
      </c>
      <c r="EF20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218.79</v>
      </c>
      <c r="EG20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4" s="964" t="str">
        <f>VLOOKUP(WWWW[[#This Row],[Site Name]],SiteDB6[[Site Name]:[CCCM Management]],6,FALSE)</f>
        <v>Yes</v>
      </c>
      <c r="EJ204" s="964" t="str">
        <f>VLOOKUP(WWWW[[#This Row],[Site Name]],SiteDB6[[Site Name]:[CCCM Focal Agency]],7,FALSE)</f>
        <v>Shalom</v>
      </c>
      <c r="EK204" s="964" t="str">
        <f>VLOOKUP(WWWW[[#This Row],[Site Name]],SiteDB6[[Site Name]:[Location Type 1]],9,FALSE)</f>
        <v>Camp</v>
      </c>
      <c r="EL204" s="964" t="str">
        <f>VLOOKUP(WWWW[[#This Row],[Site Name]],SiteDB6[[Site Name]:[Type of Accommodation]],10,FALSE)</f>
        <v>Camp</v>
      </c>
      <c r="EM204" s="964" t="str">
        <f>VLOOKUP(WWWW[[#This Row],[Site Name]],SiteDB6[[Site Name]:[Ethnic or GCA/NGCA]],11,FALSE)</f>
        <v>GCA</v>
      </c>
      <c r="EN204" s="964">
        <f>VLOOKUP(WWWW[[#This Row],[Site Name]],SiteDB6[[Site Name]:[Lat]],12,FALSE)</f>
        <v>25.345918166666699</v>
      </c>
      <c r="EO204" s="964">
        <f>VLOOKUP(WWWW[[#This Row],[Site Name]],SiteDB6[[Site Name]:[Long]],13,FALSE)</f>
        <v>97.437472666666693</v>
      </c>
      <c r="EP204" s="964" t="str">
        <f>VLOOKUP(WWWW[[#This Row],[Site Name]],SiteDB6[[Site Name]:[Pcode]],3,FALSE)</f>
        <v>MMR001CMP030</v>
      </c>
      <c r="EQ204" s="969" t="str">
        <f t="shared" ref="EQ204:EQ219" si="7">IF(C204="none","Notcovered","Covered")</f>
        <v>Covered</v>
      </c>
      <c r="ER204" s="969" t="s">
        <v>3147</v>
      </c>
      <c r="ES204" s="964">
        <f>VLOOKUP(WWWW[[#This Row],[Site Name]],SiteDB6[[Site Name]:[Pop
(Kachin/Shan-CCCM as of March 2023)]],16,FALSE)</f>
        <v>46</v>
      </c>
      <c r="ET204" s="964">
        <f>VLOOKUP(WWWW[[#This Row],[Site Name]],SiteDB6[[Site Name]:[Pop
(Kachin/Shan-CCCM as of March 2023)]],17,FALSE)</f>
        <v>229</v>
      </c>
    </row>
    <row r="205" spans="1:150" hidden="1">
      <c r="A205" s="962" t="s">
        <v>2977</v>
      </c>
      <c r="B205" s="962" t="s">
        <v>242</v>
      </c>
      <c r="C205" s="963" t="s">
        <v>242</v>
      </c>
      <c r="D205" s="963" t="s">
        <v>3207</v>
      </c>
      <c r="E205" s="963" t="s">
        <v>37</v>
      </c>
      <c r="F205" s="963" t="s">
        <v>159</v>
      </c>
      <c r="G205" s="964" t="str">
        <f>VLOOKUP(WWWW[[#This Row],[Site Name]],SiteDB6[[Site Name]:[Location Type]],8,FALSE)</f>
        <v>Camp</v>
      </c>
      <c r="H205" s="963" t="s">
        <v>263</v>
      </c>
      <c r="I205" s="965">
        <v>22</v>
      </c>
      <c r="J205" s="965">
        <v>82</v>
      </c>
      <c r="K205" s="966">
        <v>44927</v>
      </c>
      <c r="L205" s="967">
        <v>45291</v>
      </c>
      <c r="M205" s="965"/>
      <c r="N205" s="965"/>
      <c r="O205" s="965">
        <v>1</v>
      </c>
      <c r="P205" s="965"/>
      <c r="Q205" s="968" t="s">
        <v>41</v>
      </c>
      <c r="R205" s="965">
        <v>3</v>
      </c>
      <c r="S205" s="965">
        <v>2</v>
      </c>
      <c r="T205" s="445">
        <v>1</v>
      </c>
      <c r="U205" s="965">
        <v>1</v>
      </c>
      <c r="V205" s="965">
        <v>1</v>
      </c>
      <c r="W205" s="965">
        <v>2</v>
      </c>
      <c r="X205" s="965">
        <v>2</v>
      </c>
      <c r="Y205" s="965">
        <v>1</v>
      </c>
      <c r="Z205" s="965"/>
      <c r="AA205" s="965">
        <v>2</v>
      </c>
      <c r="AB205" s="965"/>
      <c r="AC205" s="965">
        <v>2</v>
      </c>
      <c r="AD205" s="965"/>
      <c r="AE205" s="965"/>
      <c r="AF205" s="965"/>
      <c r="AG205" s="965"/>
      <c r="AH205" s="965">
        <v>1</v>
      </c>
      <c r="AI205" s="965"/>
      <c r="AJ205" s="965"/>
      <c r="AK205" s="965"/>
      <c r="AL205" s="965"/>
      <c r="AM205" s="965"/>
      <c r="AN205" s="965"/>
      <c r="AO205" s="445"/>
      <c r="AP205" s="969"/>
      <c r="AQ205" s="965">
        <v>5</v>
      </c>
      <c r="AR205" s="965"/>
      <c r="AS205" s="970"/>
      <c r="AT205" s="965"/>
      <c r="AU205" s="965"/>
      <c r="AV205" s="965"/>
      <c r="AW205" s="965"/>
      <c r="AX205" s="965">
        <v>5</v>
      </c>
      <c r="AY205" s="964" t="s">
        <v>41</v>
      </c>
      <c r="AZ205" s="969" t="s">
        <v>137</v>
      </c>
      <c r="BA205" s="965"/>
      <c r="BB205" s="965"/>
      <c r="BC205" s="965"/>
      <c r="BD205" s="445"/>
      <c r="BE205" s="445"/>
      <c r="BF205" s="964"/>
      <c r="BG205" s="965">
        <v>5</v>
      </c>
      <c r="BH205" s="965"/>
      <c r="BI205" s="965">
        <v>2</v>
      </c>
      <c r="BJ205" s="965">
        <v>2</v>
      </c>
      <c r="BK205" s="965"/>
      <c r="BL205" s="965"/>
      <c r="BM205" s="965">
        <v>1</v>
      </c>
      <c r="BN205" s="965"/>
      <c r="BO205" s="965"/>
      <c r="BP205" s="964" t="s">
        <v>41</v>
      </c>
      <c r="BQ205" s="971">
        <v>1</v>
      </c>
      <c r="BR205" s="970">
        <v>0.5</v>
      </c>
      <c r="BS205" s="964"/>
      <c r="BT205" s="420">
        <v>0.75</v>
      </c>
      <c r="BU205" s="420"/>
      <c r="BV205" s="422"/>
      <c r="BW205" s="420"/>
      <c r="BX205" s="445"/>
      <c r="BY205" s="445"/>
      <c r="BZ205" s="445"/>
      <c r="CA205" s="445"/>
      <c r="CB205" s="445"/>
      <c r="CC205" s="702"/>
      <c r="CD205" s="445"/>
      <c r="CE205" s="972" t="str">
        <f>IFERROR(WWWW[[#This Row],['#_Water sources passed]]/WWWW[[#This Row],['#_Water sources tested for fecal coliform ]],"no test")</f>
        <v>no test</v>
      </c>
      <c r="CF205" s="970" t="str">
        <f>IFERROR(WWWW[[#This Row],['#_Household passed]]/WWWW[[#This Row],['#_Household water samples tested for fecal coliform]],"no test")</f>
        <v>no test</v>
      </c>
      <c r="CG205" s="971" t="str">
        <f>IF(AND(WWWW[[#This Row],[% of water sources passed]]="no test",WWWW[[#This Row],[% Household passed]]="no test"),"No Test","Tested")</f>
        <v>No Test</v>
      </c>
      <c r="CH205" s="971">
        <f>WWWW[[#This Row],['#_Constructed/existing protected hand dug well]]-WWWW[[#This Row],['#_Non-functional protected hand dug well]]</f>
        <v>0</v>
      </c>
      <c r="CI205" s="971">
        <f>(WWWW[[#This Row],['#_Constructed/Existing tube wells/boreholes/handpumps_WASH_agency]]+WWWW[[#This Row],['#_Non-Cluster partner water tube-wells/boreholes/handpumps]])-WWWW[[#This Row],['#_Non-functional tube wells/boreholes/handpumps]]</f>
        <v>3</v>
      </c>
      <c r="CJ205" s="971">
        <f>WWWW[[#This Row],['#_Constructed/Existingwater storage tank with gravity fed reticulation system]]-WWWW[[#This Row],['#_Non-functional storage tank gravity fed reticulation system]]</f>
        <v>2</v>
      </c>
      <c r="CK205" s="971">
        <f>(WWWW[[#This Row],['#_Water_Liters_supplied_by_Water boating or water trucking]]/90)/15</f>
        <v>0</v>
      </c>
      <c r="CL205" s="971">
        <f>WWWW[[#This Row],['#_Water_Liters_from_Constructed/Existing water distribution system from river or natural spring]]/90/15</f>
        <v>0</v>
      </c>
      <c r="CM205" s="421">
        <f>IF(WWWW[[#This Row],['#_of water points in TLS/CFS]]*500&gt;WWWW[[#This Row],[Total PoP ]],WWWW[[#This Row],[Total PoP ]],WWWW[[#This Row],['#_of water points in TLS/CFS]]*500)</f>
        <v>0</v>
      </c>
      <c r="CN205" s="421">
        <f>IF(WWWW[[#This Row],['#_of water points in THF]]*500&gt;WWWW[[#This Row],[Total PoP ]],WWWW[[#This Row],[Total PoP ]],WWWW[[#This Row],['#_of water points in THF]]*500)</f>
        <v>0</v>
      </c>
      <c r="CO205" s="421"/>
      <c r="CP20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5" s="970">
        <f>IF(WWWW[[#This Row],[Location Type 1]]="Village",WWWW[[#This Row],[Access to safe drinking water for Village]],WWWW[[#This Row],[Access to safe drinking water for Camp]])</f>
        <v>1</v>
      </c>
      <c r="CS205" s="968">
        <f>WWWW[[#This Row],[%Equitable and continuous access to sufficient quantity of safe drinking water]]*WWWW[[#This Row],[Total PoP ]]</f>
        <v>82</v>
      </c>
      <c r="CT205" s="970">
        <f>IF((WWWW[[#This Row],['#_Constructed/Existing protected/fenced ponds]]*250)/WWWW[[#This Row],[Total PoP ]]&gt;1,1,(WWWW[[#This Row],['#_Constructed/Existing protected/fenced ponds]]*250)/WWWW[[#This Row],[Total PoP ]])</f>
        <v>0</v>
      </c>
      <c r="CU205" s="968">
        <f>WWWW[[#This Row],[% Access to unimproved water points]]*WWWW[[#This Row],[Total PoP ]]</f>
        <v>0</v>
      </c>
      <c r="CV20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X205" s="968">
        <f>WWWW[[#This Row],[HRP1]]/500</f>
        <v>0.16400000000000001</v>
      </c>
      <c r="CY205" s="973">
        <f>1-WWWW[[#This Row],[% Equitable and continuous access to sufficient quantity of domestic water]]</f>
        <v>0</v>
      </c>
      <c r="CZ205" s="968">
        <f>WWWW[[#This Row],[%equitable and continuous access to sufficient quantity of safe drinking and domestic water''s GAP]]*WWWW[[#This Row],[Total PoP ]]</f>
        <v>0</v>
      </c>
      <c r="DA205" s="971">
        <f>IF(WWWW[[#This Row],[Total required water points]]-WWWW[[#This Row],['#Water points coverage]]&lt;0,0,WWWW[[#This Row],[Total required water points]]-WWWW[[#This Row],['#Water points coverage]])</f>
        <v>0.83599999999999997</v>
      </c>
      <c r="DB205" s="971">
        <f>ROUND(IF(WWWW[[#This Row],[Total PoP ]]&lt;500,1,WWWW[[#This Row],[Total PoP ]]/500),0)</f>
        <v>1</v>
      </c>
      <c r="DC205" s="971">
        <f>(WWWW[[#This Row],['#_Constructed latrines_by_WASHAgencies]]+WWWW[[#This Row],['#_Non Cluster partner latrines]])-WWWW[[#This Row],['#_Non-functional latrines]]</f>
        <v>5</v>
      </c>
      <c r="DD205" s="619">
        <f>WWWW[[#This Row],[HRP2]]/WWWW[[#This Row],[Total PoP ]]</f>
        <v>1</v>
      </c>
      <c r="DE20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v>
      </c>
      <c r="DF20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5" s="421">
        <f>IF(WWWW[[#This Row],['# of functional latrines in THF supported by WASH partners during the reporting period2]]="",0,WWWW[[#This Row],['# of functional latrines in THF supported by WASH partners during the reporting period2]]*50)</f>
        <v>0</v>
      </c>
      <c r="DI205" s="971">
        <f>ROUND(IF(WWWW[[#This Row],[Location Type 1]]="camp",WWWW[[#This Row],[Total PoP ]]/20,IF(WWWW[[#This Row],[Location Type 1]]="Temporary Location",WWWW[[#This Row],[Total PoP ]]/50,(WWWW[[#This Row],[Total PoP ]]/6))),0)</f>
        <v>4</v>
      </c>
      <c r="DJ205" s="971">
        <f>IF(WWWW[[#This Row],[Total required Latrines]]-(WWWW[[#This Row],['#_Constructed latrines_by_WASHAgencies]]+WWWW[[#This Row],['#_Non Cluster partner latrines]])&lt;0,0,WWWW[[#This Row],[Total required Latrines]]-(WWWW[[#This Row],['#_Constructed latrines_by_WASHAgencies]]+WWWW[[#This Row],['#_Non Cluster partner latrines]]))</f>
        <v>0</v>
      </c>
      <c r="DK205" s="973">
        <f>1-WWWW[[#This Row],[% people access to functioning Latrine]]</f>
        <v>0</v>
      </c>
      <c r="DL205" s="972">
        <f>IF(OR(WWWW[[#This Row],['#_Non-functional latrines]]="",WWWW[[#This Row],['#_Non-functional latrines]]=0),0,WWWW[[#This Row],['#_Non-functional latrines]]/(WWWW[[#This Row],['#_Constructed latrines_by_WASHAgencies]]+WWWW[[#This Row],['#_Non Cluster partner latrines]]))</f>
        <v>0</v>
      </c>
      <c r="DM205" s="968">
        <f>IF(500*(WWWW[[#This Row],['#_male hygiene promoters]]+WWWW[[#This Row],['#_female hygiene promoters]])&gt;WWWW[[#This Row],[Total PoP ]],WWWW[[#This Row],[Total PoP ]],500*(WWWW[[#This Row],['#_male hygiene promoters]]+WWWW[[#This Row],['#_female hygiene promoters]]))</f>
        <v>82</v>
      </c>
      <c r="DN20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5" s="971">
        <f>IF(WWWW[[#This Row],['# People with access to soap]]&gt;WWWW[[#This Row],['# People with access to Sanity Pads]],WWWW[[#This Row],['# People with access to soap]],WWWW[[#This Row],['# People with access to Sanity Pads]])</f>
        <v>0</v>
      </c>
      <c r="DQ205" s="971">
        <f>IF(WWWW[[#This Row],['# people reached by regular dedicated hygiene promotion_5]]&gt;WWWW[[#This Row],['# People received regular supply of hygiene items_6]],WWWW[[#This Row],['# people reached by regular dedicated hygiene promotion_5]],WWWW[[#This Row],['# People received regular supply of hygiene items_6]])</f>
        <v>82</v>
      </c>
      <c r="DR205" s="973">
        <f>IF(WWWW[[#This Row],[HRP3]]/WWWW[[#This Row],[Total PoP ]]&gt;1,1,WWWW[[#This Row],[HRP3]]/WWWW[[#This Row],[Total PoP ]])</f>
        <v>1</v>
      </c>
      <c r="DS205" s="972">
        <f>1-WWWW[[#This Row],[Hygiene Coverage%]]</f>
        <v>0</v>
      </c>
      <c r="DT205" s="970">
        <f>WWWW[[#This Row],['# people reached by regular dedicated hygiene promotion_5]]/WWWW[[#This Row],[Total PoP ]]</f>
        <v>1</v>
      </c>
      <c r="DU20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5" s="971">
        <f>WWWW[[#This Row],['#_Constructed/Existing hand washing stations]]-WWWW[[#This Row],['#_Non-Functional_hand_washing_stations]]</f>
        <v>5</v>
      </c>
      <c r="DX205" s="968">
        <f>IF(WWWW[[#This Row],['# Functional hand washing stations during reporting period]]*20&gt;WWWW[[#This Row],[Total HH]],WWWW[[#This Row],[Total HH]],WWWW[[#This Row],['# Functional hand washing stations during reporting period]]*20)</f>
        <v>22</v>
      </c>
      <c r="DY205" s="968">
        <f>IF(WWWW[[#This Row],[Is sufficient soap available for TLS? (Yes/No)]]="yes",WWWW[[#This Row],['#_Constructed/Existing hand washing stations at TLS/CFS/THF]],0)</f>
        <v>0</v>
      </c>
      <c r="DZ205" s="425">
        <f>IF(WWWW[[#This Row],['# Functional hand washing stations during reporting period]]*100&gt;WWWW[[#This Row],[Total PoP ]],WWWW[[#This Row],[Total PoP ]],WWWW[[#This Row],['# Functional hand washing stations during reporting period]]*100)</f>
        <v>82</v>
      </c>
      <c r="EA205" s="425" t="str">
        <f>IF(OR(WWWW[[#This Row],['#_students at TLS_CFS]]="",WWWW[[#This Row],['#_students at TLS_CFS]]=0),"No","Yes")</f>
        <v>No</v>
      </c>
      <c r="EB205"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5" s="570">
        <f>WWWW[[#This Row],[%_of_affected_people_surveyed_who_report_feeling_satistfied_with_the_latrine_design_and_sanitation_service]]*WWWW[[#This Row],[Total PoP ]]</f>
        <v>61.5</v>
      </c>
      <c r="ED205" s="570">
        <f>WWWW[[#This Row],[%_of_affected_people_surveyed_who_report_feeling_satistfied_with_the_water_point_design_and_water_service]]*WWWW[[#This Row],[Total PoP ]]</f>
        <v>0</v>
      </c>
      <c r="EE205" s="570">
        <f>WWWW[[#This Row],[%_of_complaints_received_that_result_in_timely_corrective_action_and_feedback_to_the_community]]*WWWW[[#This Row],[Total PoP ]]</f>
        <v>0</v>
      </c>
      <c r="EF20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61.5</v>
      </c>
      <c r="EG20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5" s="964" t="str">
        <f>VLOOKUP(WWWW[[#This Row],[Site Name]],SiteDB6[[Site Name]:[CCCM Management]],6,FALSE)</f>
        <v>Yes</v>
      </c>
      <c r="EJ205" s="964" t="str">
        <f>VLOOKUP(WWWW[[#This Row],[Site Name]],SiteDB6[[Site Name]:[CCCM Focal Agency]],7,FALSE)</f>
        <v>Shalom</v>
      </c>
      <c r="EK205" s="964" t="str">
        <f>VLOOKUP(WWWW[[#This Row],[Site Name]],SiteDB6[[Site Name]:[Location Type 1]],9,FALSE)</f>
        <v>Camp</v>
      </c>
      <c r="EL205" s="964" t="str">
        <f>VLOOKUP(WWWW[[#This Row],[Site Name]],SiteDB6[[Site Name]:[Type of Accommodation]],10,FALSE)</f>
        <v>Camp</v>
      </c>
      <c r="EM205" s="964" t="str">
        <f>VLOOKUP(WWWW[[#This Row],[Site Name]],SiteDB6[[Site Name]:[Ethnic or GCA/NGCA]],11,FALSE)</f>
        <v>GCA</v>
      </c>
      <c r="EN205" s="964">
        <f>VLOOKUP(WWWW[[#This Row],[Site Name]],SiteDB6[[Site Name]:[Lat]],12,FALSE)</f>
        <v>25.374343974359</v>
      </c>
      <c r="EO205" s="964">
        <f>VLOOKUP(WWWW[[#This Row],[Site Name]],SiteDB6[[Site Name]:[Long]],13,FALSE)</f>
        <v>97.2843958974359</v>
      </c>
      <c r="EP205" s="964" t="str">
        <f>VLOOKUP(WWWW[[#This Row],[Site Name]],SiteDB6[[Site Name]:[Pcode]],3,FALSE)</f>
        <v>MMR001CMP020</v>
      </c>
      <c r="EQ205" s="969" t="str">
        <f t="shared" si="7"/>
        <v>Covered</v>
      </c>
      <c r="ER205" s="969" t="s">
        <v>3147</v>
      </c>
      <c r="ES205" s="964">
        <f>VLOOKUP(WWWW[[#This Row],[Site Name]],SiteDB6[[Site Name]:[Pop
(Kachin/Shan-CCCM as of March 2023)]],16,FALSE)</f>
        <v>19</v>
      </c>
      <c r="ET205" s="964">
        <f>VLOOKUP(WWWW[[#This Row],[Site Name]],SiteDB6[[Site Name]:[Pop
(Kachin/Shan-CCCM as of March 2023)]],17,FALSE)</f>
        <v>81</v>
      </c>
    </row>
    <row r="206" spans="1:150" hidden="1">
      <c r="A206" s="962" t="s">
        <v>2977</v>
      </c>
      <c r="B206" s="962" t="s">
        <v>242</v>
      </c>
      <c r="C206" s="963" t="s">
        <v>242</v>
      </c>
      <c r="D206" s="963" t="s">
        <v>3207</v>
      </c>
      <c r="E206" s="963" t="s">
        <v>37</v>
      </c>
      <c r="F206" s="963" t="s">
        <v>159</v>
      </c>
      <c r="G206" s="964" t="str">
        <f>VLOOKUP(WWWW[[#This Row],[Site Name]],SiteDB6[[Site Name]:[Location Type]],8,FALSE)</f>
        <v>Camp</v>
      </c>
      <c r="H206" s="963" t="s">
        <v>264</v>
      </c>
      <c r="I206" s="965">
        <v>18</v>
      </c>
      <c r="J206" s="965">
        <v>78</v>
      </c>
      <c r="K206" s="966">
        <v>44927</v>
      </c>
      <c r="L206" s="967">
        <v>45291</v>
      </c>
      <c r="M206" s="965"/>
      <c r="N206" s="965"/>
      <c r="O206" s="965">
        <v>1</v>
      </c>
      <c r="P206" s="965"/>
      <c r="Q206" s="968" t="s">
        <v>41</v>
      </c>
      <c r="R206" s="965">
        <v>2</v>
      </c>
      <c r="S206" s="965">
        <v>4</v>
      </c>
      <c r="T206" s="445">
        <v>3</v>
      </c>
      <c r="U206" s="965">
        <v>1</v>
      </c>
      <c r="V206" s="965"/>
      <c r="W206" s="965">
        <v>2</v>
      </c>
      <c r="X206" s="965">
        <v>2</v>
      </c>
      <c r="Y206" s="965">
        <v>1</v>
      </c>
      <c r="Z206" s="965"/>
      <c r="AA206" s="965"/>
      <c r="AB206" s="965"/>
      <c r="AC206" s="965"/>
      <c r="AD206" s="965"/>
      <c r="AE206" s="965">
        <v>2</v>
      </c>
      <c r="AF206" s="965"/>
      <c r="AG206" s="965"/>
      <c r="AH206" s="965">
        <v>3</v>
      </c>
      <c r="AI206" s="965"/>
      <c r="AJ206" s="965"/>
      <c r="AK206" s="965"/>
      <c r="AL206" s="965"/>
      <c r="AM206" s="965">
        <v>4</v>
      </c>
      <c r="AN206" s="965">
        <v>1</v>
      </c>
      <c r="AO206" s="445"/>
      <c r="AP206" s="969"/>
      <c r="AQ206" s="965">
        <v>6</v>
      </c>
      <c r="AR206" s="965"/>
      <c r="AS206" s="970" t="s">
        <v>242</v>
      </c>
      <c r="AT206" s="965">
        <v>1</v>
      </c>
      <c r="AU206" s="965">
        <v>1</v>
      </c>
      <c r="AV206" s="965"/>
      <c r="AW206" s="965"/>
      <c r="AX206" s="965"/>
      <c r="AY206" s="964" t="s">
        <v>41</v>
      </c>
      <c r="AZ206" s="969" t="s">
        <v>137</v>
      </c>
      <c r="BA206" s="965"/>
      <c r="BB206" s="965"/>
      <c r="BC206" s="965"/>
      <c r="BD206" s="445"/>
      <c r="BE206" s="445">
        <v>78</v>
      </c>
      <c r="BF206" s="964"/>
      <c r="BG206" s="965">
        <v>4</v>
      </c>
      <c r="BH206" s="965">
        <v>2</v>
      </c>
      <c r="BI206" s="965"/>
      <c r="BJ206" s="965">
        <v>2</v>
      </c>
      <c r="BK206" s="965"/>
      <c r="BL206" s="965"/>
      <c r="BM206" s="965">
        <v>1</v>
      </c>
      <c r="BN206" s="965">
        <v>18</v>
      </c>
      <c r="BO206" s="965">
        <v>24</v>
      </c>
      <c r="BP206" s="964" t="s">
        <v>41</v>
      </c>
      <c r="BQ206" s="971">
        <v>1</v>
      </c>
      <c r="BR206" s="970">
        <v>0.8</v>
      </c>
      <c r="BS206" s="964"/>
      <c r="BT206" s="420">
        <v>0.8</v>
      </c>
      <c r="BU206" s="420">
        <v>0.8</v>
      </c>
      <c r="BV206" s="422"/>
      <c r="BW206" s="420">
        <v>0.8</v>
      </c>
      <c r="BX206" s="445"/>
      <c r="BY206" s="445"/>
      <c r="BZ206" s="445"/>
      <c r="CA206" s="445"/>
      <c r="CB206" s="445"/>
      <c r="CC206" s="702"/>
      <c r="CD206" s="445"/>
      <c r="CE206" s="972" t="str">
        <f>IFERROR(WWWW[[#This Row],['#_Water sources passed]]/WWWW[[#This Row],['#_Water sources tested for fecal coliform ]],"no test")</f>
        <v>no test</v>
      </c>
      <c r="CF206" s="970" t="str">
        <f>IFERROR(WWWW[[#This Row],['#_Household passed]]/WWWW[[#This Row],['#_Household water samples tested for fecal coliform]],"no test")</f>
        <v>no test</v>
      </c>
      <c r="CG206" s="971" t="str">
        <f>IF(AND(WWWW[[#This Row],[% of water sources passed]]="no test",WWWW[[#This Row],[% Household passed]]="no test"),"No Test","Tested")</f>
        <v>No Test</v>
      </c>
      <c r="CH206" s="971">
        <f>WWWW[[#This Row],['#_Constructed/existing protected hand dug well]]-WWWW[[#This Row],['#_Non-functional protected hand dug well]]</f>
        <v>2</v>
      </c>
      <c r="CI206" s="971">
        <f>(WWWW[[#This Row],['#_Constructed/Existing tube wells/boreholes/handpumps_WASH_agency]]+WWWW[[#This Row],['#_Non-Cluster partner water tube-wells/boreholes/handpumps]])-WWWW[[#This Row],['#_Non-functional tube wells/boreholes/handpumps]]</f>
        <v>3</v>
      </c>
      <c r="CJ206" s="971">
        <f>WWWW[[#This Row],['#_Constructed/Existingwater storage tank with gravity fed reticulation system]]-WWWW[[#This Row],['#_Non-functional storage tank gravity fed reticulation system]]</f>
        <v>0</v>
      </c>
      <c r="CK206" s="971">
        <f>(WWWW[[#This Row],['#_Water_Liters_supplied_by_Water boating or water trucking]]/90)/15</f>
        <v>0</v>
      </c>
      <c r="CL206" s="971">
        <f>WWWW[[#This Row],['#_Water_Liters_from_Constructed/Existing water distribution system from river or natural spring]]/90/15</f>
        <v>0</v>
      </c>
      <c r="CM206" s="421">
        <f>IF(WWWW[[#This Row],['#_of water points in TLS/CFS]]*500&gt;WWWW[[#This Row],[Total PoP ]],WWWW[[#This Row],[Total PoP ]],WWWW[[#This Row],['#_of water points in TLS/CFS]]*500)</f>
        <v>78</v>
      </c>
      <c r="CN206" s="421">
        <f>IF(WWWW[[#This Row],['#_of water points in THF]]*500&gt;WWWW[[#This Row],[Total PoP ]],WWWW[[#This Row],[Total PoP ]],WWWW[[#This Row],['#_of water points in THF]]*500)</f>
        <v>0</v>
      </c>
      <c r="CO206" s="421"/>
      <c r="CP20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6" s="970">
        <f>IF(WWWW[[#This Row],[Location Type 1]]="Village",WWWW[[#This Row],[Access to safe drinking water for Village]],WWWW[[#This Row],[Access to safe drinking water for Camp]])</f>
        <v>1</v>
      </c>
      <c r="CS206" s="968">
        <f>WWWW[[#This Row],[%Equitable and continuous access to sufficient quantity of safe drinking water]]*WWWW[[#This Row],[Total PoP ]]</f>
        <v>78</v>
      </c>
      <c r="CT206" s="970">
        <f>IF((WWWW[[#This Row],['#_Constructed/Existing protected/fenced ponds]]*250)/WWWW[[#This Row],[Total PoP ]]&gt;1,1,(WWWW[[#This Row],['#_Constructed/Existing protected/fenced ponds]]*250)/WWWW[[#This Row],[Total PoP ]])</f>
        <v>1</v>
      </c>
      <c r="CU206" s="968">
        <f>WWWW[[#This Row],[% Access to unimproved water points]]*WWWW[[#This Row],[Total PoP ]]</f>
        <v>78</v>
      </c>
      <c r="CV20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X206" s="968">
        <f>WWWW[[#This Row],[HRP1]]/500</f>
        <v>0.156</v>
      </c>
      <c r="CY206" s="973">
        <f>1-WWWW[[#This Row],[% Equitable and continuous access to sufficient quantity of domestic water]]</f>
        <v>0</v>
      </c>
      <c r="CZ206" s="968">
        <f>WWWW[[#This Row],[%equitable and continuous access to sufficient quantity of safe drinking and domestic water''s GAP]]*WWWW[[#This Row],[Total PoP ]]</f>
        <v>0</v>
      </c>
      <c r="DA206" s="971">
        <f>IF(WWWW[[#This Row],[Total required water points]]-WWWW[[#This Row],['#Water points coverage]]&lt;0,0,WWWW[[#This Row],[Total required water points]]-WWWW[[#This Row],['#Water points coverage]])</f>
        <v>0.84399999999999997</v>
      </c>
      <c r="DB206" s="971">
        <f>ROUND(IF(WWWW[[#This Row],[Total PoP ]]&lt;500,1,WWWW[[#This Row],[Total PoP ]]/500),0)</f>
        <v>1</v>
      </c>
      <c r="DC206" s="971">
        <f>(WWWW[[#This Row],['#_Constructed latrines_by_WASHAgencies]]+WWWW[[#This Row],['#_Non Cluster partner latrines]])-WWWW[[#This Row],['#_Non-functional latrines]]</f>
        <v>5</v>
      </c>
      <c r="DD206" s="619">
        <f>WWWW[[#This Row],[HRP2]]/WWWW[[#This Row],[Total PoP ]]</f>
        <v>1</v>
      </c>
      <c r="DE20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v>
      </c>
      <c r="DF20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6" s="421">
        <f>IF(WWWW[[#This Row],['# of functional latrines in THF supported by WASH partners during the reporting period2]]="",0,WWWW[[#This Row],['# of functional latrines in THF supported by WASH partners during the reporting period2]]*50)</f>
        <v>0</v>
      </c>
      <c r="DI206" s="971">
        <f>ROUND(IF(WWWW[[#This Row],[Location Type 1]]="camp",WWWW[[#This Row],[Total PoP ]]/20,IF(WWWW[[#This Row],[Location Type 1]]="Temporary Location",WWWW[[#This Row],[Total PoP ]]/50,(WWWW[[#This Row],[Total PoP ]]/6))),0)</f>
        <v>4</v>
      </c>
      <c r="DJ206" s="971">
        <f>IF(WWWW[[#This Row],[Total required Latrines]]-(WWWW[[#This Row],['#_Constructed latrines_by_WASHAgencies]]+WWWW[[#This Row],['#_Non Cluster partner latrines]])&lt;0,0,WWWW[[#This Row],[Total required Latrines]]-(WWWW[[#This Row],['#_Constructed latrines_by_WASHAgencies]]+WWWW[[#This Row],['#_Non Cluster partner latrines]]))</f>
        <v>0</v>
      </c>
      <c r="DK206" s="973">
        <f>1-WWWW[[#This Row],[% people access to functioning Latrine]]</f>
        <v>0</v>
      </c>
      <c r="DL206" s="972">
        <f>IF(OR(WWWW[[#This Row],['#_Non-functional latrines]]="",WWWW[[#This Row],['#_Non-functional latrines]]=0),0,WWWW[[#This Row],['#_Non-functional latrines]]/(WWWW[[#This Row],['#_Constructed latrines_by_WASHAgencies]]+WWWW[[#This Row],['#_Non Cluster partner latrines]]))</f>
        <v>0.16666666666666666</v>
      </c>
      <c r="DM206" s="968">
        <f>IF(500*(WWWW[[#This Row],['#_male hygiene promoters]]+WWWW[[#This Row],['#_female hygiene promoters]])&gt;WWWW[[#This Row],[Total PoP ]],WWWW[[#This Row],[Total PoP ]],500*(WWWW[[#This Row],['#_male hygiene promoters]]+WWWW[[#This Row],['#_female hygiene promoters]]))</f>
        <v>78</v>
      </c>
      <c r="DN20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v>
      </c>
      <c r="DO20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206" s="971">
        <f>IF(WWWW[[#This Row],['# People with access to soap]]&gt;WWWW[[#This Row],['# People with access to Sanity Pads]],WWWW[[#This Row],['# People with access to soap]],WWWW[[#This Row],['# People with access to Sanity Pads]])</f>
        <v>78</v>
      </c>
      <c r="DQ206" s="971">
        <f>IF(WWWW[[#This Row],['# people reached by regular dedicated hygiene promotion_5]]&gt;WWWW[[#This Row],['# People received regular supply of hygiene items_6]],WWWW[[#This Row],['# people reached by regular dedicated hygiene promotion_5]],WWWW[[#This Row],['# People received regular supply of hygiene items_6]])</f>
        <v>78</v>
      </c>
      <c r="DR206" s="973">
        <f>IF(WWWW[[#This Row],[HRP3]]/WWWW[[#This Row],[Total PoP ]]&gt;1,1,WWWW[[#This Row],[HRP3]]/WWWW[[#This Row],[Total PoP ]])</f>
        <v>1</v>
      </c>
      <c r="DS206" s="972">
        <f>1-WWWW[[#This Row],[Hygiene Coverage%]]</f>
        <v>0</v>
      </c>
      <c r="DT206" s="970">
        <f>WWWW[[#This Row],['# people reached by regular dedicated hygiene promotion_5]]/WWWW[[#This Row],[Total PoP ]]</f>
        <v>1</v>
      </c>
      <c r="DU20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06" s="971">
        <f>WWWW[[#This Row],['#_Constructed/Existing hand washing stations]]-WWWW[[#This Row],['#_Non-Functional_hand_washing_stations]]</f>
        <v>2</v>
      </c>
      <c r="DX206" s="968">
        <f>IF(WWWW[[#This Row],['# Functional hand washing stations during reporting period]]*20&gt;WWWW[[#This Row],[Total HH]],WWWW[[#This Row],[Total HH]],WWWW[[#This Row],['# Functional hand washing stations during reporting period]]*20)</f>
        <v>18</v>
      </c>
      <c r="DY206" s="968">
        <f>IF(WWWW[[#This Row],[Is sufficient soap available for TLS? (Yes/No)]]="yes",WWWW[[#This Row],['#_Constructed/Existing hand washing stations at TLS/CFS/THF]],0)</f>
        <v>4</v>
      </c>
      <c r="DZ206" s="425">
        <f>IF(WWWW[[#This Row],['# Functional hand washing stations during reporting period]]*100&gt;WWWW[[#This Row],[Total PoP ]],WWWW[[#This Row],[Total PoP ]],WWWW[[#This Row],['# Functional hand washing stations during reporting period]]*100)</f>
        <v>78</v>
      </c>
      <c r="EA206" s="425" t="str">
        <f>IF(OR(WWWW[[#This Row],['#_students at TLS_CFS]]="",WWWW[[#This Row],['#_students at TLS_CFS]]=0),"No","Yes")</f>
        <v>No</v>
      </c>
      <c r="EB20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6" s="570">
        <f>WWWW[[#This Row],[%_of_affected_people_surveyed_who_report_feeling_satistfied_with_the_latrine_design_and_sanitation_service]]*WWWW[[#This Row],[Total PoP ]]</f>
        <v>62.400000000000006</v>
      </c>
      <c r="ED206" s="570">
        <f>WWWW[[#This Row],[%_of_affected_people_surveyed_who_report_feeling_satistfied_with_the_water_point_design_and_water_service]]*WWWW[[#This Row],[Total PoP ]]</f>
        <v>62.400000000000006</v>
      </c>
      <c r="EE206" s="570">
        <f>WWWW[[#This Row],[%_of_complaints_received_that_result_in_timely_corrective_action_and_feedback_to_the_community]]*WWWW[[#This Row],[Total PoP ]]</f>
        <v>62.400000000000006</v>
      </c>
      <c r="EF20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62.400000000000006</v>
      </c>
      <c r="EG20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78</v>
      </c>
      <c r="EH20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6" s="964" t="str">
        <f>VLOOKUP(WWWW[[#This Row],[Site Name]],SiteDB6[[Site Name]:[CCCM Management]],6,FALSE)</f>
        <v>Yes</v>
      </c>
      <c r="EJ206" s="964" t="str">
        <f>VLOOKUP(WWWW[[#This Row],[Site Name]],SiteDB6[[Site Name]:[CCCM Focal Agency]],7,FALSE)</f>
        <v>Shalom</v>
      </c>
      <c r="EK206" s="964" t="str">
        <f>VLOOKUP(WWWW[[#This Row],[Site Name]],SiteDB6[[Site Name]:[Location Type 1]],9,FALSE)</f>
        <v>Camp</v>
      </c>
      <c r="EL206" s="964" t="str">
        <f>VLOOKUP(WWWW[[#This Row],[Site Name]],SiteDB6[[Site Name]:[Type of Accommodation]],10,FALSE)</f>
        <v>Camp</v>
      </c>
      <c r="EM206" s="964" t="str">
        <f>VLOOKUP(WWWW[[#This Row],[Site Name]],SiteDB6[[Site Name]:[Ethnic or GCA/NGCA]],11,FALSE)</f>
        <v>GCA</v>
      </c>
      <c r="EN206" s="964">
        <f>VLOOKUP(WWWW[[#This Row],[Site Name]],SiteDB6[[Site Name]:[Lat]],12,FALSE)</f>
        <v>25.371049444444399</v>
      </c>
      <c r="EO206" s="964">
        <f>VLOOKUP(WWWW[[#This Row],[Site Name]],SiteDB6[[Site Name]:[Long]],13,FALSE)</f>
        <v>97.290952037037002</v>
      </c>
      <c r="EP206" s="964" t="str">
        <f>VLOOKUP(WWWW[[#This Row],[Site Name]],SiteDB6[[Site Name]:[Pcode]],3,FALSE)</f>
        <v>MMR001CMP021</v>
      </c>
      <c r="EQ206" s="969" t="str">
        <f t="shared" si="7"/>
        <v>Covered</v>
      </c>
      <c r="ER206" s="969" t="s">
        <v>3147</v>
      </c>
      <c r="ES206" s="964">
        <f>VLOOKUP(WWWW[[#This Row],[Site Name]],SiteDB6[[Site Name]:[Pop
(Kachin/Shan-CCCM as of March 2023)]],16,FALSE)</f>
        <v>29</v>
      </c>
      <c r="ET206" s="964">
        <f>VLOOKUP(WWWW[[#This Row],[Site Name]],SiteDB6[[Site Name]:[Pop
(Kachin/Shan-CCCM as of March 2023)]],17,FALSE)</f>
        <v>174</v>
      </c>
    </row>
    <row r="207" spans="1:150" hidden="1">
      <c r="A207" s="962" t="s">
        <v>2977</v>
      </c>
      <c r="B207" s="962" t="s">
        <v>242</v>
      </c>
      <c r="C207" s="963" t="s">
        <v>242</v>
      </c>
      <c r="D207" s="963" t="s">
        <v>3207</v>
      </c>
      <c r="E207" s="963" t="s">
        <v>37</v>
      </c>
      <c r="F207" s="963" t="s">
        <v>148</v>
      </c>
      <c r="G207" s="964" t="str">
        <f>VLOOKUP(WWWW[[#This Row],[Site Name]],SiteDB6[[Site Name]:[Location Type]],8,FALSE)</f>
        <v>Camp</v>
      </c>
      <c r="H207" s="963" t="s">
        <v>258</v>
      </c>
      <c r="I207" s="965">
        <v>7</v>
      </c>
      <c r="J207" s="965">
        <v>24</v>
      </c>
      <c r="K207" s="966">
        <v>44927</v>
      </c>
      <c r="L207" s="967">
        <v>45291</v>
      </c>
      <c r="M207" s="965"/>
      <c r="N207" s="965"/>
      <c r="O207" s="965">
        <v>1</v>
      </c>
      <c r="P207" s="965"/>
      <c r="Q207" s="968" t="s">
        <v>41</v>
      </c>
      <c r="R207" s="965">
        <v>3</v>
      </c>
      <c r="S207" s="965">
        <v>4</v>
      </c>
      <c r="T207" s="445">
        <v>1</v>
      </c>
      <c r="U207" s="965">
        <v>1</v>
      </c>
      <c r="V207" s="965"/>
      <c r="W207" s="965">
        <v>1</v>
      </c>
      <c r="X207" s="965"/>
      <c r="Y207" s="965">
        <v>1</v>
      </c>
      <c r="Z207" s="965"/>
      <c r="AA207" s="965">
        <v>1</v>
      </c>
      <c r="AB207" s="965"/>
      <c r="AC207" s="965">
        <v>1</v>
      </c>
      <c r="AD207" s="965">
        <v>1500</v>
      </c>
      <c r="AE207" s="965">
        <v>1</v>
      </c>
      <c r="AF207" s="965"/>
      <c r="AG207" s="965">
        <v>1</v>
      </c>
      <c r="AH207" s="965">
        <v>1</v>
      </c>
      <c r="AI207" s="965"/>
      <c r="AJ207" s="965"/>
      <c r="AK207" s="965"/>
      <c r="AL207" s="965"/>
      <c r="AM207" s="965"/>
      <c r="AN207" s="965"/>
      <c r="AO207" s="445"/>
      <c r="AP207" s="969"/>
      <c r="AQ207" s="965">
        <v>3</v>
      </c>
      <c r="AR207" s="965"/>
      <c r="AS207" s="970"/>
      <c r="AT207" s="965"/>
      <c r="AU207" s="965"/>
      <c r="AV207" s="965"/>
      <c r="AW207" s="965"/>
      <c r="AX207" s="965"/>
      <c r="AY207" s="964" t="s">
        <v>41</v>
      </c>
      <c r="AZ207" s="969" t="s">
        <v>136</v>
      </c>
      <c r="BA207" s="965"/>
      <c r="BB207" s="965"/>
      <c r="BC207" s="965"/>
      <c r="BD207" s="445"/>
      <c r="BE207" s="445"/>
      <c r="BF207" s="964"/>
      <c r="BG207" s="965">
        <v>2</v>
      </c>
      <c r="BH207" s="965">
        <v>2</v>
      </c>
      <c r="BI207" s="965"/>
      <c r="BJ207" s="965">
        <v>2</v>
      </c>
      <c r="BK207" s="965"/>
      <c r="BL207" s="965">
        <v>1</v>
      </c>
      <c r="BM207" s="965"/>
      <c r="BN207" s="965">
        <v>7</v>
      </c>
      <c r="BO207" s="965">
        <v>4</v>
      </c>
      <c r="BP207" s="964" t="s">
        <v>136</v>
      </c>
      <c r="BQ207" s="971"/>
      <c r="BR207" s="970"/>
      <c r="BS207" s="964"/>
      <c r="BT207" s="420">
        <v>0.75</v>
      </c>
      <c r="BU207" s="420">
        <v>0.75</v>
      </c>
      <c r="BV207" s="422">
        <v>3</v>
      </c>
      <c r="BW207" s="420">
        <v>0.9</v>
      </c>
      <c r="BX207" s="445"/>
      <c r="BY207" s="445"/>
      <c r="BZ207" s="445"/>
      <c r="CA207" s="445"/>
      <c r="CB207" s="445"/>
      <c r="CC207" s="702"/>
      <c r="CD207" s="445"/>
      <c r="CE207" s="972" t="str">
        <f>IFERROR(WWWW[[#This Row],['#_Water sources passed]]/WWWW[[#This Row],['#_Water sources tested for fecal coliform ]],"no test")</f>
        <v>no test</v>
      </c>
      <c r="CF207" s="970" t="str">
        <f>IFERROR(WWWW[[#This Row],['#_Household passed]]/WWWW[[#This Row],['#_Household water samples tested for fecal coliform]],"no test")</f>
        <v>no test</v>
      </c>
      <c r="CG207" s="971" t="str">
        <f>IF(AND(WWWW[[#This Row],[% of water sources passed]]="no test",WWWW[[#This Row],[% Household passed]]="no test"),"No Test","Tested")</f>
        <v>No Test</v>
      </c>
      <c r="CH207" s="971">
        <f>WWWW[[#This Row],['#_Constructed/existing protected hand dug well]]-WWWW[[#This Row],['#_Non-functional protected hand dug well]]</f>
        <v>0</v>
      </c>
      <c r="CI207" s="971">
        <f>(WWWW[[#This Row],['#_Constructed/Existing tube wells/boreholes/handpumps_WASH_agency]]+WWWW[[#This Row],['#_Non-Cluster partner water tube-wells/boreholes/handpumps]])-WWWW[[#This Row],['#_Non-functional tube wells/boreholes/handpumps]]</f>
        <v>0</v>
      </c>
      <c r="CJ207" s="971">
        <f>WWWW[[#This Row],['#_Constructed/Existingwater storage tank with gravity fed reticulation system]]-WWWW[[#This Row],['#_Non-functional storage tank gravity fed reticulation system]]</f>
        <v>1</v>
      </c>
      <c r="CK207" s="971">
        <f>(WWWW[[#This Row],['#_Water_Liters_supplied_by_Water boating or water trucking]]/90)/15</f>
        <v>1.1111111111111112</v>
      </c>
      <c r="CL207" s="971">
        <f>WWWW[[#This Row],['#_Water_Liters_from_Constructed/Existing water distribution system from river or natural spring]]/90/15</f>
        <v>0</v>
      </c>
      <c r="CM207" s="421">
        <f>IF(WWWW[[#This Row],['#_of water points in TLS/CFS]]*500&gt;WWWW[[#This Row],[Total PoP ]],WWWW[[#This Row],[Total PoP ]],WWWW[[#This Row],['#_of water points in TLS/CFS]]*500)</f>
        <v>0</v>
      </c>
      <c r="CN207" s="421">
        <f>IF(WWWW[[#This Row],['#_of water points in THF]]*500&gt;WWWW[[#This Row],[Total PoP ]],WWWW[[#This Row],[Total PoP ]],WWWW[[#This Row],['#_of water points in THF]]*500)</f>
        <v>0</v>
      </c>
      <c r="CO207" s="421"/>
      <c r="CP20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7" s="970">
        <f>IF(WWWW[[#This Row],[Location Type 1]]="Village",WWWW[[#This Row],[Access to safe drinking water for Village]],WWWW[[#This Row],[Access to safe drinking water for Camp]])</f>
        <v>1</v>
      </c>
      <c r="CS207" s="968">
        <f>WWWW[[#This Row],[%Equitable and continuous access to sufficient quantity of safe drinking water]]*WWWW[[#This Row],[Total PoP ]]</f>
        <v>24</v>
      </c>
      <c r="CT207" s="970">
        <f>IF((WWWW[[#This Row],['#_Constructed/Existing protected/fenced ponds]]*250)/WWWW[[#This Row],[Total PoP ]]&gt;1,1,(WWWW[[#This Row],['#_Constructed/Existing protected/fenced ponds]]*250)/WWWW[[#This Row],[Total PoP ]])</f>
        <v>1</v>
      </c>
      <c r="CU207" s="968">
        <f>WWWW[[#This Row],[% Access to unimproved water points]]*WWWW[[#This Row],[Total PoP ]]</f>
        <v>24</v>
      </c>
      <c r="CV20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X207" s="968">
        <f>WWWW[[#This Row],[HRP1]]/500</f>
        <v>4.8000000000000001E-2</v>
      </c>
      <c r="CY207" s="973">
        <f>1-WWWW[[#This Row],[% Equitable and continuous access to sufficient quantity of domestic water]]</f>
        <v>0</v>
      </c>
      <c r="CZ207" s="968">
        <f>WWWW[[#This Row],[%equitable and continuous access to sufficient quantity of safe drinking and domestic water''s GAP]]*WWWW[[#This Row],[Total PoP ]]</f>
        <v>0</v>
      </c>
      <c r="DA207" s="971">
        <f>IF(WWWW[[#This Row],[Total required water points]]-WWWW[[#This Row],['#Water points coverage]]&lt;0,0,WWWW[[#This Row],[Total required water points]]-WWWW[[#This Row],['#Water points coverage]])</f>
        <v>0.95199999999999996</v>
      </c>
      <c r="DB207" s="971">
        <f>ROUND(IF(WWWW[[#This Row],[Total PoP ]]&lt;500,1,WWWW[[#This Row],[Total PoP ]]/500),0)</f>
        <v>1</v>
      </c>
      <c r="DC207" s="971">
        <f>(WWWW[[#This Row],['#_Constructed latrines_by_WASHAgencies]]+WWWW[[#This Row],['#_Non Cluster partner latrines]])-WWWW[[#This Row],['#_Non-functional latrines]]</f>
        <v>3</v>
      </c>
      <c r="DD207" s="619">
        <f>WWWW[[#This Row],[HRP2]]/WWWW[[#This Row],[Total PoP ]]</f>
        <v>1</v>
      </c>
      <c r="DE20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20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7" s="421">
        <f>IF(WWWW[[#This Row],['# of functional latrines in THF supported by WASH partners during the reporting period2]]="",0,WWWW[[#This Row],['# of functional latrines in THF supported by WASH partners during the reporting period2]]*50)</f>
        <v>0</v>
      </c>
      <c r="DI207" s="971">
        <f>ROUND(IF(WWWW[[#This Row],[Location Type 1]]="camp",WWWW[[#This Row],[Total PoP ]]/20,IF(WWWW[[#This Row],[Location Type 1]]="Temporary Location",WWWW[[#This Row],[Total PoP ]]/50,(WWWW[[#This Row],[Total PoP ]]/6))),0)</f>
        <v>1</v>
      </c>
      <c r="DJ207" s="971">
        <f>IF(WWWW[[#This Row],[Total required Latrines]]-(WWWW[[#This Row],['#_Constructed latrines_by_WASHAgencies]]+WWWW[[#This Row],['#_Non Cluster partner latrines]])&lt;0,0,WWWW[[#This Row],[Total required Latrines]]-(WWWW[[#This Row],['#_Constructed latrines_by_WASHAgencies]]+WWWW[[#This Row],['#_Non Cluster partner latrines]]))</f>
        <v>0</v>
      </c>
      <c r="DK207" s="973">
        <f>1-WWWW[[#This Row],[% people access to functioning Latrine]]</f>
        <v>0</v>
      </c>
      <c r="DL207" s="972">
        <f>IF(OR(WWWW[[#This Row],['#_Non-functional latrines]]="",WWWW[[#This Row],['#_Non-functional latrines]]=0),0,WWWW[[#This Row],['#_Non-functional latrines]]/(WWWW[[#This Row],['#_Constructed latrines_by_WASHAgencies]]+WWWW[[#This Row],['#_Non Cluster partner latrines]]))</f>
        <v>0</v>
      </c>
      <c r="DM207" s="968">
        <f>IF(500*(WWWW[[#This Row],['#_male hygiene promoters]]+WWWW[[#This Row],['#_female hygiene promoters]])&gt;WWWW[[#This Row],[Total PoP ]],WWWW[[#This Row],[Total PoP ]],500*(WWWW[[#This Row],['#_male hygiene promoters]]+WWWW[[#This Row],['#_female hygiene promoters]]))</f>
        <v>24</v>
      </c>
      <c r="DN20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O20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P207" s="971">
        <f>IF(WWWW[[#This Row],['# People with access to soap]]&gt;WWWW[[#This Row],['# People with access to Sanity Pads]],WWWW[[#This Row],['# People with access to soap]],WWWW[[#This Row],['# People with access to Sanity Pads]])</f>
        <v>24</v>
      </c>
      <c r="DQ207" s="971">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207" s="973">
        <f>IF(WWWW[[#This Row],[HRP3]]/WWWW[[#This Row],[Total PoP ]]&gt;1,1,WWWW[[#This Row],[HRP3]]/WWWW[[#This Row],[Total PoP ]])</f>
        <v>1</v>
      </c>
      <c r="DS207" s="972">
        <f>1-WWWW[[#This Row],[Hygiene Coverage%]]</f>
        <v>0</v>
      </c>
      <c r="DT207" s="970">
        <f>WWWW[[#This Row],['# people reached by regular dedicated hygiene promotion_5]]/WWWW[[#This Row],[Total PoP ]]</f>
        <v>1</v>
      </c>
      <c r="DU20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W207" s="971">
        <f>WWWW[[#This Row],['#_Constructed/Existing hand washing stations]]-WWWW[[#This Row],['#_Non-Functional_hand_washing_stations]]</f>
        <v>0</v>
      </c>
      <c r="DX207" s="968">
        <f>IF(WWWW[[#This Row],['# Functional hand washing stations during reporting period]]*20&gt;WWWW[[#This Row],[Total HH]],WWWW[[#This Row],[Total HH]],WWWW[[#This Row],['# Functional hand washing stations during reporting period]]*20)</f>
        <v>0</v>
      </c>
      <c r="DY207" s="968">
        <f>IF(WWWW[[#This Row],[Is sufficient soap available for TLS? (Yes/No)]]="yes",WWWW[[#This Row],['#_Constructed/Existing hand washing stations at TLS/CFS/THF]],0)</f>
        <v>0</v>
      </c>
      <c r="DZ207" s="425">
        <f>IF(WWWW[[#This Row],['# Functional hand washing stations during reporting period]]*100&gt;WWWW[[#This Row],[Total PoP ]],WWWW[[#This Row],[Total PoP ]],WWWW[[#This Row],['# Functional hand washing stations during reporting period]]*100)</f>
        <v>0</v>
      </c>
      <c r="EA207" s="425" t="str">
        <f>IF(OR(WWWW[[#This Row],['#_students at TLS_CFS]]="",WWWW[[#This Row],['#_students at TLS_CFS]]=0),"No","Yes")</f>
        <v>No</v>
      </c>
      <c r="EB207" s="619">
        <f>IF(WWWW[[#This Row],['#_of_affected_people_surveyed_who_report_feeling_informed_about_the_different_WASH_services_available_to_them]]="","",WWWW[[#This Row],['#_of_affected_people_surveyed_who_report_feeling_informed_about_the_different_WASH_services_available_to_them]]/WWWW[[#This Row],[Total PoP ]])</f>
        <v>0.125</v>
      </c>
      <c r="EC207" s="570">
        <f>WWWW[[#This Row],[%_of_affected_people_surveyed_who_report_feeling_satistfied_with_the_latrine_design_and_sanitation_service]]*WWWW[[#This Row],[Total PoP ]]</f>
        <v>18</v>
      </c>
      <c r="ED207" s="570">
        <f>WWWW[[#This Row],[%_of_affected_people_surveyed_who_report_feeling_satistfied_with_the_water_point_design_and_water_service]]*WWWW[[#This Row],[Total PoP ]]</f>
        <v>18</v>
      </c>
      <c r="EE207" s="570">
        <f>WWWW[[#This Row],[%_of_complaints_received_that_result_in_timely_corrective_action_and_feedback_to_the_community]]*WWWW[[#This Row],[Total PoP ]]</f>
        <v>21.6</v>
      </c>
      <c r="EF20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21.6</v>
      </c>
      <c r="EG20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7" s="964" t="str">
        <f>VLOOKUP(WWWW[[#This Row],[Site Name]],SiteDB6[[Site Name]:[CCCM Management]],6,FALSE)</f>
        <v>Yes</v>
      </c>
      <c r="EJ207" s="964" t="str">
        <f>VLOOKUP(WWWW[[#This Row],[Site Name]],SiteDB6[[Site Name]:[CCCM Focal Agency]],7,FALSE)</f>
        <v>Shalom</v>
      </c>
      <c r="EK207" s="964" t="str">
        <f>VLOOKUP(WWWW[[#This Row],[Site Name]],SiteDB6[[Site Name]:[Location Type 1]],9,FALSE)</f>
        <v>Camp</v>
      </c>
      <c r="EL207" s="964" t="str">
        <f>VLOOKUP(WWWW[[#This Row],[Site Name]],SiteDB6[[Site Name]:[Type of Accommodation]],10,FALSE)</f>
        <v>Camp like setting</v>
      </c>
      <c r="EM207" s="964" t="str">
        <f>VLOOKUP(WWWW[[#This Row],[Site Name]],SiteDB6[[Site Name]:[Ethnic or GCA/NGCA]],11,FALSE)</f>
        <v>GCA</v>
      </c>
      <c r="EN207" s="964">
        <f>VLOOKUP(WWWW[[#This Row],[Site Name]],SiteDB6[[Site Name]:[Lat]],12,FALSE)</f>
        <v>25.617998</v>
      </c>
      <c r="EO207" s="964">
        <f>VLOOKUP(WWWW[[#This Row],[Site Name]],SiteDB6[[Site Name]:[Long]],13,FALSE)</f>
        <v>96.339590000000001</v>
      </c>
      <c r="EP207" s="964" t="str">
        <f>VLOOKUP(WWWW[[#This Row],[Site Name]],SiteDB6[[Site Name]:[Pcode]],3,FALSE)</f>
        <v>MMR001CMP192</v>
      </c>
      <c r="EQ207" s="969" t="str">
        <f t="shared" si="7"/>
        <v>Covered</v>
      </c>
      <c r="ER207" s="969" t="s">
        <v>3147</v>
      </c>
      <c r="ES207" s="964">
        <f>VLOOKUP(WWWW[[#This Row],[Site Name]],SiteDB6[[Site Name]:[Pop
(Kachin/Shan-CCCM as of March 2023)]],16,FALSE)</f>
        <v>7</v>
      </c>
      <c r="ET207" s="964">
        <f>VLOOKUP(WWWW[[#This Row],[Site Name]],SiteDB6[[Site Name]:[Pop
(Kachin/Shan-CCCM as of March 2023)]],17,FALSE)</f>
        <v>24</v>
      </c>
    </row>
    <row r="208" spans="1:150" hidden="1">
      <c r="A208" s="962" t="s">
        <v>2977</v>
      </c>
      <c r="B208" s="962" t="s">
        <v>242</v>
      </c>
      <c r="C208" s="963" t="s">
        <v>242</v>
      </c>
      <c r="D208" s="963" t="s">
        <v>3207</v>
      </c>
      <c r="E208" s="963" t="s">
        <v>37</v>
      </c>
      <c r="F208" s="963" t="s">
        <v>142</v>
      </c>
      <c r="G208" s="964" t="str">
        <f>VLOOKUP(WWWW[[#This Row],[Site Name]],SiteDB6[[Site Name]:[Location Type]],8,FALSE)</f>
        <v>Camp</v>
      </c>
      <c r="H208" s="963" t="s">
        <v>270</v>
      </c>
      <c r="I208" s="965">
        <v>19</v>
      </c>
      <c r="J208" s="965">
        <v>86</v>
      </c>
      <c r="K208" s="966">
        <v>44927</v>
      </c>
      <c r="L208" s="967">
        <v>45291</v>
      </c>
      <c r="M208" s="965">
        <v>13</v>
      </c>
      <c r="N208" s="965"/>
      <c r="O208" s="965">
        <v>1</v>
      </c>
      <c r="P208" s="965"/>
      <c r="Q208" s="968" t="s">
        <v>41</v>
      </c>
      <c r="R208" s="965"/>
      <c r="S208" s="965">
        <v>5</v>
      </c>
      <c r="T208" s="445">
        <v>1</v>
      </c>
      <c r="U208" s="965"/>
      <c r="V208" s="965"/>
      <c r="W208" s="965"/>
      <c r="X208" s="965"/>
      <c r="Y208" s="965"/>
      <c r="Z208" s="965"/>
      <c r="AA208" s="965"/>
      <c r="AB208" s="965"/>
      <c r="AC208" s="965"/>
      <c r="AD208" s="965"/>
      <c r="AE208" s="965"/>
      <c r="AF208" s="965"/>
      <c r="AG208" s="965"/>
      <c r="AH208" s="965"/>
      <c r="AI208" s="965"/>
      <c r="AJ208" s="965"/>
      <c r="AK208" s="965"/>
      <c r="AL208" s="965"/>
      <c r="AM208" s="965">
        <v>2</v>
      </c>
      <c r="AN208" s="965"/>
      <c r="AO208" s="445"/>
      <c r="AP208" s="969" t="s">
        <v>3220</v>
      </c>
      <c r="AQ208" s="965">
        <v>4</v>
      </c>
      <c r="AR208" s="965"/>
      <c r="AS208" s="970"/>
      <c r="AT208" s="965"/>
      <c r="AU208" s="965"/>
      <c r="AV208" s="965">
        <v>3</v>
      </c>
      <c r="AW208" s="965"/>
      <c r="AX208" s="965"/>
      <c r="AY208" s="964" t="s">
        <v>41</v>
      </c>
      <c r="AZ208" s="969" t="s">
        <v>137</v>
      </c>
      <c r="BA208" s="965"/>
      <c r="BB208" s="965"/>
      <c r="BC208" s="965"/>
      <c r="BD208" s="445"/>
      <c r="BE208" s="445">
        <v>1</v>
      </c>
      <c r="BF208" s="964"/>
      <c r="BG208" s="965">
        <v>2</v>
      </c>
      <c r="BH208" s="965"/>
      <c r="BI208" s="965"/>
      <c r="BJ208" s="965">
        <v>2</v>
      </c>
      <c r="BK208" s="965"/>
      <c r="BL208" s="965"/>
      <c r="BM208" s="965">
        <v>1</v>
      </c>
      <c r="BN208" s="965">
        <v>19</v>
      </c>
      <c r="BO208" s="965"/>
      <c r="BP208" s="964"/>
      <c r="BQ208" s="971">
        <v>1</v>
      </c>
      <c r="BR208" s="970">
        <v>0.7</v>
      </c>
      <c r="BS208" s="964"/>
      <c r="BT208" s="420">
        <v>0.9</v>
      </c>
      <c r="BU208" s="420">
        <v>0.9</v>
      </c>
      <c r="BV208" s="422"/>
      <c r="BW208" s="420">
        <v>0.9</v>
      </c>
      <c r="BX208" s="445"/>
      <c r="BY208" s="445"/>
      <c r="BZ208" s="445"/>
      <c r="CA208" s="445"/>
      <c r="CB208" s="445"/>
      <c r="CC208" s="702"/>
      <c r="CD208" s="445"/>
      <c r="CE208" s="972" t="str">
        <f>IFERROR(WWWW[[#This Row],['#_Water sources passed]]/WWWW[[#This Row],['#_Water sources tested for fecal coliform ]],"no test")</f>
        <v>no test</v>
      </c>
      <c r="CF208" s="970" t="str">
        <f>IFERROR(WWWW[[#This Row],['#_Household passed]]/WWWW[[#This Row],['#_Household water samples tested for fecal coliform]],"no test")</f>
        <v>no test</v>
      </c>
      <c r="CG208" s="971" t="str">
        <f>IF(AND(WWWW[[#This Row],[% of water sources passed]]="no test",WWWW[[#This Row],[% Household passed]]="no test"),"No Test","Tested")</f>
        <v>No Test</v>
      </c>
      <c r="CH208" s="971">
        <f>WWWW[[#This Row],['#_Constructed/existing protected hand dug well]]-WWWW[[#This Row],['#_Non-functional protected hand dug well]]</f>
        <v>1</v>
      </c>
      <c r="CI208" s="971">
        <f>(WWWW[[#This Row],['#_Constructed/Existing tube wells/boreholes/handpumps_WASH_agency]]+WWWW[[#This Row],['#_Non-Cluster partner water tube-wells/boreholes/handpumps]])-WWWW[[#This Row],['#_Non-functional tube wells/boreholes/handpumps]]</f>
        <v>0</v>
      </c>
      <c r="CJ208" s="971">
        <f>WWWW[[#This Row],['#_Constructed/Existingwater storage tank with gravity fed reticulation system]]-WWWW[[#This Row],['#_Non-functional storage tank gravity fed reticulation system]]</f>
        <v>0</v>
      </c>
      <c r="CK208" s="971">
        <f>(WWWW[[#This Row],['#_Water_Liters_supplied_by_Water boating or water trucking]]/90)/15</f>
        <v>0</v>
      </c>
      <c r="CL208" s="971">
        <f>WWWW[[#This Row],['#_Water_Liters_from_Constructed/Existing water distribution system from river or natural spring]]/90/15</f>
        <v>0</v>
      </c>
      <c r="CM208" s="421">
        <f>IF(WWWW[[#This Row],['#_of water points in TLS/CFS]]*500&gt;WWWW[[#This Row],[Total PoP ]],WWWW[[#This Row],[Total PoP ]],WWWW[[#This Row],['#_of water points in TLS/CFS]]*500)</f>
        <v>0</v>
      </c>
      <c r="CN208" s="421">
        <f>IF(WWWW[[#This Row],['#_of water points in THF]]*500&gt;WWWW[[#This Row],[Total PoP ]],WWWW[[#This Row],[Total PoP ]],WWWW[[#This Row],['#_of water points in THF]]*500)</f>
        <v>0</v>
      </c>
      <c r="CO208" s="421"/>
      <c r="CP20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8" s="970">
        <f>IF(WWWW[[#This Row],[Location Type 1]]="Village",WWWW[[#This Row],[Access to safe drinking water for Village]],WWWW[[#This Row],[Access to safe drinking water for Camp]])</f>
        <v>1</v>
      </c>
      <c r="CS208" s="968">
        <f>WWWW[[#This Row],[%Equitable and continuous access to sufficient quantity of safe drinking water]]*WWWW[[#This Row],[Total PoP ]]</f>
        <v>86</v>
      </c>
      <c r="CT208" s="970">
        <f>IF((WWWW[[#This Row],['#_Constructed/Existing protected/fenced ponds]]*250)/WWWW[[#This Row],[Total PoP ]]&gt;1,1,(WWWW[[#This Row],['#_Constructed/Existing protected/fenced ponds]]*250)/WWWW[[#This Row],[Total PoP ]])</f>
        <v>0</v>
      </c>
      <c r="CU208" s="968">
        <f>WWWW[[#This Row],[% Access to unimproved water points]]*WWWW[[#This Row],[Total PoP ]]</f>
        <v>0</v>
      </c>
      <c r="CV20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v>
      </c>
      <c r="CX208" s="968">
        <f>WWWW[[#This Row],[HRP1]]/500</f>
        <v>0.17199999999999999</v>
      </c>
      <c r="CY208" s="973">
        <f>1-WWWW[[#This Row],[% Equitable and continuous access to sufficient quantity of domestic water]]</f>
        <v>0</v>
      </c>
      <c r="CZ208" s="968">
        <f>WWWW[[#This Row],[%equitable and continuous access to sufficient quantity of safe drinking and domestic water''s GAP]]*WWWW[[#This Row],[Total PoP ]]</f>
        <v>0</v>
      </c>
      <c r="DA208" s="971">
        <f>IF(WWWW[[#This Row],[Total required water points]]-WWWW[[#This Row],['#Water points coverage]]&lt;0,0,WWWW[[#This Row],[Total required water points]]-WWWW[[#This Row],['#Water points coverage]])</f>
        <v>0.82800000000000007</v>
      </c>
      <c r="DB208" s="971">
        <f>ROUND(IF(WWWW[[#This Row],[Total PoP ]]&lt;500,1,WWWW[[#This Row],[Total PoP ]]/500),0)</f>
        <v>1</v>
      </c>
      <c r="DC208" s="971">
        <f>(WWWW[[#This Row],['#_Constructed latrines_by_WASHAgencies]]+WWWW[[#This Row],['#_Non Cluster partner latrines]])-WWWW[[#This Row],['#_Non-functional latrines]]</f>
        <v>4</v>
      </c>
      <c r="DD208" s="619">
        <f>WWWW[[#This Row],[HRP2]]/WWWW[[#This Row],[Total PoP ]]</f>
        <v>0.94186046511627908</v>
      </c>
      <c r="DE20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81</v>
      </c>
      <c r="DF20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20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8" s="421">
        <f>IF(WWWW[[#This Row],['# of functional latrines in THF supported by WASH partners during the reporting period2]]="",0,WWWW[[#This Row],['# of functional latrines in THF supported by WASH partners during the reporting period2]]*50)</f>
        <v>0</v>
      </c>
      <c r="DI208" s="971">
        <f>ROUND(IF(WWWW[[#This Row],[Location Type 1]]="camp",WWWW[[#This Row],[Total PoP ]]/20,IF(WWWW[[#This Row],[Location Type 1]]="Temporary Location",WWWW[[#This Row],[Total PoP ]]/50,(WWWW[[#This Row],[Total PoP ]]/6))),0)</f>
        <v>4</v>
      </c>
      <c r="DJ208" s="971">
        <f>IF(WWWW[[#This Row],[Total required Latrines]]-(WWWW[[#This Row],['#_Constructed latrines_by_WASHAgencies]]+WWWW[[#This Row],['#_Non Cluster partner latrines]])&lt;0,0,WWWW[[#This Row],[Total required Latrines]]-(WWWW[[#This Row],['#_Constructed latrines_by_WASHAgencies]]+WWWW[[#This Row],['#_Non Cluster partner latrines]]))</f>
        <v>0</v>
      </c>
      <c r="DK208" s="973">
        <f>1-WWWW[[#This Row],[% people access to functioning Latrine]]</f>
        <v>5.8139534883720922E-2</v>
      </c>
      <c r="DL208" s="972">
        <f>IF(OR(WWWW[[#This Row],['#_Non-functional latrines]]="",WWWW[[#This Row],['#_Non-functional latrines]]=0),0,WWWW[[#This Row],['#_Non-functional latrines]]/(WWWW[[#This Row],['#_Constructed latrines_by_WASHAgencies]]+WWWW[[#This Row],['#_Non Cluster partner latrines]]))</f>
        <v>0</v>
      </c>
      <c r="DM208" s="968">
        <f>IF(500*(WWWW[[#This Row],['#_male hygiene promoters]]+WWWW[[#This Row],['#_female hygiene promoters]])&gt;WWWW[[#This Row],[Total PoP ]],WWWW[[#This Row],[Total PoP ]],500*(WWWW[[#This Row],['#_male hygiene promoters]]+WWWW[[#This Row],['#_female hygiene promoters]]))</f>
        <v>86</v>
      </c>
      <c r="DN20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86</v>
      </c>
      <c r="DO20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8" s="971">
        <f>IF(WWWW[[#This Row],['# People with access to soap]]&gt;WWWW[[#This Row],['# People with access to Sanity Pads]],WWWW[[#This Row],['# People with access to soap]],WWWW[[#This Row],['# People with access to Sanity Pads]])</f>
        <v>86</v>
      </c>
      <c r="DQ208" s="971">
        <f>IF(WWWW[[#This Row],['# people reached by regular dedicated hygiene promotion_5]]&gt;WWWW[[#This Row],['# People received regular supply of hygiene items_6]],WWWW[[#This Row],['# people reached by regular dedicated hygiene promotion_5]],WWWW[[#This Row],['# People received regular supply of hygiene items_6]])</f>
        <v>86</v>
      </c>
      <c r="DR208" s="973">
        <f>IF(WWWW[[#This Row],[HRP3]]/WWWW[[#This Row],[Total PoP ]]&gt;1,1,WWWW[[#This Row],[HRP3]]/WWWW[[#This Row],[Total PoP ]])</f>
        <v>1</v>
      </c>
      <c r="DS208" s="972">
        <f>1-WWWW[[#This Row],[Hygiene Coverage%]]</f>
        <v>0</v>
      </c>
      <c r="DT208" s="970">
        <f>WWWW[[#This Row],['# people reached by regular dedicated hygiene promotion_5]]/WWWW[[#This Row],[Total PoP ]]</f>
        <v>1</v>
      </c>
      <c r="DU20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8" s="971">
        <f>WWWW[[#This Row],['#_Constructed/Existing hand washing stations]]-WWWW[[#This Row],['#_Non-Functional_hand_washing_stations]]</f>
        <v>2</v>
      </c>
      <c r="DX208" s="968">
        <f>IF(WWWW[[#This Row],['# Functional hand washing stations during reporting period]]*20&gt;WWWW[[#This Row],[Total HH]],WWWW[[#This Row],[Total HH]],WWWW[[#This Row],['# Functional hand washing stations during reporting period]]*20)</f>
        <v>19</v>
      </c>
      <c r="DY208" s="968">
        <f>IF(WWWW[[#This Row],[Is sufficient soap available for TLS? (Yes/No)]]="yes",WWWW[[#This Row],['#_Constructed/Existing hand washing stations at TLS/CFS/THF]],0)</f>
        <v>0</v>
      </c>
      <c r="DZ208" s="425">
        <f>IF(WWWW[[#This Row],['# Functional hand washing stations during reporting period]]*100&gt;WWWW[[#This Row],[Total PoP ]],WWWW[[#This Row],[Total PoP ]],WWWW[[#This Row],['# Functional hand washing stations during reporting period]]*100)</f>
        <v>86</v>
      </c>
      <c r="EA208" s="425" t="str">
        <f>IF(OR(WWWW[[#This Row],['#_students at TLS_CFS]]="",WWWW[[#This Row],['#_students at TLS_CFS]]=0),"No","Yes")</f>
        <v>Yes</v>
      </c>
      <c r="EB20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8" s="570">
        <f>WWWW[[#This Row],[%_of_affected_people_surveyed_who_report_feeling_satistfied_with_the_latrine_design_and_sanitation_service]]*WWWW[[#This Row],[Total PoP ]]</f>
        <v>77.400000000000006</v>
      </c>
      <c r="ED208" s="570">
        <f>WWWW[[#This Row],[%_of_affected_people_surveyed_who_report_feeling_satistfied_with_the_water_point_design_and_water_service]]*WWWW[[#This Row],[Total PoP ]]</f>
        <v>77.400000000000006</v>
      </c>
      <c r="EE208" s="570">
        <f>WWWW[[#This Row],[%_of_complaints_received_that_result_in_timely_corrective_action_and_feedback_to_the_community]]*WWWW[[#This Row],[Total PoP ]]</f>
        <v>77.400000000000006</v>
      </c>
      <c r="EF20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77.400000000000006</v>
      </c>
      <c r="EG20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8" s="964" t="str">
        <f>VLOOKUP(WWWW[[#This Row],[Site Name]],SiteDB6[[Site Name]:[CCCM Management]],6,FALSE)</f>
        <v>Yes</v>
      </c>
      <c r="EJ208" s="964" t="str">
        <f>VLOOKUP(WWWW[[#This Row],[Site Name]],SiteDB6[[Site Name]:[CCCM Focal Agency]],7,FALSE)</f>
        <v>Shalom</v>
      </c>
      <c r="EK208" s="964" t="str">
        <f>VLOOKUP(WWWW[[#This Row],[Site Name]],SiteDB6[[Site Name]:[Location Type 1]],9,FALSE)</f>
        <v>Camp</v>
      </c>
      <c r="EL208" s="964" t="str">
        <f>VLOOKUP(WWWW[[#This Row],[Site Name]],SiteDB6[[Site Name]:[Type of Accommodation]],10,FALSE)</f>
        <v>Camp</v>
      </c>
      <c r="EM208" s="964" t="str">
        <f>VLOOKUP(WWWW[[#This Row],[Site Name]],SiteDB6[[Site Name]:[Ethnic or GCA/NGCA]],11,FALSE)</f>
        <v>GCA</v>
      </c>
      <c r="EN208" s="964">
        <f>VLOOKUP(WWWW[[#This Row],[Site Name]],SiteDB6[[Site Name]:[Lat]],12,FALSE)</f>
        <v>25.351965</v>
      </c>
      <c r="EO208" s="964">
        <f>VLOOKUP(WWWW[[#This Row],[Site Name]],SiteDB6[[Site Name]:[Long]],13,FALSE)</f>
        <v>97.345039</v>
      </c>
      <c r="EP208" s="964" t="str">
        <f>VLOOKUP(WWWW[[#This Row],[Site Name]],SiteDB6[[Site Name]:[Pcode]],3,FALSE)</f>
        <v>MMR001CMP033</v>
      </c>
      <c r="EQ208" s="969" t="str">
        <f t="shared" si="7"/>
        <v>Covered</v>
      </c>
      <c r="ER208" s="969" t="s">
        <v>3147</v>
      </c>
      <c r="ES208" s="964">
        <f>VLOOKUP(WWWW[[#This Row],[Site Name]],SiteDB6[[Site Name]:[Pop
(Kachin/Shan-CCCM as of March 2023)]],16,FALSE)</f>
        <v>19</v>
      </c>
      <c r="ET208" s="964">
        <f>VLOOKUP(WWWW[[#This Row],[Site Name]],SiteDB6[[Site Name]:[Pop
(Kachin/Shan-CCCM as of March 2023)]],17,FALSE)</f>
        <v>86</v>
      </c>
    </row>
    <row r="209" spans="1:150">
      <c r="A209" s="962" t="s">
        <v>2977</v>
      </c>
      <c r="B209" s="962" t="s">
        <v>242</v>
      </c>
      <c r="C209" s="963" t="s">
        <v>242</v>
      </c>
      <c r="D209" s="963" t="s">
        <v>3207</v>
      </c>
      <c r="E209" s="963" t="s">
        <v>37</v>
      </c>
      <c r="F209" s="963" t="s">
        <v>195</v>
      </c>
      <c r="G209" s="964" t="s">
        <v>43</v>
      </c>
      <c r="H209" s="963" t="s">
        <v>3210</v>
      </c>
      <c r="I209" s="965">
        <v>48</v>
      </c>
      <c r="J209" s="965">
        <v>213</v>
      </c>
      <c r="K209" s="966">
        <v>44927</v>
      </c>
      <c r="L209" s="967">
        <v>45291</v>
      </c>
      <c r="M209" s="965"/>
      <c r="N209" s="965"/>
      <c r="O209" s="965">
        <v>1</v>
      </c>
      <c r="P209" s="965"/>
      <c r="Q209" s="968" t="s">
        <v>41</v>
      </c>
      <c r="R209" s="965">
        <v>3</v>
      </c>
      <c r="S209" s="965">
        <v>3</v>
      </c>
      <c r="T209" s="445">
        <v>1</v>
      </c>
      <c r="U209" s="965"/>
      <c r="V209" s="965"/>
      <c r="W209" s="965"/>
      <c r="X209" s="965">
        <v>1</v>
      </c>
      <c r="Y209" s="965"/>
      <c r="Z209" s="965"/>
      <c r="AA209" s="965"/>
      <c r="AB209" s="965"/>
      <c r="AC209" s="965"/>
      <c r="AD209" s="965"/>
      <c r="AE209" s="965"/>
      <c r="AF209" s="965"/>
      <c r="AG209" s="965"/>
      <c r="AH209" s="965"/>
      <c r="AI209" s="965"/>
      <c r="AJ209" s="965"/>
      <c r="AK209" s="965">
        <v>2</v>
      </c>
      <c r="AL209" s="965"/>
      <c r="AM209" s="965">
        <v>4</v>
      </c>
      <c r="AN209" s="965">
        <v>1</v>
      </c>
      <c r="AO209" s="445"/>
      <c r="AP209" s="969" t="s">
        <v>3211</v>
      </c>
      <c r="AQ209" s="965">
        <v>10</v>
      </c>
      <c r="AR209" s="965"/>
      <c r="AS209" s="970" t="s">
        <v>276</v>
      </c>
      <c r="AT209" s="965">
        <v>2</v>
      </c>
      <c r="AU209" s="965">
        <v>2</v>
      </c>
      <c r="AV209" s="965">
        <v>5</v>
      </c>
      <c r="AW209" s="965"/>
      <c r="AX209" s="965"/>
      <c r="AY209" s="964" t="s">
        <v>41</v>
      </c>
      <c r="AZ209" s="969" t="s">
        <v>140</v>
      </c>
      <c r="BA209" s="965"/>
      <c r="BB209" s="965">
        <v>2</v>
      </c>
      <c r="BC209" s="965"/>
      <c r="BD209" s="445"/>
      <c r="BE209" s="445"/>
      <c r="BF209" s="964"/>
      <c r="BG209" s="965">
        <v>8</v>
      </c>
      <c r="BH209" s="965"/>
      <c r="BI209" s="965"/>
      <c r="BJ209" s="965">
        <v>3</v>
      </c>
      <c r="BK209" s="965"/>
      <c r="BL209" s="965">
        <v>1</v>
      </c>
      <c r="BM209" s="965"/>
      <c r="BN209" s="965"/>
      <c r="BO209" s="965"/>
      <c r="BP209" s="964"/>
      <c r="BQ209" s="971">
        <v>1</v>
      </c>
      <c r="BR209" s="970">
        <v>0.5</v>
      </c>
      <c r="BS209" s="964" t="s">
        <v>3212</v>
      </c>
      <c r="BT209" s="420">
        <v>1</v>
      </c>
      <c r="BU209" s="420">
        <v>1</v>
      </c>
      <c r="BV209" s="422">
        <v>100</v>
      </c>
      <c r="BW209" s="420">
        <v>0.3</v>
      </c>
      <c r="BX209" s="445"/>
      <c r="BY209" s="445"/>
      <c r="BZ209" s="445"/>
      <c r="CA209" s="445"/>
      <c r="CB209" s="445"/>
      <c r="CC209" s="702"/>
      <c r="CD209" s="445"/>
      <c r="CE209" s="972" t="str">
        <f>IFERROR(WWWW[[#This Row],['#_Water sources passed]]/WWWW[[#This Row],['#_Water sources tested for fecal coliform ]],"no test")</f>
        <v>no test</v>
      </c>
      <c r="CF209" s="970">
        <f>IFERROR(WWWW[[#This Row],['#_Household passed]]/WWWW[[#This Row],['#_Household water samples tested for fecal coliform]],"no test")</f>
        <v>0</v>
      </c>
      <c r="CG209" s="971" t="str">
        <f>IF(AND(WWWW[[#This Row],[% of water sources passed]]="no test",WWWW[[#This Row],[% Household passed]]="no test"),"No Test","Tested")</f>
        <v>Tested</v>
      </c>
      <c r="CH209" s="971">
        <f>WWWW[[#This Row],['#_Constructed/existing protected hand dug well]]-WWWW[[#This Row],['#_Non-functional protected hand dug well]]</f>
        <v>1</v>
      </c>
      <c r="CI209" s="971">
        <f>(WWWW[[#This Row],['#_Constructed/Existing tube wells/boreholes/handpumps_WASH_agency]]+WWWW[[#This Row],['#_Non-Cluster partner water tube-wells/boreholes/handpumps]])-WWWW[[#This Row],['#_Non-functional tube wells/boreholes/handpumps]]</f>
        <v>1</v>
      </c>
      <c r="CJ209" s="971">
        <f>WWWW[[#This Row],['#_Constructed/Existingwater storage tank with gravity fed reticulation system]]-WWWW[[#This Row],['#_Non-functional storage tank gravity fed reticulation system]]</f>
        <v>0</v>
      </c>
      <c r="CK209" s="971">
        <f>(WWWW[[#This Row],['#_Water_Liters_supplied_by_Water boating or water trucking]]/90)/15</f>
        <v>0</v>
      </c>
      <c r="CL209" s="971">
        <f>WWWW[[#This Row],['#_Water_Liters_from_Constructed/Existing water distribution system from river or natural spring]]/90/15</f>
        <v>0</v>
      </c>
      <c r="CM209" s="421">
        <f>IF(WWWW[[#This Row],['#_of water points in TLS/CFS]]*500&gt;WWWW[[#This Row],[Total PoP ]],WWWW[[#This Row],[Total PoP ]],WWWW[[#This Row],['#_of water points in TLS/CFS]]*500)</f>
        <v>213</v>
      </c>
      <c r="CN209" s="421">
        <f>IF(WWWW[[#This Row],['#_of water points in THF]]*500&gt;WWWW[[#This Row],[Total PoP ]],WWWW[[#This Row],[Total PoP ]],WWWW[[#This Row],['#_of water points in THF]]*500)</f>
        <v>0</v>
      </c>
      <c r="CO209" s="421"/>
      <c r="CP20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9" s="970">
        <f>IF(WWWW[[#This Row],[Location Type 1]]="Village",WWWW[[#This Row],[Access to safe drinking water for Village]],WWWW[[#This Row],[Access to safe drinking water for Camp]])</f>
        <v>1</v>
      </c>
      <c r="CS209" s="968">
        <f>WWWW[[#This Row],[%Equitable and continuous access to sufficient quantity of safe drinking water]]*WWWW[[#This Row],[Total PoP ]]</f>
        <v>213</v>
      </c>
      <c r="CT209" s="970">
        <f>IF((WWWW[[#This Row],['#_Constructed/Existing protected/fenced ponds]]*250)/WWWW[[#This Row],[Total PoP ]]&gt;1,1,(WWWW[[#This Row],['#_Constructed/Existing protected/fenced ponds]]*250)/WWWW[[#This Row],[Total PoP ]])</f>
        <v>0</v>
      </c>
      <c r="CU209" s="968">
        <f>WWWW[[#This Row],[% Access to unimproved water points]]*WWWW[[#This Row],[Total PoP ]]</f>
        <v>0</v>
      </c>
      <c r="CV20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209" s="968">
        <f>WWWW[[#This Row],[HRP1]]/500</f>
        <v>0.42599999999999999</v>
      </c>
      <c r="CY209" s="973">
        <f>1-WWWW[[#This Row],[% Equitable and continuous access to sufficient quantity of domestic water]]</f>
        <v>0</v>
      </c>
      <c r="CZ209" s="968">
        <f>WWWW[[#This Row],[%equitable and continuous access to sufficient quantity of safe drinking and domestic water''s GAP]]*WWWW[[#This Row],[Total PoP ]]</f>
        <v>0</v>
      </c>
      <c r="DA209" s="971">
        <f>IF(WWWW[[#This Row],[Total required water points]]-WWWW[[#This Row],['#Water points coverage]]&lt;0,0,WWWW[[#This Row],[Total required water points]]-WWWW[[#This Row],['#Water points coverage]])</f>
        <v>0.57400000000000007</v>
      </c>
      <c r="DB209" s="971">
        <f>ROUND(IF(WWWW[[#This Row],[Total PoP ]]&lt;500,1,WWWW[[#This Row],[Total PoP ]]/500),0)</f>
        <v>1</v>
      </c>
      <c r="DC209" s="971">
        <f>(WWWW[[#This Row],['#_Constructed latrines_by_WASHAgencies]]+WWWW[[#This Row],['#_Non Cluster partner latrines]])-WWWW[[#This Row],['#_Non-functional latrines]]</f>
        <v>8</v>
      </c>
      <c r="DD209" s="619">
        <f>WWWW[[#This Row],[HRP2]]/WWWW[[#This Row],[Total PoP ]]</f>
        <v>0.75117370892018775</v>
      </c>
      <c r="DE20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0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G20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9" s="421">
        <f>IF(WWWW[[#This Row],['# of functional latrines in THF supported by WASH partners during the reporting period2]]="",0,WWWW[[#This Row],['# of functional latrines in THF supported by WASH partners during the reporting period2]]*50)</f>
        <v>0</v>
      </c>
      <c r="DI209" s="971">
        <f>ROUND(IF(WWWW[[#This Row],[Location Type 1]]="camp",WWWW[[#This Row],[Total PoP ]]/20,IF(WWWW[[#This Row],[Location Type 1]]="Temporary Location",WWWW[[#This Row],[Total PoP ]]/50,(WWWW[[#This Row],[Total PoP ]]/6))),0)</f>
        <v>11</v>
      </c>
      <c r="DJ209" s="971">
        <f>IF(WWWW[[#This Row],[Total required Latrines]]-(WWWW[[#This Row],['#_Constructed latrines_by_WASHAgencies]]+WWWW[[#This Row],['#_Non Cluster partner latrines]])&lt;0,0,WWWW[[#This Row],[Total required Latrines]]-(WWWW[[#This Row],['#_Constructed latrines_by_WASHAgencies]]+WWWW[[#This Row],['#_Non Cluster partner latrines]]))</f>
        <v>1</v>
      </c>
      <c r="DK209" s="973">
        <f>1-WWWW[[#This Row],[% people access to functioning Latrine]]</f>
        <v>0.24882629107981225</v>
      </c>
      <c r="DL209" s="972">
        <f>IF(OR(WWWW[[#This Row],['#_Non-functional latrines]]="",WWWW[[#This Row],['#_Non-functional latrines]]=0),0,WWWW[[#This Row],['#_Non-functional latrines]]/(WWWW[[#This Row],['#_Constructed latrines_by_WASHAgencies]]+WWWW[[#This Row],['#_Non Cluster partner latrines]]))</f>
        <v>0.2</v>
      </c>
      <c r="DM209" s="968">
        <f>IF(500*(WWWW[[#This Row],['#_male hygiene promoters]]+WWWW[[#This Row],['#_female hygiene promoters]])&gt;WWWW[[#This Row],[Total PoP ]],WWWW[[#This Row],[Total PoP ]],500*(WWWW[[#This Row],['#_male hygiene promoters]]+WWWW[[#This Row],['#_female hygiene promoters]]))</f>
        <v>213</v>
      </c>
      <c r="DN20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9" s="971">
        <f>IF(WWWW[[#This Row],['# People with access to soap]]&gt;WWWW[[#This Row],['# People with access to Sanity Pads]],WWWW[[#This Row],['# People with access to soap]],WWWW[[#This Row],['# People with access to Sanity Pads]])</f>
        <v>0</v>
      </c>
      <c r="DQ209" s="971">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209" s="973">
        <f>IF(WWWW[[#This Row],[HRP3]]/WWWW[[#This Row],[Total PoP ]]&gt;1,1,WWWW[[#This Row],[HRP3]]/WWWW[[#This Row],[Total PoP ]])</f>
        <v>1</v>
      </c>
      <c r="DS209" s="972">
        <f>1-WWWW[[#This Row],[Hygiene Coverage%]]</f>
        <v>0</v>
      </c>
      <c r="DT209" s="970">
        <f>WWWW[[#This Row],['# people reached by regular dedicated hygiene promotion_5]]/WWWW[[#This Row],[Total PoP ]]</f>
        <v>1</v>
      </c>
      <c r="DU20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9" s="971">
        <f>WWWW[[#This Row],['#_Constructed/Existing hand washing stations]]-WWWW[[#This Row],['#_Non-Functional_hand_washing_stations]]</f>
        <v>8</v>
      </c>
      <c r="DX209" s="968">
        <f>IF(WWWW[[#This Row],['# Functional hand washing stations during reporting period]]*20&gt;WWWW[[#This Row],[Total HH]],WWWW[[#This Row],[Total HH]],WWWW[[#This Row],['# Functional hand washing stations during reporting period]]*20)</f>
        <v>48</v>
      </c>
      <c r="DY209" s="968">
        <f>IF(WWWW[[#This Row],[Is sufficient soap available for TLS? (Yes/No)]]="yes",WWWW[[#This Row],['#_Constructed/Existing hand washing stations at TLS/CFS/THF]],0)</f>
        <v>0</v>
      </c>
      <c r="DZ209" s="425">
        <f>IF(WWWW[[#This Row],['# Functional hand washing stations during reporting period]]*100&gt;WWWW[[#This Row],[Total PoP ]],WWWW[[#This Row],[Total PoP ]],WWWW[[#This Row],['# Functional hand washing stations during reporting period]]*100)</f>
        <v>213</v>
      </c>
      <c r="EA209" s="425" t="str">
        <f>IF(OR(WWWW[[#This Row],['#_students at TLS_CFS]]="",WWWW[[#This Row],['#_students at TLS_CFS]]=0),"No","Yes")</f>
        <v>No</v>
      </c>
      <c r="EB209" s="619">
        <f>IF(WWWW[[#This Row],['#_of_affected_people_surveyed_who_report_feeling_informed_about_the_different_WASH_services_available_to_them]]="","",WWWW[[#This Row],['#_of_affected_people_surveyed_who_report_feeling_informed_about_the_different_WASH_services_available_to_them]]/WWWW[[#This Row],[Total PoP ]])</f>
        <v>0.46948356807511737</v>
      </c>
      <c r="EC209" s="570">
        <f>WWWW[[#This Row],[%_of_affected_people_surveyed_who_report_feeling_satistfied_with_the_latrine_design_and_sanitation_service]]*WWWW[[#This Row],[Total PoP ]]</f>
        <v>213</v>
      </c>
      <c r="ED209" s="570">
        <f>WWWW[[#This Row],[%_of_affected_people_surveyed_who_report_feeling_satistfied_with_the_water_point_design_and_water_service]]*WWWW[[#This Row],[Total PoP ]]</f>
        <v>213</v>
      </c>
      <c r="EE209" s="570">
        <f>WWWW[[#This Row],[%_of_complaints_received_that_result_in_timely_corrective_action_and_feedback_to_the_community]]*WWWW[[#This Row],[Total PoP ]]</f>
        <v>63.9</v>
      </c>
      <c r="EF20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v>
      </c>
      <c r="EG20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v>
      </c>
      <c r="EH20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9" s="964" t="e">
        <f>VLOOKUP(WWWW[[#This Row],[Site Name]],SiteDB6[[Site Name]:[CCCM Management]],6,FALSE)</f>
        <v>#N/A</v>
      </c>
      <c r="EJ209" s="964" t="e">
        <f>VLOOKUP(WWWW[[#This Row],[Site Name]],SiteDB6[[Site Name]:[CCCM Focal Agency]],7,FALSE)</f>
        <v>#N/A</v>
      </c>
      <c r="EK209" s="964" t="s">
        <v>43</v>
      </c>
      <c r="EL209" s="964" t="s">
        <v>43</v>
      </c>
      <c r="EM209" s="964" t="s">
        <v>44</v>
      </c>
      <c r="EN209" s="964" t="e">
        <f>VLOOKUP(WWWW[[#This Row],[Site Name]],SiteDB6[[Site Name]:[Lat]],12,FALSE)</f>
        <v>#N/A</v>
      </c>
      <c r="EO209" s="964" t="e">
        <f>VLOOKUP(WWWW[[#This Row],[Site Name]],SiteDB6[[Site Name]:[Long]],13,FALSE)</f>
        <v>#N/A</v>
      </c>
      <c r="EP209" s="964" t="e">
        <f>VLOOKUP(WWWW[[#This Row],[Site Name]],SiteDB6[[Site Name]:[Pcode]],3,FALSE)</f>
        <v>#N/A</v>
      </c>
      <c r="EQ209" s="969" t="str">
        <f t="shared" si="7"/>
        <v>Covered</v>
      </c>
      <c r="ER209" s="969" t="s">
        <v>3147</v>
      </c>
      <c r="ES209" s="964" t="e">
        <f>VLOOKUP(WWWW[[#This Row],[Site Name]],SiteDB6[[Site Name]:[Pop
(Kachin/Shan-CCCM as of March 2023)]],16,FALSE)</f>
        <v>#N/A</v>
      </c>
      <c r="ET209" s="964" t="e">
        <f>VLOOKUP(WWWW[[#This Row],[Site Name]],SiteDB6[[Site Name]:[Pop
(Kachin/Shan-CCCM as of March 2023)]],17,FALSE)</f>
        <v>#N/A</v>
      </c>
    </row>
    <row r="210" spans="1:150" hidden="1">
      <c r="A210" s="962" t="s">
        <v>2977</v>
      </c>
      <c r="B210" s="962" t="s">
        <v>242</v>
      </c>
      <c r="C210" s="963" t="s">
        <v>242</v>
      </c>
      <c r="D210" s="963" t="s">
        <v>3207</v>
      </c>
      <c r="E210" s="963" t="s">
        <v>37</v>
      </c>
      <c r="F210" s="963" t="s">
        <v>142</v>
      </c>
      <c r="G210" s="964" t="str">
        <f>VLOOKUP(WWWW[[#This Row],[Site Name]],SiteDB6[[Site Name]:[Location Type]],8,FALSE)</f>
        <v>Camp</v>
      </c>
      <c r="H210" s="963" t="s">
        <v>271</v>
      </c>
      <c r="I210" s="965">
        <v>71</v>
      </c>
      <c r="J210" s="965">
        <v>298</v>
      </c>
      <c r="K210" s="966">
        <v>44927</v>
      </c>
      <c r="L210" s="967">
        <v>45291</v>
      </c>
      <c r="M210" s="965"/>
      <c r="N210" s="965"/>
      <c r="O210" s="965">
        <v>1</v>
      </c>
      <c r="P210" s="965"/>
      <c r="Q210" s="968" t="s">
        <v>41</v>
      </c>
      <c r="R210" s="965">
        <v>2</v>
      </c>
      <c r="S210" s="965">
        <v>5</v>
      </c>
      <c r="T210" s="445">
        <v>1</v>
      </c>
      <c r="U210" s="965">
        <v>1</v>
      </c>
      <c r="V210" s="965"/>
      <c r="W210" s="965">
        <v>1</v>
      </c>
      <c r="X210" s="965"/>
      <c r="Y210" s="965"/>
      <c r="Z210" s="965"/>
      <c r="AA210" s="965"/>
      <c r="AB210" s="965"/>
      <c r="AC210" s="965"/>
      <c r="AD210" s="965"/>
      <c r="AE210" s="965"/>
      <c r="AF210" s="965"/>
      <c r="AG210" s="965"/>
      <c r="AH210" s="965"/>
      <c r="AI210" s="965"/>
      <c r="AJ210" s="965"/>
      <c r="AK210" s="965"/>
      <c r="AL210" s="965"/>
      <c r="AM210" s="965"/>
      <c r="AN210" s="965"/>
      <c r="AO210" s="445">
        <v>3</v>
      </c>
      <c r="AP210" s="969"/>
      <c r="AQ210" s="965">
        <v>16</v>
      </c>
      <c r="AR210" s="965"/>
      <c r="AS210" s="970" t="s">
        <v>3218</v>
      </c>
      <c r="AT210" s="965"/>
      <c r="AU210" s="965"/>
      <c r="AV210" s="965"/>
      <c r="AW210" s="965"/>
      <c r="AX210" s="965"/>
      <c r="AY210" s="964" t="s">
        <v>41</v>
      </c>
      <c r="AZ210" s="969" t="s">
        <v>137</v>
      </c>
      <c r="BA210" s="965">
        <v>1</v>
      </c>
      <c r="BB210" s="965"/>
      <c r="BC210" s="965"/>
      <c r="BD210" s="445"/>
      <c r="BE210" s="445"/>
      <c r="BF210" s="964" t="s">
        <v>3219</v>
      </c>
      <c r="BG210" s="965">
        <v>7</v>
      </c>
      <c r="BH210" s="965"/>
      <c r="BI210" s="965"/>
      <c r="BJ210" s="965">
        <v>5</v>
      </c>
      <c r="BK210" s="965"/>
      <c r="BL210" s="965"/>
      <c r="BM210" s="965">
        <v>1</v>
      </c>
      <c r="BN210" s="965">
        <v>71</v>
      </c>
      <c r="BO210" s="965"/>
      <c r="BP210" s="964"/>
      <c r="BQ210" s="971">
        <v>1</v>
      </c>
      <c r="BR210" s="970">
        <v>0.9</v>
      </c>
      <c r="BS210" s="964"/>
      <c r="BT210" s="420">
        <v>0.99</v>
      </c>
      <c r="BU210" s="420">
        <v>0.9</v>
      </c>
      <c r="BV210" s="422">
        <v>100</v>
      </c>
      <c r="BW210" s="420">
        <v>0.8</v>
      </c>
      <c r="BX210" s="445"/>
      <c r="BY210" s="445"/>
      <c r="BZ210" s="445"/>
      <c r="CA210" s="445"/>
      <c r="CB210" s="445"/>
      <c r="CC210" s="702"/>
      <c r="CD210" s="445"/>
      <c r="CE210" s="972" t="str">
        <f>IFERROR(WWWW[[#This Row],['#_Water sources passed]]/WWWW[[#This Row],['#_Water sources tested for fecal coliform ]],"no test")</f>
        <v>no test</v>
      </c>
      <c r="CF210" s="970" t="str">
        <f>IFERROR(WWWW[[#This Row],['#_Household passed]]/WWWW[[#This Row],['#_Household water samples tested for fecal coliform]],"no test")</f>
        <v>no test</v>
      </c>
      <c r="CG210" s="971" t="str">
        <f>IF(AND(WWWW[[#This Row],[% of water sources passed]]="no test",WWWW[[#This Row],[% Household passed]]="no test"),"No Test","Tested")</f>
        <v>No Test</v>
      </c>
      <c r="CH210" s="971">
        <f>WWWW[[#This Row],['#_Constructed/existing protected hand dug well]]-WWWW[[#This Row],['#_Non-functional protected hand dug well]]</f>
        <v>0</v>
      </c>
      <c r="CI210" s="971">
        <f>(WWWW[[#This Row],['#_Constructed/Existing tube wells/boreholes/handpumps_WASH_agency]]+WWWW[[#This Row],['#_Non-Cluster partner water tube-wells/boreholes/handpumps]])-WWWW[[#This Row],['#_Non-functional tube wells/boreholes/handpumps]]</f>
        <v>1</v>
      </c>
      <c r="CJ210" s="971">
        <f>WWWW[[#This Row],['#_Constructed/Existingwater storage tank with gravity fed reticulation system]]-WWWW[[#This Row],['#_Non-functional storage tank gravity fed reticulation system]]</f>
        <v>0</v>
      </c>
      <c r="CK210" s="971">
        <f>(WWWW[[#This Row],['#_Water_Liters_supplied_by_Water boating or water trucking]]/90)/15</f>
        <v>0</v>
      </c>
      <c r="CL210" s="971">
        <f>WWWW[[#This Row],['#_Water_Liters_from_Constructed/Existing water distribution system from river or natural spring]]/90/15</f>
        <v>0</v>
      </c>
      <c r="CM210" s="421">
        <f>IF(WWWW[[#This Row],['#_of water points in TLS/CFS]]*500&gt;WWWW[[#This Row],[Total PoP ]],WWWW[[#This Row],[Total PoP ]],WWWW[[#This Row],['#_of water points in TLS/CFS]]*500)</f>
        <v>0</v>
      </c>
      <c r="CN210" s="421">
        <f>IF(WWWW[[#This Row],['#_of water points in THF]]*500&gt;WWWW[[#This Row],[Total PoP ]],WWWW[[#This Row],[Total PoP ]],WWWW[[#This Row],['#_of water points in THF]]*500)</f>
        <v>298</v>
      </c>
      <c r="CO210" s="421"/>
      <c r="CP210"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0"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0.83892617449664431</v>
      </c>
      <c r="CR210" s="970">
        <f>IF(WWWW[[#This Row],[Location Type 1]]="Village",WWWW[[#This Row],[Access to safe drinking water for Village]],WWWW[[#This Row],[Access to safe drinking water for Camp]])</f>
        <v>1</v>
      </c>
      <c r="CS210" s="968">
        <f>WWWW[[#This Row],[%Equitable and continuous access to sufficient quantity of safe drinking water]]*WWWW[[#This Row],[Total PoP ]]</f>
        <v>298</v>
      </c>
      <c r="CT210" s="970">
        <f>IF((WWWW[[#This Row],['#_Constructed/Existing protected/fenced ponds]]*250)/WWWW[[#This Row],[Total PoP ]]&gt;1,1,(WWWW[[#This Row],['#_Constructed/Existing protected/fenced ponds]]*250)/WWWW[[#This Row],[Total PoP ]])</f>
        <v>0</v>
      </c>
      <c r="CU210" s="968">
        <f>WWWW[[#This Row],[% Access to unimproved water points]]*WWWW[[#This Row],[Total PoP ]]</f>
        <v>0</v>
      </c>
      <c r="CV210"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0"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X210" s="968">
        <f>WWWW[[#This Row],[HRP1]]/500</f>
        <v>0.59599999999999997</v>
      </c>
      <c r="CY210" s="973">
        <f>1-WWWW[[#This Row],[% Equitable and continuous access to sufficient quantity of domestic water]]</f>
        <v>0</v>
      </c>
      <c r="CZ210" s="968">
        <f>WWWW[[#This Row],[%equitable and continuous access to sufficient quantity of safe drinking and domestic water''s GAP]]*WWWW[[#This Row],[Total PoP ]]</f>
        <v>0</v>
      </c>
      <c r="DA210" s="971">
        <f>IF(WWWW[[#This Row],[Total required water points]]-WWWW[[#This Row],['#Water points coverage]]&lt;0,0,WWWW[[#This Row],[Total required water points]]-WWWW[[#This Row],['#Water points coverage]])</f>
        <v>0.40400000000000003</v>
      </c>
      <c r="DB210" s="971">
        <f>ROUND(IF(WWWW[[#This Row],[Total PoP ]]&lt;500,1,WWWW[[#This Row],[Total PoP ]]/500),0)</f>
        <v>1</v>
      </c>
      <c r="DC210" s="971">
        <f>(WWWW[[#This Row],['#_Constructed latrines_by_WASHAgencies]]+WWWW[[#This Row],['#_Non Cluster partner latrines]])-WWWW[[#This Row],['#_Non-functional latrines]]</f>
        <v>16</v>
      </c>
      <c r="DD210" s="619">
        <f>WWWW[[#This Row],[HRP2]]/WWWW[[#This Row],[Total PoP ]]</f>
        <v>1</v>
      </c>
      <c r="DE210"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v>
      </c>
      <c r="DF210"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0"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0" s="421">
        <f>IF(WWWW[[#This Row],['# of functional latrines in THF supported by WASH partners during the reporting period2]]="",0,WWWW[[#This Row],['# of functional latrines in THF supported by WASH partners during the reporting period2]]*50)</f>
        <v>0</v>
      </c>
      <c r="DI210" s="971">
        <f>ROUND(IF(WWWW[[#This Row],[Location Type 1]]="camp",WWWW[[#This Row],[Total PoP ]]/20,IF(WWWW[[#This Row],[Location Type 1]]="Temporary Location",WWWW[[#This Row],[Total PoP ]]/50,(WWWW[[#This Row],[Total PoP ]]/6))),0)</f>
        <v>15</v>
      </c>
      <c r="DJ210" s="971">
        <f>IF(WWWW[[#This Row],[Total required Latrines]]-(WWWW[[#This Row],['#_Constructed latrines_by_WASHAgencies]]+WWWW[[#This Row],['#_Non Cluster partner latrines]])&lt;0,0,WWWW[[#This Row],[Total required Latrines]]-(WWWW[[#This Row],['#_Constructed latrines_by_WASHAgencies]]+WWWW[[#This Row],['#_Non Cluster partner latrines]]))</f>
        <v>0</v>
      </c>
      <c r="DK210" s="973">
        <f>1-WWWW[[#This Row],[% people access to functioning Latrine]]</f>
        <v>0</v>
      </c>
      <c r="DL210" s="972">
        <f>IF(OR(WWWW[[#This Row],['#_Non-functional latrines]]="",WWWW[[#This Row],['#_Non-functional latrines]]=0),0,WWWW[[#This Row],['#_Non-functional latrines]]/(WWWW[[#This Row],['#_Constructed latrines_by_WASHAgencies]]+WWWW[[#This Row],['#_Non Cluster partner latrines]]))</f>
        <v>0</v>
      </c>
      <c r="DM210" s="968">
        <f>IF(500*(WWWW[[#This Row],['#_male hygiene promoters]]+WWWW[[#This Row],['#_female hygiene promoters]])&gt;WWWW[[#This Row],[Total PoP ]],WWWW[[#This Row],[Total PoP ]],500*(WWWW[[#This Row],['#_male hygiene promoters]]+WWWW[[#This Row],['#_female hygiene promoters]]))</f>
        <v>298</v>
      </c>
      <c r="DN210"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298</v>
      </c>
      <c r="DO210"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0" s="971">
        <f>IF(WWWW[[#This Row],['# People with access to soap]]&gt;WWWW[[#This Row],['# People with access to Sanity Pads]],WWWW[[#This Row],['# People with access to soap]],WWWW[[#This Row],['# People with access to Sanity Pads]])</f>
        <v>298</v>
      </c>
      <c r="DQ210" s="971">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210" s="973">
        <f>IF(WWWW[[#This Row],[HRP3]]/WWWW[[#This Row],[Total PoP ]]&gt;1,1,WWWW[[#This Row],[HRP3]]/WWWW[[#This Row],[Total PoP ]])</f>
        <v>1</v>
      </c>
      <c r="DS210" s="972">
        <f>1-WWWW[[#This Row],[Hygiene Coverage%]]</f>
        <v>0</v>
      </c>
      <c r="DT210" s="970">
        <f>WWWW[[#This Row],['# people reached by regular dedicated hygiene promotion_5]]/WWWW[[#This Row],[Total PoP ]]</f>
        <v>1</v>
      </c>
      <c r="DU210"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10"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0" s="971">
        <f>WWWW[[#This Row],['#_Constructed/Existing hand washing stations]]-WWWW[[#This Row],['#_Non-Functional_hand_washing_stations]]</f>
        <v>7</v>
      </c>
      <c r="DX210" s="968">
        <f>IF(WWWW[[#This Row],['# Functional hand washing stations during reporting period]]*20&gt;WWWW[[#This Row],[Total HH]],WWWW[[#This Row],[Total HH]],WWWW[[#This Row],['# Functional hand washing stations during reporting period]]*20)</f>
        <v>71</v>
      </c>
      <c r="DY210" s="968">
        <f>IF(WWWW[[#This Row],[Is sufficient soap available for TLS? (Yes/No)]]="yes",WWWW[[#This Row],['#_Constructed/Existing hand washing stations at TLS/CFS/THF]],0)</f>
        <v>0</v>
      </c>
      <c r="DZ210" s="425">
        <f>IF(WWWW[[#This Row],['# Functional hand washing stations during reporting period]]*100&gt;WWWW[[#This Row],[Total PoP ]],WWWW[[#This Row],[Total PoP ]],WWWW[[#This Row],['# Functional hand washing stations during reporting period]]*100)</f>
        <v>298</v>
      </c>
      <c r="EA210" s="425" t="str">
        <f>IF(OR(WWWW[[#This Row],['#_students at TLS_CFS]]="",WWWW[[#This Row],['#_students at TLS_CFS]]=0),"No","Yes")</f>
        <v>No</v>
      </c>
      <c r="EB210" s="619">
        <f>IF(WWWW[[#This Row],['#_of_affected_people_surveyed_who_report_feeling_informed_about_the_different_WASH_services_available_to_them]]="","",WWWW[[#This Row],['#_of_affected_people_surveyed_who_report_feeling_informed_about_the_different_WASH_services_available_to_them]]/WWWW[[#This Row],[Total PoP ]])</f>
        <v>0.33557046979865773</v>
      </c>
      <c r="EC210" s="570">
        <f>WWWW[[#This Row],[%_of_affected_people_surveyed_who_report_feeling_satistfied_with_the_latrine_design_and_sanitation_service]]*WWWW[[#This Row],[Total PoP ]]</f>
        <v>295.02</v>
      </c>
      <c r="ED210" s="570">
        <f>WWWW[[#This Row],[%_of_affected_people_surveyed_who_report_feeling_satistfied_with_the_water_point_design_and_water_service]]*WWWW[[#This Row],[Total PoP ]]</f>
        <v>268.2</v>
      </c>
      <c r="EE210" s="570">
        <f>WWWW[[#This Row],[%_of_complaints_received_that_result_in_timely_corrective_action_and_feedback_to_the_community]]*WWWW[[#This Row],[Total PoP ]]</f>
        <v>238.4</v>
      </c>
      <c r="EF210"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295.02</v>
      </c>
      <c r="EG210"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0"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298</v>
      </c>
      <c r="EI210" s="964" t="str">
        <f>VLOOKUP(WWWW[[#This Row],[Site Name]],SiteDB6[[Site Name]:[CCCM Management]],6,FALSE)</f>
        <v>Yes</v>
      </c>
      <c r="EJ210" s="964" t="str">
        <f>VLOOKUP(WWWW[[#This Row],[Site Name]],SiteDB6[[Site Name]:[CCCM Focal Agency]],7,FALSE)</f>
        <v>Shalom</v>
      </c>
      <c r="EK210" s="964" t="str">
        <f>VLOOKUP(WWWW[[#This Row],[Site Name]],SiteDB6[[Site Name]:[Location Type 1]],9,FALSE)</f>
        <v>Camp</v>
      </c>
      <c r="EL210" s="964" t="str">
        <f>VLOOKUP(WWWW[[#This Row],[Site Name]],SiteDB6[[Site Name]:[Type of Accommodation]],10,FALSE)</f>
        <v>Camp</v>
      </c>
      <c r="EM210" s="964" t="str">
        <f>VLOOKUP(WWWW[[#This Row],[Site Name]],SiteDB6[[Site Name]:[Ethnic or GCA/NGCA]],11,FALSE)</f>
        <v>GCA</v>
      </c>
      <c r="EN210" s="964">
        <f>VLOOKUP(WWWW[[#This Row],[Site Name]],SiteDB6[[Site Name]:[Lat]],12,FALSE)</f>
        <v>25.3540362037037</v>
      </c>
      <c r="EO210" s="964">
        <f>VLOOKUP(WWWW[[#This Row],[Site Name]],SiteDB6[[Site Name]:[Long]],13,FALSE)</f>
        <v>97.441166388888902</v>
      </c>
      <c r="EP210" s="964" t="str">
        <f>VLOOKUP(WWWW[[#This Row],[Site Name]],SiteDB6[[Site Name]:[Pcode]],3,FALSE)</f>
        <v>MMR001CMP032</v>
      </c>
      <c r="EQ210" s="969" t="str">
        <f t="shared" si="7"/>
        <v>Covered</v>
      </c>
      <c r="ER210" s="969" t="s">
        <v>3147</v>
      </c>
      <c r="ES210" s="964">
        <f>VLOOKUP(WWWW[[#This Row],[Site Name]],SiteDB6[[Site Name]:[Pop
(Kachin/Shan-CCCM as of March 2023)]],16,FALSE)</f>
        <v>111</v>
      </c>
      <c r="ET210" s="964">
        <f>VLOOKUP(WWWW[[#This Row],[Site Name]],SiteDB6[[Site Name]:[Pop
(Kachin/Shan-CCCM as of March 2023)]],17,FALSE)</f>
        <v>501</v>
      </c>
    </row>
    <row r="211" spans="1:150" hidden="1">
      <c r="A211" s="962" t="s">
        <v>2977</v>
      </c>
      <c r="B211" s="962" t="s">
        <v>242</v>
      </c>
      <c r="C211" s="963" t="s">
        <v>242</v>
      </c>
      <c r="D211" s="963" t="s">
        <v>3207</v>
      </c>
      <c r="E211" s="963" t="s">
        <v>37</v>
      </c>
      <c r="F211" s="963" t="s">
        <v>148</v>
      </c>
      <c r="G211" s="964" t="str">
        <f>VLOOKUP(WWWW[[#This Row],[Site Name]],SiteDB6[[Site Name]:[Location Type]],8,FALSE)</f>
        <v>Camp</v>
      </c>
      <c r="H211" s="963" t="s">
        <v>259</v>
      </c>
      <c r="I211" s="965">
        <v>16</v>
      </c>
      <c r="J211" s="965">
        <v>72</v>
      </c>
      <c r="K211" s="966">
        <v>44927</v>
      </c>
      <c r="L211" s="967">
        <v>45291</v>
      </c>
      <c r="M211" s="965"/>
      <c r="N211" s="965"/>
      <c r="O211" s="965">
        <v>1</v>
      </c>
      <c r="P211" s="965"/>
      <c r="Q211" s="968" t="s">
        <v>41</v>
      </c>
      <c r="R211" s="965">
        <v>1</v>
      </c>
      <c r="S211" s="965">
        <v>2</v>
      </c>
      <c r="T211" s="445">
        <v>1</v>
      </c>
      <c r="U211" s="965"/>
      <c r="V211" s="965"/>
      <c r="W211" s="965">
        <v>1</v>
      </c>
      <c r="X211" s="965"/>
      <c r="Y211" s="965"/>
      <c r="Z211" s="965"/>
      <c r="AA211" s="965">
        <v>1</v>
      </c>
      <c r="AB211" s="965">
        <v>1</v>
      </c>
      <c r="AC211" s="965"/>
      <c r="AD211" s="965"/>
      <c r="AE211" s="965">
        <v>1</v>
      </c>
      <c r="AF211" s="965"/>
      <c r="AG211" s="965"/>
      <c r="AH211" s="965"/>
      <c r="AI211" s="965"/>
      <c r="AJ211" s="965"/>
      <c r="AK211" s="965"/>
      <c r="AL211" s="965"/>
      <c r="AM211" s="965">
        <v>1</v>
      </c>
      <c r="AN211" s="965"/>
      <c r="AO211" s="445"/>
      <c r="AP211" s="969" t="s">
        <v>3235</v>
      </c>
      <c r="AQ211" s="965">
        <v>2</v>
      </c>
      <c r="AR211" s="965"/>
      <c r="AS211" s="970"/>
      <c r="AT211" s="965"/>
      <c r="AU211" s="965"/>
      <c r="AV211" s="965"/>
      <c r="AW211" s="965"/>
      <c r="AX211" s="965">
        <v>2</v>
      </c>
      <c r="AY211" s="964" t="s">
        <v>41</v>
      </c>
      <c r="AZ211" s="969" t="s">
        <v>137</v>
      </c>
      <c r="BA211" s="965"/>
      <c r="BB211" s="965"/>
      <c r="BC211" s="965"/>
      <c r="BD211" s="445"/>
      <c r="BE211" s="445"/>
      <c r="BF211" s="964" t="s">
        <v>3236</v>
      </c>
      <c r="BG211" s="965">
        <v>3</v>
      </c>
      <c r="BH211" s="965">
        <v>1</v>
      </c>
      <c r="BI211" s="965"/>
      <c r="BJ211" s="965">
        <v>2</v>
      </c>
      <c r="BK211" s="965"/>
      <c r="BL211" s="965">
        <v>1</v>
      </c>
      <c r="BM211" s="965"/>
      <c r="BN211" s="965">
        <v>16</v>
      </c>
      <c r="BO211" s="965">
        <v>24</v>
      </c>
      <c r="BP211" s="964" t="s">
        <v>136</v>
      </c>
      <c r="BQ211" s="971"/>
      <c r="BR211" s="970">
        <v>1</v>
      </c>
      <c r="BS211" s="964"/>
      <c r="BT211" s="420">
        <v>1</v>
      </c>
      <c r="BU211" s="420">
        <v>0.2</v>
      </c>
      <c r="BV211" s="422"/>
      <c r="BW211" s="420">
        <v>0.2</v>
      </c>
      <c r="BX211" s="445"/>
      <c r="BY211" s="445"/>
      <c r="BZ211" s="445"/>
      <c r="CA211" s="445"/>
      <c r="CB211" s="445"/>
      <c r="CC211" s="702"/>
      <c r="CD211" s="445"/>
      <c r="CE211" s="972" t="str">
        <f>IFERROR(WWWW[[#This Row],['#_Water sources passed]]/WWWW[[#This Row],['#_Water sources tested for fecal coliform ]],"no test")</f>
        <v>no test</v>
      </c>
      <c r="CF211" s="970" t="str">
        <f>IFERROR(WWWW[[#This Row],['#_Household passed]]/WWWW[[#This Row],['#_Household water samples tested for fecal coliform]],"no test")</f>
        <v>no test</v>
      </c>
      <c r="CG211" s="971" t="str">
        <f>IF(AND(WWWW[[#This Row],[% of water sources passed]]="no test",WWWW[[#This Row],[% Household passed]]="no test"),"No Test","Tested")</f>
        <v>No Test</v>
      </c>
      <c r="CH211" s="971">
        <f>WWWW[[#This Row],['#_Constructed/existing protected hand dug well]]-WWWW[[#This Row],['#_Non-functional protected hand dug well]]</f>
        <v>1</v>
      </c>
      <c r="CI211" s="971">
        <f>(WWWW[[#This Row],['#_Constructed/Existing tube wells/boreholes/handpumps_WASH_agency]]+WWWW[[#This Row],['#_Non-Cluster partner water tube-wells/boreholes/handpumps]])-WWWW[[#This Row],['#_Non-functional tube wells/boreholes/handpumps]]</f>
        <v>1</v>
      </c>
      <c r="CJ211" s="971">
        <f>WWWW[[#This Row],['#_Constructed/Existingwater storage tank with gravity fed reticulation system]]-WWWW[[#This Row],['#_Non-functional storage tank gravity fed reticulation system]]</f>
        <v>0</v>
      </c>
      <c r="CK211" s="971">
        <f>(WWWW[[#This Row],['#_Water_Liters_supplied_by_Water boating or water trucking]]/90)/15</f>
        <v>0</v>
      </c>
      <c r="CL211" s="971">
        <f>WWWW[[#This Row],['#_Water_Liters_from_Constructed/Existing water distribution system from river or natural spring]]/90/15</f>
        <v>0</v>
      </c>
      <c r="CM211" s="421">
        <f>IF(WWWW[[#This Row],['#_of water points in TLS/CFS]]*500&gt;WWWW[[#This Row],[Total PoP ]],WWWW[[#This Row],[Total PoP ]],WWWW[[#This Row],['#_of water points in TLS/CFS]]*500)</f>
        <v>0</v>
      </c>
      <c r="CN211" s="421">
        <f>IF(WWWW[[#This Row],['#_of water points in THF]]*500&gt;WWWW[[#This Row],[Total PoP ]],WWWW[[#This Row],[Total PoP ]],WWWW[[#This Row],['#_of water points in THF]]*500)</f>
        <v>0</v>
      </c>
      <c r="CO211" s="421"/>
      <c r="CP211"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1"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1" s="970">
        <f>IF(WWWW[[#This Row],[Location Type 1]]="Village",WWWW[[#This Row],[Access to safe drinking water for Village]],WWWW[[#This Row],[Access to safe drinking water for Camp]])</f>
        <v>1</v>
      </c>
      <c r="CS211" s="968">
        <f>WWWW[[#This Row],[%Equitable and continuous access to sufficient quantity of safe drinking water]]*WWWW[[#This Row],[Total PoP ]]</f>
        <v>72</v>
      </c>
      <c r="CT211" s="970">
        <f>IF((WWWW[[#This Row],['#_Constructed/Existing protected/fenced ponds]]*250)/WWWW[[#This Row],[Total PoP ]]&gt;1,1,(WWWW[[#This Row],['#_Constructed/Existing protected/fenced ponds]]*250)/WWWW[[#This Row],[Total PoP ]])</f>
        <v>1</v>
      </c>
      <c r="CU211" s="968">
        <f>WWWW[[#This Row],[% Access to unimproved water points]]*WWWW[[#This Row],[Total PoP ]]</f>
        <v>72</v>
      </c>
      <c r="CV211"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1"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X211" s="968">
        <f>WWWW[[#This Row],[HRP1]]/500</f>
        <v>0.14399999999999999</v>
      </c>
      <c r="CY211" s="973">
        <f>1-WWWW[[#This Row],[% Equitable and continuous access to sufficient quantity of domestic water]]</f>
        <v>0</v>
      </c>
      <c r="CZ211" s="968">
        <f>WWWW[[#This Row],[%equitable and continuous access to sufficient quantity of safe drinking and domestic water''s GAP]]*WWWW[[#This Row],[Total PoP ]]</f>
        <v>0</v>
      </c>
      <c r="DA211" s="971">
        <f>IF(WWWW[[#This Row],[Total required water points]]-WWWW[[#This Row],['#Water points coverage]]&lt;0,0,WWWW[[#This Row],[Total required water points]]-WWWW[[#This Row],['#Water points coverage]])</f>
        <v>0.85599999999999998</v>
      </c>
      <c r="DB211" s="971">
        <f>ROUND(IF(WWWW[[#This Row],[Total PoP ]]&lt;500,1,WWWW[[#This Row],[Total PoP ]]/500),0)</f>
        <v>1</v>
      </c>
      <c r="DC211" s="971">
        <f>(WWWW[[#This Row],['#_Constructed latrines_by_WASHAgencies]]+WWWW[[#This Row],['#_Non Cluster partner latrines]])-WWWW[[#This Row],['#_Non-functional latrines]]</f>
        <v>2</v>
      </c>
      <c r="DD211" s="619">
        <f>WWWW[[#This Row],[HRP2]]/WWWW[[#This Row],[Total PoP ]]</f>
        <v>0.55555555555555558</v>
      </c>
      <c r="DE211"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211"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1"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1" s="421">
        <f>IF(WWWW[[#This Row],['# of functional latrines in THF supported by WASH partners during the reporting period2]]="",0,WWWW[[#This Row],['# of functional latrines in THF supported by WASH partners during the reporting period2]]*50)</f>
        <v>0</v>
      </c>
      <c r="DI211" s="971">
        <f>ROUND(IF(WWWW[[#This Row],[Location Type 1]]="camp",WWWW[[#This Row],[Total PoP ]]/20,IF(WWWW[[#This Row],[Location Type 1]]="Temporary Location",WWWW[[#This Row],[Total PoP ]]/50,(WWWW[[#This Row],[Total PoP ]]/6))),0)</f>
        <v>4</v>
      </c>
      <c r="DJ211" s="971">
        <f>IF(WWWW[[#This Row],[Total required Latrines]]-(WWWW[[#This Row],['#_Constructed latrines_by_WASHAgencies]]+WWWW[[#This Row],['#_Non Cluster partner latrines]])&lt;0,0,WWWW[[#This Row],[Total required Latrines]]-(WWWW[[#This Row],['#_Constructed latrines_by_WASHAgencies]]+WWWW[[#This Row],['#_Non Cluster partner latrines]]))</f>
        <v>2</v>
      </c>
      <c r="DK211" s="973">
        <f>1-WWWW[[#This Row],[% people access to functioning Latrine]]</f>
        <v>0.44444444444444442</v>
      </c>
      <c r="DL211" s="972">
        <f>IF(OR(WWWW[[#This Row],['#_Non-functional latrines]]="",WWWW[[#This Row],['#_Non-functional latrines]]=0),0,WWWW[[#This Row],['#_Non-functional latrines]]/(WWWW[[#This Row],['#_Constructed latrines_by_WASHAgencies]]+WWWW[[#This Row],['#_Non Cluster partner latrines]]))</f>
        <v>0</v>
      </c>
      <c r="DM211" s="968">
        <f>IF(500*(WWWW[[#This Row],['#_male hygiene promoters]]+WWWW[[#This Row],['#_female hygiene promoters]])&gt;WWWW[[#This Row],[Total PoP ]],WWWW[[#This Row],[Total PoP ]],500*(WWWW[[#This Row],['#_male hygiene promoters]]+WWWW[[#This Row],['#_female hygiene promoters]]))</f>
        <v>72</v>
      </c>
      <c r="DN211"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O211"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211" s="971">
        <f>IF(WWWW[[#This Row],['# People with access to soap]]&gt;WWWW[[#This Row],['# People with access to Sanity Pads]],WWWW[[#This Row],['# People with access to soap]],WWWW[[#This Row],['# People with access to Sanity Pads]])</f>
        <v>72</v>
      </c>
      <c r="DQ211" s="971">
        <f>IF(WWWW[[#This Row],['# people reached by regular dedicated hygiene promotion_5]]&gt;WWWW[[#This Row],['# People received regular supply of hygiene items_6]],WWWW[[#This Row],['# people reached by regular dedicated hygiene promotion_5]],WWWW[[#This Row],['# People received regular supply of hygiene items_6]])</f>
        <v>72</v>
      </c>
      <c r="DR211" s="973">
        <f>IF(WWWW[[#This Row],[HRP3]]/WWWW[[#This Row],[Total PoP ]]&gt;1,1,WWWW[[#This Row],[HRP3]]/WWWW[[#This Row],[Total PoP ]])</f>
        <v>1</v>
      </c>
      <c r="DS211" s="972">
        <f>1-WWWW[[#This Row],[Hygiene Coverage%]]</f>
        <v>0</v>
      </c>
      <c r="DT211" s="970">
        <f>WWWW[[#This Row],['# people reached by regular dedicated hygiene promotion_5]]/WWWW[[#This Row],[Total PoP ]]</f>
        <v>1</v>
      </c>
      <c r="DU211"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11"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11" s="971">
        <f>WWWW[[#This Row],['#_Constructed/Existing hand washing stations]]-WWWW[[#This Row],['#_Non-Functional_hand_washing_stations]]</f>
        <v>2</v>
      </c>
      <c r="DX211" s="968">
        <f>IF(WWWW[[#This Row],['# Functional hand washing stations during reporting period]]*20&gt;WWWW[[#This Row],[Total HH]],WWWW[[#This Row],[Total HH]],WWWW[[#This Row],['# Functional hand washing stations during reporting period]]*20)</f>
        <v>16</v>
      </c>
      <c r="DY211" s="968">
        <f>IF(WWWW[[#This Row],[Is sufficient soap available for TLS? (Yes/No)]]="yes",WWWW[[#This Row],['#_Constructed/Existing hand washing stations at TLS/CFS/THF]],0)</f>
        <v>0</v>
      </c>
      <c r="DZ211" s="425">
        <f>IF(WWWW[[#This Row],['# Functional hand washing stations during reporting period]]*100&gt;WWWW[[#This Row],[Total PoP ]],WWWW[[#This Row],[Total PoP ]],WWWW[[#This Row],['# Functional hand washing stations during reporting period]]*100)</f>
        <v>72</v>
      </c>
      <c r="EA211" s="425" t="str">
        <f>IF(OR(WWWW[[#This Row],['#_students at TLS_CFS]]="",WWWW[[#This Row],['#_students at TLS_CFS]]=0),"No","Yes")</f>
        <v>No</v>
      </c>
      <c r="EB211"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1" s="570">
        <f>WWWW[[#This Row],[%_of_affected_people_surveyed_who_report_feeling_satistfied_with_the_latrine_design_and_sanitation_service]]*WWWW[[#This Row],[Total PoP ]]</f>
        <v>72</v>
      </c>
      <c r="ED211" s="570">
        <f>WWWW[[#This Row],[%_of_affected_people_surveyed_who_report_feeling_satistfied_with_the_water_point_design_and_water_service]]*WWWW[[#This Row],[Total PoP ]]</f>
        <v>14.4</v>
      </c>
      <c r="EE211" s="570">
        <f>WWWW[[#This Row],[%_of_complaints_received_that_result_in_timely_corrective_action_and_feedback_to_the_community]]*WWWW[[#This Row],[Total PoP ]]</f>
        <v>14.4</v>
      </c>
      <c r="EF211"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72</v>
      </c>
      <c r="EG211"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1"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1" s="964" t="str">
        <f>VLOOKUP(WWWW[[#This Row],[Site Name]],SiteDB6[[Site Name]:[CCCM Management]],6,FALSE)</f>
        <v>Yes</v>
      </c>
      <c r="EJ211" s="964" t="str">
        <f>VLOOKUP(WWWW[[#This Row],[Site Name]],SiteDB6[[Site Name]:[CCCM Focal Agency]],7,FALSE)</f>
        <v>Shalom</v>
      </c>
      <c r="EK211" s="964" t="str">
        <f>VLOOKUP(WWWW[[#This Row],[Site Name]],SiteDB6[[Site Name]:[Location Type 1]],9,FALSE)</f>
        <v>Camp</v>
      </c>
      <c r="EL211" s="964" t="str">
        <f>VLOOKUP(WWWW[[#This Row],[Site Name]],SiteDB6[[Site Name]:[Type of Accommodation]],10,FALSE)</f>
        <v>Camp like setting</v>
      </c>
      <c r="EM211" s="964" t="str">
        <f>VLOOKUP(WWWW[[#This Row],[Site Name]],SiteDB6[[Site Name]:[Ethnic or GCA/NGCA]],11,FALSE)</f>
        <v>GCA</v>
      </c>
      <c r="EN211" s="964">
        <f>VLOOKUP(WWWW[[#This Row],[Site Name]],SiteDB6[[Site Name]:[Lat]],12,FALSE)</f>
        <v>25.56551</v>
      </c>
      <c r="EO211" s="964">
        <f>VLOOKUP(WWWW[[#This Row],[Site Name]],SiteDB6[[Site Name]:[Long]],13,FALSE)</f>
        <v>96.279200000000003</v>
      </c>
      <c r="EP211" s="964" t="str">
        <f>VLOOKUP(WWWW[[#This Row],[Site Name]],SiteDB6[[Site Name]:[Pcode]],3,FALSE)</f>
        <v>MMR001CMP182</v>
      </c>
      <c r="EQ211" s="969" t="str">
        <f t="shared" si="7"/>
        <v>Covered</v>
      </c>
      <c r="ER211" s="969" t="s">
        <v>3147</v>
      </c>
      <c r="ES211" s="964">
        <f>VLOOKUP(WWWW[[#This Row],[Site Name]],SiteDB6[[Site Name]:[Pop
(Kachin/Shan-CCCM as of March 2023)]],16,FALSE)</f>
        <v>16</v>
      </c>
      <c r="ET211" s="964">
        <f>VLOOKUP(WWWW[[#This Row],[Site Name]],SiteDB6[[Site Name]:[Pop
(Kachin/Shan-CCCM as of March 2023)]],17,FALSE)</f>
        <v>72</v>
      </c>
    </row>
    <row r="212" spans="1:150">
      <c r="A212" s="962" t="s">
        <v>2977</v>
      </c>
      <c r="B212" s="962" t="s">
        <v>242</v>
      </c>
      <c r="C212" s="963" t="s">
        <v>242</v>
      </c>
      <c r="D212" s="963" t="s">
        <v>3207</v>
      </c>
      <c r="E212" s="963" t="s">
        <v>37</v>
      </c>
      <c r="F212" s="963" t="s">
        <v>195</v>
      </c>
      <c r="G212" s="964" t="s">
        <v>43</v>
      </c>
      <c r="H212" s="963" t="s">
        <v>3209</v>
      </c>
      <c r="I212" s="965">
        <v>67</v>
      </c>
      <c r="J212" s="965">
        <v>324</v>
      </c>
      <c r="K212" s="966">
        <v>44927</v>
      </c>
      <c r="L212" s="967">
        <v>45291</v>
      </c>
      <c r="M212" s="965"/>
      <c r="N212" s="965"/>
      <c r="O212" s="965">
        <v>1</v>
      </c>
      <c r="P212" s="965"/>
      <c r="Q212" s="968" t="s">
        <v>41</v>
      </c>
      <c r="R212" s="965">
        <v>2</v>
      </c>
      <c r="S212" s="965">
        <v>3</v>
      </c>
      <c r="T212" s="445"/>
      <c r="U212" s="965"/>
      <c r="V212" s="965"/>
      <c r="W212" s="965"/>
      <c r="X212" s="965"/>
      <c r="Y212" s="965"/>
      <c r="Z212" s="965"/>
      <c r="AA212" s="965"/>
      <c r="AB212" s="965"/>
      <c r="AC212" s="965"/>
      <c r="AD212" s="965"/>
      <c r="AE212" s="965"/>
      <c r="AF212" s="965"/>
      <c r="AG212" s="965"/>
      <c r="AH212" s="965"/>
      <c r="AI212" s="965"/>
      <c r="AJ212" s="965"/>
      <c r="AK212" s="965"/>
      <c r="AL212" s="965"/>
      <c r="AM212" s="965">
        <v>1</v>
      </c>
      <c r="AN212" s="965"/>
      <c r="AO212" s="445"/>
      <c r="AP212" s="969"/>
      <c r="AQ212" s="965">
        <v>7</v>
      </c>
      <c r="AR212" s="965"/>
      <c r="AS212" s="970"/>
      <c r="AT212" s="965"/>
      <c r="AU212" s="965"/>
      <c r="AV212" s="965"/>
      <c r="AW212" s="965"/>
      <c r="AX212" s="965">
        <v>6</v>
      </c>
      <c r="AY212" s="964" t="s">
        <v>41</v>
      </c>
      <c r="AZ212" s="969" t="s">
        <v>137</v>
      </c>
      <c r="BA212" s="965"/>
      <c r="BB212" s="965"/>
      <c r="BC212" s="965"/>
      <c r="BD212" s="445"/>
      <c r="BE212" s="445">
        <v>4</v>
      </c>
      <c r="BF212" s="964"/>
      <c r="BG212" s="965">
        <v>1</v>
      </c>
      <c r="BH212" s="965"/>
      <c r="BI212" s="965"/>
      <c r="BJ212" s="965">
        <v>8</v>
      </c>
      <c r="BK212" s="965"/>
      <c r="BL212" s="965"/>
      <c r="BM212" s="965">
        <v>1</v>
      </c>
      <c r="BN212" s="965"/>
      <c r="BO212" s="965"/>
      <c r="BP212" s="964"/>
      <c r="BQ212" s="971"/>
      <c r="BR212" s="970">
        <v>0.65</v>
      </c>
      <c r="BS212" s="964"/>
      <c r="BT212" s="420">
        <v>0.75</v>
      </c>
      <c r="BU212" s="420">
        <v>0.5</v>
      </c>
      <c r="BV212" s="422"/>
      <c r="BW212" s="420">
        <v>0.95</v>
      </c>
      <c r="BX212" s="445"/>
      <c r="BY212" s="445"/>
      <c r="BZ212" s="445"/>
      <c r="CA212" s="445"/>
      <c r="CB212" s="445"/>
      <c r="CC212" s="702"/>
      <c r="CD212" s="445"/>
      <c r="CE212" s="972" t="str">
        <f>IFERROR(WWWW[[#This Row],['#_Water sources passed]]/WWWW[[#This Row],['#_Water sources tested for fecal coliform ]],"no test")</f>
        <v>no test</v>
      </c>
      <c r="CF212" s="970" t="str">
        <f>IFERROR(WWWW[[#This Row],['#_Household passed]]/WWWW[[#This Row],['#_Household water samples tested for fecal coliform]],"no test")</f>
        <v>no test</v>
      </c>
      <c r="CG212" s="971" t="str">
        <f>IF(AND(WWWW[[#This Row],[% of water sources passed]]="no test",WWWW[[#This Row],[% Household passed]]="no test"),"No Test","Tested")</f>
        <v>No Test</v>
      </c>
      <c r="CH212" s="971">
        <f>WWWW[[#This Row],['#_Constructed/existing protected hand dug well]]-WWWW[[#This Row],['#_Non-functional protected hand dug well]]</f>
        <v>0</v>
      </c>
      <c r="CI212" s="971">
        <f>(WWWW[[#This Row],['#_Constructed/Existing tube wells/boreholes/handpumps_WASH_agency]]+WWWW[[#This Row],['#_Non-Cluster partner water tube-wells/boreholes/handpumps]])-WWWW[[#This Row],['#_Non-functional tube wells/boreholes/handpumps]]</f>
        <v>0</v>
      </c>
      <c r="CJ212" s="971">
        <f>WWWW[[#This Row],['#_Constructed/Existingwater storage tank with gravity fed reticulation system]]-WWWW[[#This Row],['#_Non-functional storage tank gravity fed reticulation system]]</f>
        <v>0</v>
      </c>
      <c r="CK212" s="971">
        <f>(WWWW[[#This Row],['#_Water_Liters_supplied_by_Water boating or water trucking]]/90)/15</f>
        <v>0</v>
      </c>
      <c r="CL212" s="971">
        <f>WWWW[[#This Row],['#_Water_Liters_from_Constructed/Existing water distribution system from river or natural spring]]/90/15</f>
        <v>0</v>
      </c>
      <c r="CM212" s="421">
        <f>IF(WWWW[[#This Row],['#_of water points in TLS/CFS]]*500&gt;WWWW[[#This Row],[Total PoP ]],WWWW[[#This Row],[Total PoP ]],WWWW[[#This Row],['#_of water points in TLS/CFS]]*500)</f>
        <v>0</v>
      </c>
      <c r="CN212" s="421">
        <f>IF(WWWW[[#This Row],['#_of water points in THF]]*500&gt;WWWW[[#This Row],[Total PoP ]],WWWW[[#This Row],[Total PoP ]],WWWW[[#This Row],['#_of water points in THF]]*500)</f>
        <v>0</v>
      </c>
      <c r="CO212" s="421"/>
      <c r="CP212"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12"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12" s="970">
        <f>IF(WWWW[[#This Row],[Location Type 1]]="Village",WWWW[[#This Row],[Access to safe drinking water for Village]],WWWW[[#This Row],[Access to safe drinking water for Camp]])</f>
        <v>0</v>
      </c>
      <c r="CS212" s="968">
        <f>WWWW[[#This Row],[%Equitable and continuous access to sufficient quantity of safe drinking water]]*WWWW[[#This Row],[Total PoP ]]</f>
        <v>0</v>
      </c>
      <c r="CT212" s="970">
        <f>IF((WWWW[[#This Row],['#_Constructed/Existing protected/fenced ponds]]*250)/WWWW[[#This Row],[Total PoP ]]&gt;1,1,(WWWW[[#This Row],['#_Constructed/Existing protected/fenced ponds]]*250)/WWWW[[#This Row],[Total PoP ]])</f>
        <v>0</v>
      </c>
      <c r="CU212" s="968">
        <f>WWWW[[#This Row],[% Access to unimproved water points]]*WWWW[[#This Row],[Total PoP ]]</f>
        <v>0</v>
      </c>
      <c r="CV212"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12"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12" s="968">
        <f>WWWW[[#This Row],[HRP1]]/500</f>
        <v>0</v>
      </c>
      <c r="CY212" s="973">
        <f>1-WWWW[[#This Row],[% Equitable and continuous access to sufficient quantity of domestic water]]</f>
        <v>1</v>
      </c>
      <c r="CZ212" s="968">
        <f>WWWW[[#This Row],[%equitable and continuous access to sufficient quantity of safe drinking and domestic water''s GAP]]*WWWW[[#This Row],[Total PoP ]]</f>
        <v>324</v>
      </c>
      <c r="DA212" s="971">
        <f>IF(WWWW[[#This Row],[Total required water points]]-WWWW[[#This Row],['#Water points coverage]]&lt;0,0,WWWW[[#This Row],[Total required water points]]-WWWW[[#This Row],['#Water points coverage]])</f>
        <v>1</v>
      </c>
      <c r="DB212" s="971">
        <f>ROUND(IF(WWWW[[#This Row],[Total PoP ]]&lt;500,1,WWWW[[#This Row],[Total PoP ]]/500),0)</f>
        <v>1</v>
      </c>
      <c r="DC212" s="971">
        <f>(WWWW[[#This Row],['#_Constructed latrines_by_WASHAgencies]]+WWWW[[#This Row],['#_Non Cluster partner latrines]])-WWWW[[#This Row],['#_Non-functional latrines]]</f>
        <v>7</v>
      </c>
      <c r="DD212" s="619">
        <f>WWWW[[#This Row],[HRP2]]/WWWW[[#This Row],[Total PoP ]]</f>
        <v>0.44444444444444442</v>
      </c>
      <c r="DE212"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212"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2"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2" s="421">
        <f>IF(WWWW[[#This Row],['# of functional latrines in THF supported by WASH partners during the reporting period2]]="",0,WWWW[[#This Row],['# of functional latrines in THF supported by WASH partners during the reporting period2]]*50)</f>
        <v>0</v>
      </c>
      <c r="DI212" s="971">
        <f>ROUND(IF(WWWW[[#This Row],[Location Type 1]]="camp",WWWW[[#This Row],[Total PoP ]]/20,IF(WWWW[[#This Row],[Location Type 1]]="Temporary Location",WWWW[[#This Row],[Total PoP ]]/50,(WWWW[[#This Row],[Total PoP ]]/6))),0)</f>
        <v>16</v>
      </c>
      <c r="DJ212" s="971">
        <f>IF(WWWW[[#This Row],[Total required Latrines]]-(WWWW[[#This Row],['#_Constructed latrines_by_WASHAgencies]]+WWWW[[#This Row],['#_Non Cluster partner latrines]])&lt;0,0,WWWW[[#This Row],[Total required Latrines]]-(WWWW[[#This Row],['#_Constructed latrines_by_WASHAgencies]]+WWWW[[#This Row],['#_Non Cluster partner latrines]]))</f>
        <v>9</v>
      </c>
      <c r="DK212" s="973">
        <f>1-WWWW[[#This Row],[% people access to functioning Latrine]]</f>
        <v>0.55555555555555558</v>
      </c>
      <c r="DL212" s="972">
        <f>IF(OR(WWWW[[#This Row],['#_Non-functional latrines]]="",WWWW[[#This Row],['#_Non-functional latrines]]=0),0,WWWW[[#This Row],['#_Non-functional latrines]]/(WWWW[[#This Row],['#_Constructed latrines_by_WASHAgencies]]+WWWW[[#This Row],['#_Non Cluster partner latrines]]))</f>
        <v>0</v>
      </c>
      <c r="DM212" s="968">
        <f>IF(500*(WWWW[[#This Row],['#_male hygiene promoters]]+WWWW[[#This Row],['#_female hygiene promoters]])&gt;WWWW[[#This Row],[Total PoP ]],WWWW[[#This Row],[Total PoP ]],500*(WWWW[[#This Row],['#_male hygiene promoters]]+WWWW[[#This Row],['#_female hygiene promoters]]))</f>
        <v>324</v>
      </c>
      <c r="DN212"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2"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2" s="971">
        <f>IF(WWWW[[#This Row],['# People with access to soap]]&gt;WWWW[[#This Row],['# People with access to Sanity Pads]],WWWW[[#This Row],['# People with access to soap]],WWWW[[#This Row],['# People with access to Sanity Pads]])</f>
        <v>0</v>
      </c>
      <c r="DQ212" s="971">
        <f>IF(WWWW[[#This Row],['# people reached by regular dedicated hygiene promotion_5]]&gt;WWWW[[#This Row],['# People received regular supply of hygiene items_6]],WWWW[[#This Row],['# people reached by regular dedicated hygiene promotion_5]],WWWW[[#This Row],['# People received regular supply of hygiene items_6]])</f>
        <v>324</v>
      </c>
      <c r="DR212" s="973">
        <f>IF(WWWW[[#This Row],[HRP3]]/WWWW[[#This Row],[Total PoP ]]&gt;1,1,WWWW[[#This Row],[HRP3]]/WWWW[[#This Row],[Total PoP ]])</f>
        <v>1</v>
      </c>
      <c r="DS212" s="972">
        <f>1-WWWW[[#This Row],[Hygiene Coverage%]]</f>
        <v>0</v>
      </c>
      <c r="DT212" s="970">
        <f>WWWW[[#This Row],['# people reached by regular dedicated hygiene promotion_5]]/WWWW[[#This Row],[Total PoP ]]</f>
        <v>1</v>
      </c>
      <c r="DU212"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2"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2" s="971">
        <f>WWWW[[#This Row],['#_Constructed/Existing hand washing stations]]-WWWW[[#This Row],['#_Non-Functional_hand_washing_stations]]</f>
        <v>1</v>
      </c>
      <c r="DX212" s="968">
        <f>IF(WWWW[[#This Row],['# Functional hand washing stations during reporting period]]*20&gt;WWWW[[#This Row],[Total HH]],WWWW[[#This Row],[Total HH]],WWWW[[#This Row],['# Functional hand washing stations during reporting period]]*20)</f>
        <v>20</v>
      </c>
      <c r="DY212" s="968">
        <f>IF(WWWW[[#This Row],[Is sufficient soap available for TLS? (Yes/No)]]="yes",WWWW[[#This Row],['#_Constructed/Existing hand washing stations at TLS/CFS/THF]],0)</f>
        <v>0</v>
      </c>
      <c r="DZ212" s="425">
        <f>IF(WWWW[[#This Row],['# Functional hand washing stations during reporting period]]*100&gt;WWWW[[#This Row],[Total PoP ]],WWWW[[#This Row],[Total PoP ]],WWWW[[#This Row],['# Functional hand washing stations during reporting period]]*100)</f>
        <v>100</v>
      </c>
      <c r="EA212" s="425" t="str">
        <f>IF(OR(WWWW[[#This Row],['#_students at TLS_CFS]]="",WWWW[[#This Row],['#_students at TLS_CFS]]=0),"No","Yes")</f>
        <v>No</v>
      </c>
      <c r="EB212"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2" s="570">
        <f>WWWW[[#This Row],[%_of_affected_people_surveyed_who_report_feeling_satistfied_with_the_latrine_design_and_sanitation_service]]*WWWW[[#This Row],[Total PoP ]]</f>
        <v>243</v>
      </c>
      <c r="ED212" s="570">
        <f>WWWW[[#This Row],[%_of_affected_people_surveyed_who_report_feeling_satistfied_with_the_water_point_design_and_water_service]]*WWWW[[#This Row],[Total PoP ]]</f>
        <v>162</v>
      </c>
      <c r="EE212" s="570">
        <f>WWWW[[#This Row],[%_of_complaints_received_that_result_in_timely_corrective_action_and_feedback_to_the_community]]*WWWW[[#This Row],[Total PoP ]]</f>
        <v>307.8</v>
      </c>
      <c r="EF212"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307.8</v>
      </c>
      <c r="EG212"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2"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2" s="964" t="e">
        <f>VLOOKUP(WWWW[[#This Row],[Site Name]],SiteDB6[[Site Name]:[CCCM Management]],6,FALSE)</f>
        <v>#N/A</v>
      </c>
      <c r="EJ212" s="964" t="e">
        <f>VLOOKUP(WWWW[[#This Row],[Site Name]],SiteDB6[[Site Name]:[CCCM Focal Agency]],7,FALSE)</f>
        <v>#N/A</v>
      </c>
      <c r="EK212" s="964" t="s">
        <v>43</v>
      </c>
      <c r="EL212" s="964" t="s">
        <v>43</v>
      </c>
      <c r="EM212" s="964" t="s">
        <v>44</v>
      </c>
      <c r="EN212" s="964" t="e">
        <f>VLOOKUP(WWWW[[#This Row],[Site Name]],SiteDB6[[Site Name]:[Lat]],12,FALSE)</f>
        <v>#N/A</v>
      </c>
      <c r="EO212" s="964" t="e">
        <f>VLOOKUP(WWWW[[#This Row],[Site Name]],SiteDB6[[Site Name]:[Long]],13,FALSE)</f>
        <v>#N/A</v>
      </c>
      <c r="EP212" s="964" t="e">
        <f>VLOOKUP(WWWW[[#This Row],[Site Name]],SiteDB6[[Site Name]:[Pcode]],3,FALSE)</f>
        <v>#N/A</v>
      </c>
      <c r="EQ212" s="969" t="str">
        <f t="shared" si="7"/>
        <v>Covered</v>
      </c>
      <c r="ER212" s="969" t="s">
        <v>3147</v>
      </c>
      <c r="ES212" s="964" t="e">
        <f>VLOOKUP(WWWW[[#This Row],[Site Name]],SiteDB6[[Site Name]:[Pop
(Kachin/Shan-CCCM as of March 2023)]],16,FALSE)</f>
        <v>#N/A</v>
      </c>
      <c r="ET212" s="964" t="e">
        <f>VLOOKUP(WWWW[[#This Row],[Site Name]],SiteDB6[[Site Name]:[Pop
(Kachin/Shan-CCCM as of March 2023)]],17,FALSE)</f>
        <v>#N/A</v>
      </c>
    </row>
    <row r="213" spans="1:150" hidden="1">
      <c r="A213" s="962" t="s">
        <v>2977</v>
      </c>
      <c r="B213" s="962" t="s">
        <v>242</v>
      </c>
      <c r="C213" s="963" t="s">
        <v>242</v>
      </c>
      <c r="D213" s="963" t="s">
        <v>3207</v>
      </c>
      <c r="E213" s="963" t="s">
        <v>37</v>
      </c>
      <c r="F213" s="963" t="s">
        <v>159</v>
      </c>
      <c r="G213" s="964" t="str">
        <f>VLOOKUP(WWWW[[#This Row],[Site Name]],SiteDB6[[Site Name]:[Location Type]],8,FALSE)</f>
        <v>Camp</v>
      </c>
      <c r="H213" s="963" t="s">
        <v>2883</v>
      </c>
      <c r="I213" s="965">
        <v>16</v>
      </c>
      <c r="J213" s="965">
        <v>94</v>
      </c>
      <c r="K213" s="966">
        <v>44927</v>
      </c>
      <c r="L213" s="967">
        <v>45291</v>
      </c>
      <c r="M213" s="965"/>
      <c r="N213" s="965"/>
      <c r="O213" s="965">
        <v>1</v>
      </c>
      <c r="P213" s="965"/>
      <c r="Q213" s="968" t="s">
        <v>41</v>
      </c>
      <c r="R213" s="965">
        <v>2</v>
      </c>
      <c r="S213" s="965">
        <v>2</v>
      </c>
      <c r="T213" s="445">
        <v>1</v>
      </c>
      <c r="U213" s="965">
        <v>1</v>
      </c>
      <c r="V213" s="965"/>
      <c r="W213" s="965">
        <v>2</v>
      </c>
      <c r="X213" s="965"/>
      <c r="Y213" s="965"/>
      <c r="Z213" s="965"/>
      <c r="AA213" s="965"/>
      <c r="AB213" s="965"/>
      <c r="AC213" s="965"/>
      <c r="AD213" s="965"/>
      <c r="AE213" s="965">
        <v>2</v>
      </c>
      <c r="AF213" s="965"/>
      <c r="AG213" s="965"/>
      <c r="AH213" s="965"/>
      <c r="AI213" s="965"/>
      <c r="AJ213" s="965"/>
      <c r="AK213" s="965"/>
      <c r="AL213" s="965"/>
      <c r="AM213" s="965">
        <v>3</v>
      </c>
      <c r="AN213" s="965"/>
      <c r="AO213" s="445"/>
      <c r="AP213" s="969"/>
      <c r="AQ213" s="965">
        <v>7</v>
      </c>
      <c r="AR213" s="965"/>
      <c r="AS213" s="970" t="s">
        <v>2134</v>
      </c>
      <c r="AT213" s="965"/>
      <c r="AU213" s="965"/>
      <c r="AV213" s="965"/>
      <c r="AW213" s="965"/>
      <c r="AX213" s="965">
        <v>7</v>
      </c>
      <c r="AY213" s="964" t="s">
        <v>41</v>
      </c>
      <c r="AZ213" s="969" t="s">
        <v>137</v>
      </c>
      <c r="BA213" s="965"/>
      <c r="BB213" s="965"/>
      <c r="BC213" s="965"/>
      <c r="BD213" s="445"/>
      <c r="BE213" s="445">
        <v>3</v>
      </c>
      <c r="BF213" s="964"/>
      <c r="BG213" s="965">
        <v>3</v>
      </c>
      <c r="BH213" s="965"/>
      <c r="BI213" s="965"/>
      <c r="BJ213" s="965">
        <v>2</v>
      </c>
      <c r="BK213" s="965"/>
      <c r="BL213" s="965">
        <v>1</v>
      </c>
      <c r="BM213" s="965"/>
      <c r="BN213" s="965">
        <v>16</v>
      </c>
      <c r="BO213" s="965"/>
      <c r="BP213" s="964" t="s">
        <v>41</v>
      </c>
      <c r="BQ213" s="971">
        <v>1</v>
      </c>
      <c r="BR213" s="970">
        <v>1</v>
      </c>
      <c r="BS213" s="964"/>
      <c r="BT213" s="420">
        <v>0.9</v>
      </c>
      <c r="BU213" s="420">
        <v>0.9</v>
      </c>
      <c r="BV213" s="422"/>
      <c r="BW213" s="420"/>
      <c r="BX213" s="445"/>
      <c r="BY213" s="445"/>
      <c r="BZ213" s="445"/>
      <c r="CA213" s="445"/>
      <c r="CB213" s="445"/>
      <c r="CC213" s="702"/>
      <c r="CD213" s="445"/>
      <c r="CE213" s="972" t="str">
        <f>IFERROR(WWWW[[#This Row],['#_Water sources passed]]/WWWW[[#This Row],['#_Water sources tested for fecal coliform ]],"no test")</f>
        <v>no test</v>
      </c>
      <c r="CF213" s="970" t="str">
        <f>IFERROR(WWWW[[#This Row],['#_Household passed]]/WWWW[[#This Row],['#_Household water samples tested for fecal coliform]],"no test")</f>
        <v>no test</v>
      </c>
      <c r="CG213" s="971" t="str">
        <f>IF(AND(WWWW[[#This Row],[% of water sources passed]]="no test",WWWW[[#This Row],[% Household passed]]="no test"),"No Test","Tested")</f>
        <v>No Test</v>
      </c>
      <c r="CH213" s="971">
        <f>WWWW[[#This Row],['#_Constructed/existing protected hand dug well]]-WWWW[[#This Row],['#_Non-functional protected hand dug well]]</f>
        <v>0</v>
      </c>
      <c r="CI213" s="971">
        <f>(WWWW[[#This Row],['#_Constructed/Existing tube wells/boreholes/handpumps_WASH_agency]]+WWWW[[#This Row],['#_Non-Cluster partner water tube-wells/boreholes/handpumps]])-WWWW[[#This Row],['#_Non-functional tube wells/boreholes/handpumps]]</f>
        <v>2</v>
      </c>
      <c r="CJ213" s="971">
        <f>WWWW[[#This Row],['#_Constructed/Existingwater storage tank with gravity fed reticulation system]]-WWWW[[#This Row],['#_Non-functional storage tank gravity fed reticulation system]]</f>
        <v>0</v>
      </c>
      <c r="CK213" s="971">
        <f>(WWWW[[#This Row],['#_Water_Liters_supplied_by_Water boating or water trucking]]/90)/15</f>
        <v>0</v>
      </c>
      <c r="CL213" s="971">
        <f>WWWW[[#This Row],['#_Water_Liters_from_Constructed/Existing water distribution system from river or natural spring]]/90/15</f>
        <v>0</v>
      </c>
      <c r="CM213" s="421">
        <f>IF(WWWW[[#This Row],['#_of water points in TLS/CFS]]*500&gt;WWWW[[#This Row],[Total PoP ]],WWWW[[#This Row],[Total PoP ]],WWWW[[#This Row],['#_of water points in TLS/CFS]]*500)</f>
        <v>0</v>
      </c>
      <c r="CN213" s="421">
        <f>IF(WWWW[[#This Row],['#_of water points in THF]]*500&gt;WWWW[[#This Row],[Total PoP ]],WWWW[[#This Row],[Total PoP ]],WWWW[[#This Row],['#_of water points in THF]]*500)</f>
        <v>0</v>
      </c>
      <c r="CO213" s="421"/>
      <c r="CP213"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3"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3" s="970">
        <f>IF(WWWW[[#This Row],[Location Type 1]]="Village",WWWW[[#This Row],[Access to safe drinking water for Village]],WWWW[[#This Row],[Access to safe drinking water for Camp]])</f>
        <v>1</v>
      </c>
      <c r="CS213" s="968">
        <f>WWWW[[#This Row],[%Equitable and continuous access to sufficient quantity of safe drinking water]]*WWWW[[#This Row],[Total PoP ]]</f>
        <v>94</v>
      </c>
      <c r="CT213" s="970">
        <f>IF((WWWW[[#This Row],['#_Constructed/Existing protected/fenced ponds]]*250)/WWWW[[#This Row],[Total PoP ]]&gt;1,1,(WWWW[[#This Row],['#_Constructed/Existing protected/fenced ponds]]*250)/WWWW[[#This Row],[Total PoP ]])</f>
        <v>1</v>
      </c>
      <c r="CU213" s="968">
        <f>WWWW[[#This Row],[% Access to unimproved water points]]*WWWW[[#This Row],[Total PoP ]]</f>
        <v>94</v>
      </c>
      <c r="CV213"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3"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X213" s="968">
        <f>WWWW[[#This Row],[HRP1]]/500</f>
        <v>0.188</v>
      </c>
      <c r="CY213" s="973">
        <f>1-WWWW[[#This Row],[% Equitable and continuous access to sufficient quantity of domestic water]]</f>
        <v>0</v>
      </c>
      <c r="CZ213" s="968">
        <f>WWWW[[#This Row],[%equitable and continuous access to sufficient quantity of safe drinking and domestic water''s GAP]]*WWWW[[#This Row],[Total PoP ]]</f>
        <v>0</v>
      </c>
      <c r="DA213" s="971">
        <f>IF(WWWW[[#This Row],[Total required water points]]-WWWW[[#This Row],['#Water points coverage]]&lt;0,0,WWWW[[#This Row],[Total required water points]]-WWWW[[#This Row],['#Water points coverage]])</f>
        <v>0.81200000000000006</v>
      </c>
      <c r="DB213" s="971">
        <f>ROUND(IF(WWWW[[#This Row],[Total PoP ]]&lt;500,1,WWWW[[#This Row],[Total PoP ]]/500),0)</f>
        <v>1</v>
      </c>
      <c r="DC213" s="971">
        <f>(WWWW[[#This Row],['#_Constructed latrines_by_WASHAgencies]]+WWWW[[#This Row],['#_Non Cluster partner latrines]])-WWWW[[#This Row],['#_Non-functional latrines]]</f>
        <v>7</v>
      </c>
      <c r="DD213" s="619">
        <f>WWWW[[#This Row],[HRP2]]/WWWW[[#This Row],[Total PoP ]]</f>
        <v>1</v>
      </c>
      <c r="DE213"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94</v>
      </c>
      <c r="DF213"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3"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3" s="421">
        <f>IF(WWWW[[#This Row],['# of functional latrines in THF supported by WASH partners during the reporting period2]]="",0,WWWW[[#This Row],['# of functional latrines in THF supported by WASH partners during the reporting period2]]*50)</f>
        <v>0</v>
      </c>
      <c r="DI213" s="971">
        <f>ROUND(IF(WWWW[[#This Row],[Location Type 1]]="camp",WWWW[[#This Row],[Total PoP ]]/20,IF(WWWW[[#This Row],[Location Type 1]]="Temporary Location",WWWW[[#This Row],[Total PoP ]]/50,(WWWW[[#This Row],[Total PoP ]]/6))),0)</f>
        <v>5</v>
      </c>
      <c r="DJ213" s="971">
        <f>IF(WWWW[[#This Row],[Total required Latrines]]-(WWWW[[#This Row],['#_Constructed latrines_by_WASHAgencies]]+WWWW[[#This Row],['#_Non Cluster partner latrines]])&lt;0,0,WWWW[[#This Row],[Total required Latrines]]-(WWWW[[#This Row],['#_Constructed latrines_by_WASHAgencies]]+WWWW[[#This Row],['#_Non Cluster partner latrines]]))</f>
        <v>0</v>
      </c>
      <c r="DK213" s="973">
        <f>1-WWWW[[#This Row],[% people access to functioning Latrine]]</f>
        <v>0</v>
      </c>
      <c r="DL213" s="972">
        <f>IF(OR(WWWW[[#This Row],['#_Non-functional latrines]]="",WWWW[[#This Row],['#_Non-functional latrines]]=0),0,WWWW[[#This Row],['#_Non-functional latrines]]/(WWWW[[#This Row],['#_Constructed latrines_by_WASHAgencies]]+WWWW[[#This Row],['#_Non Cluster partner latrines]]))</f>
        <v>0</v>
      </c>
      <c r="DM213" s="968">
        <f>IF(500*(WWWW[[#This Row],['#_male hygiene promoters]]+WWWW[[#This Row],['#_female hygiene promoters]])&gt;WWWW[[#This Row],[Total PoP ]],WWWW[[#This Row],[Total PoP ]],500*(WWWW[[#This Row],['#_male hygiene promoters]]+WWWW[[#This Row],['#_female hygiene promoters]]))</f>
        <v>94</v>
      </c>
      <c r="DN213"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O213"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3" s="971">
        <f>IF(WWWW[[#This Row],['# People with access to soap]]&gt;WWWW[[#This Row],['# People with access to Sanity Pads]],WWWW[[#This Row],['# People with access to soap]],WWWW[[#This Row],['# People with access to Sanity Pads]])</f>
        <v>94</v>
      </c>
      <c r="DQ213" s="971">
        <f>IF(WWWW[[#This Row],['# people reached by regular dedicated hygiene promotion_5]]&gt;WWWW[[#This Row],['# People received regular supply of hygiene items_6]],WWWW[[#This Row],['# people reached by regular dedicated hygiene promotion_5]],WWWW[[#This Row],['# People received regular supply of hygiene items_6]])</f>
        <v>94</v>
      </c>
      <c r="DR213" s="973">
        <f>IF(WWWW[[#This Row],[HRP3]]/WWWW[[#This Row],[Total PoP ]]&gt;1,1,WWWW[[#This Row],[HRP3]]/WWWW[[#This Row],[Total PoP ]])</f>
        <v>1</v>
      </c>
      <c r="DS213" s="972">
        <f>1-WWWW[[#This Row],[Hygiene Coverage%]]</f>
        <v>0</v>
      </c>
      <c r="DT213" s="970">
        <f>WWWW[[#This Row],['# people reached by regular dedicated hygiene promotion_5]]/WWWW[[#This Row],[Total PoP ]]</f>
        <v>1</v>
      </c>
      <c r="DU213"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13"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3" s="971">
        <f>WWWW[[#This Row],['#_Constructed/Existing hand washing stations]]-WWWW[[#This Row],['#_Non-Functional_hand_washing_stations]]</f>
        <v>3</v>
      </c>
      <c r="DX213" s="968">
        <f>IF(WWWW[[#This Row],['# Functional hand washing stations during reporting period]]*20&gt;WWWW[[#This Row],[Total HH]],WWWW[[#This Row],[Total HH]],WWWW[[#This Row],['# Functional hand washing stations during reporting period]]*20)</f>
        <v>16</v>
      </c>
      <c r="DY213" s="968">
        <f>IF(WWWW[[#This Row],[Is sufficient soap available for TLS? (Yes/No)]]="yes",WWWW[[#This Row],['#_Constructed/Existing hand washing stations at TLS/CFS/THF]],0)</f>
        <v>3</v>
      </c>
      <c r="DZ213" s="425">
        <f>IF(WWWW[[#This Row],['# Functional hand washing stations during reporting period]]*100&gt;WWWW[[#This Row],[Total PoP ]],WWWW[[#This Row],[Total PoP ]],WWWW[[#This Row],['# Functional hand washing stations during reporting period]]*100)</f>
        <v>94</v>
      </c>
      <c r="EA213" s="425" t="str">
        <f>IF(OR(WWWW[[#This Row],['#_students at TLS_CFS]]="",WWWW[[#This Row],['#_students at TLS_CFS]]=0),"No","Yes")</f>
        <v>No</v>
      </c>
      <c r="EB213"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3" s="570">
        <f>WWWW[[#This Row],[%_of_affected_people_surveyed_who_report_feeling_satistfied_with_the_latrine_design_and_sanitation_service]]*WWWW[[#This Row],[Total PoP ]]</f>
        <v>84.600000000000009</v>
      </c>
      <c r="ED213" s="570">
        <f>WWWW[[#This Row],[%_of_affected_people_surveyed_who_report_feeling_satistfied_with_the_water_point_design_and_water_service]]*WWWW[[#This Row],[Total PoP ]]</f>
        <v>84.600000000000009</v>
      </c>
      <c r="EE213" s="570">
        <f>WWWW[[#This Row],[%_of_complaints_received_that_result_in_timely_corrective_action_and_feedback_to_the_community]]*WWWW[[#This Row],[Total PoP ]]</f>
        <v>0</v>
      </c>
      <c r="EF213"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84.600000000000009</v>
      </c>
      <c r="EG213"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3"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3" s="964" t="str">
        <f>VLOOKUP(WWWW[[#This Row],[Site Name]],SiteDB6[[Site Name]:[CCCM Management]],6,FALSE)</f>
        <v>Yes</v>
      </c>
      <c r="EJ213" s="964" t="str">
        <f>VLOOKUP(WWWW[[#This Row],[Site Name]],SiteDB6[[Site Name]:[CCCM Focal Agency]],7,FALSE)</f>
        <v>Shalom</v>
      </c>
      <c r="EK213" s="964" t="str">
        <f>VLOOKUP(WWWW[[#This Row],[Site Name]],SiteDB6[[Site Name]:[Location Type 1]],9,FALSE)</f>
        <v>Camp</v>
      </c>
      <c r="EL213" s="964" t="str">
        <f>VLOOKUP(WWWW[[#This Row],[Site Name]],SiteDB6[[Site Name]:[Type of Accommodation]],10,FALSE)</f>
        <v>Camp</v>
      </c>
      <c r="EM213" s="964" t="str">
        <f>VLOOKUP(WWWW[[#This Row],[Site Name]],SiteDB6[[Site Name]:[Ethnic or GCA/NGCA]],11,FALSE)</f>
        <v>GCA</v>
      </c>
      <c r="EN213" s="964">
        <f>VLOOKUP(WWWW[[#This Row],[Site Name]],SiteDB6[[Site Name]:[Lat]],12,FALSE)</f>
        <v>25.417733999999999</v>
      </c>
      <c r="EO213" s="964">
        <f>VLOOKUP(WWWW[[#This Row],[Site Name]],SiteDB6[[Site Name]:[Long]],13,FALSE)</f>
        <v>97.389778000000007</v>
      </c>
      <c r="EP213" s="964" t="str">
        <f>VLOOKUP(WWWW[[#This Row],[Site Name]],SiteDB6[[Site Name]:[Pcode]],3,FALSE)</f>
        <v>MMR001CMP004</v>
      </c>
      <c r="EQ213" s="969" t="str">
        <f t="shared" si="7"/>
        <v>Covered</v>
      </c>
      <c r="ER213" s="969" t="s">
        <v>3147</v>
      </c>
      <c r="ES213" s="964">
        <f>VLOOKUP(WWWW[[#This Row],[Site Name]],SiteDB6[[Site Name]:[Pop
(Kachin/Shan-CCCM as of March 2023)]],16,FALSE)</f>
        <v>18</v>
      </c>
      <c r="ET213" s="964">
        <f>VLOOKUP(WWWW[[#This Row],[Site Name]],SiteDB6[[Site Name]:[Pop
(Kachin/Shan-CCCM as of March 2023)]],17,FALSE)</f>
        <v>93</v>
      </c>
    </row>
    <row r="214" spans="1:150" hidden="1">
      <c r="A214" s="962" t="s">
        <v>2977</v>
      </c>
      <c r="B214" s="962" t="s">
        <v>242</v>
      </c>
      <c r="C214" s="963" t="s">
        <v>242</v>
      </c>
      <c r="D214" s="963" t="s">
        <v>3207</v>
      </c>
      <c r="E214" s="963" t="s">
        <v>37</v>
      </c>
      <c r="F214" s="963" t="s">
        <v>159</v>
      </c>
      <c r="G214" s="964" t="str">
        <f>VLOOKUP(WWWW[[#This Row],[Site Name]],SiteDB6[[Site Name]:[Location Type]],8,FALSE)</f>
        <v>Camp</v>
      </c>
      <c r="H214" s="963" t="s">
        <v>265</v>
      </c>
      <c r="I214" s="965">
        <v>21</v>
      </c>
      <c r="J214" s="965">
        <v>101</v>
      </c>
      <c r="K214" s="966">
        <v>44927</v>
      </c>
      <c r="L214" s="967">
        <v>45291</v>
      </c>
      <c r="M214" s="965"/>
      <c r="N214" s="965"/>
      <c r="O214" s="965">
        <v>1</v>
      </c>
      <c r="P214" s="965"/>
      <c r="Q214" s="968" t="s">
        <v>41</v>
      </c>
      <c r="R214" s="965">
        <v>1</v>
      </c>
      <c r="S214" s="965">
        <v>4</v>
      </c>
      <c r="T214" s="445">
        <v>1</v>
      </c>
      <c r="U214" s="965"/>
      <c r="V214" s="965"/>
      <c r="W214" s="965"/>
      <c r="X214" s="965"/>
      <c r="Y214" s="965"/>
      <c r="Z214" s="965"/>
      <c r="AA214" s="965"/>
      <c r="AB214" s="965"/>
      <c r="AC214" s="965"/>
      <c r="AD214" s="965"/>
      <c r="AE214" s="965"/>
      <c r="AF214" s="965"/>
      <c r="AG214" s="965">
        <v>2</v>
      </c>
      <c r="AH214" s="965"/>
      <c r="AI214" s="965"/>
      <c r="AJ214" s="965"/>
      <c r="AK214" s="965"/>
      <c r="AL214" s="965"/>
      <c r="AM214" s="965">
        <v>1</v>
      </c>
      <c r="AN214" s="965">
        <v>1</v>
      </c>
      <c r="AO214" s="445">
        <v>1</v>
      </c>
      <c r="AP214" s="969"/>
      <c r="AQ214" s="965">
        <v>5</v>
      </c>
      <c r="AR214" s="965"/>
      <c r="AS214" s="970" t="s">
        <v>3214</v>
      </c>
      <c r="AT214" s="965"/>
      <c r="AU214" s="965"/>
      <c r="AV214" s="965"/>
      <c r="AW214" s="965"/>
      <c r="AX214" s="965"/>
      <c r="AY214" s="964" t="s">
        <v>41</v>
      </c>
      <c r="AZ214" s="969" t="s">
        <v>137</v>
      </c>
      <c r="BA214" s="965"/>
      <c r="BB214" s="965">
        <v>1</v>
      </c>
      <c r="BC214" s="965"/>
      <c r="BD214" s="445"/>
      <c r="BE214" s="445"/>
      <c r="BF214" s="964"/>
      <c r="BG214" s="965">
        <v>5</v>
      </c>
      <c r="BH214" s="965">
        <v>2</v>
      </c>
      <c r="BI214" s="965"/>
      <c r="BJ214" s="965">
        <v>3</v>
      </c>
      <c r="BK214" s="965"/>
      <c r="BL214" s="965"/>
      <c r="BM214" s="965">
        <v>1</v>
      </c>
      <c r="BN214" s="965">
        <v>26</v>
      </c>
      <c r="BO214" s="965"/>
      <c r="BP214" s="964" t="s">
        <v>41</v>
      </c>
      <c r="BQ214" s="971">
        <v>1</v>
      </c>
      <c r="BR214" s="970">
        <v>0.08</v>
      </c>
      <c r="BS214" s="964" t="s">
        <v>3215</v>
      </c>
      <c r="BT214" s="420">
        <v>1</v>
      </c>
      <c r="BU214" s="420">
        <v>1</v>
      </c>
      <c r="BV214" s="422"/>
      <c r="BW214" s="420">
        <v>1</v>
      </c>
      <c r="BX214" s="445"/>
      <c r="BY214" s="445"/>
      <c r="BZ214" s="445"/>
      <c r="CA214" s="445"/>
      <c r="CB214" s="445"/>
      <c r="CC214" s="702"/>
      <c r="CD214" s="445"/>
      <c r="CE214" s="972" t="str">
        <f>IFERROR(WWWW[[#This Row],['#_Water sources passed]]/WWWW[[#This Row],['#_Water sources tested for fecal coliform ]],"no test")</f>
        <v>no test</v>
      </c>
      <c r="CF214" s="970" t="str">
        <f>IFERROR(WWWW[[#This Row],['#_Household passed]]/WWWW[[#This Row],['#_Household water samples tested for fecal coliform]],"no test")</f>
        <v>no test</v>
      </c>
      <c r="CG214" s="971" t="str">
        <f>IF(AND(WWWW[[#This Row],[% of water sources passed]]="no test",WWWW[[#This Row],[% Household passed]]="no test"),"No Test","Tested")</f>
        <v>No Test</v>
      </c>
      <c r="CH214" s="971">
        <f>WWWW[[#This Row],['#_Constructed/existing protected hand dug well]]-WWWW[[#This Row],['#_Non-functional protected hand dug well]]</f>
        <v>1</v>
      </c>
      <c r="CI214" s="971">
        <f>(WWWW[[#This Row],['#_Constructed/Existing tube wells/boreholes/handpumps_WASH_agency]]+WWWW[[#This Row],['#_Non-Cluster partner water tube-wells/boreholes/handpumps]])-WWWW[[#This Row],['#_Non-functional tube wells/boreholes/handpumps]]</f>
        <v>0</v>
      </c>
      <c r="CJ214" s="971">
        <f>WWWW[[#This Row],['#_Constructed/Existingwater storage tank with gravity fed reticulation system]]-WWWW[[#This Row],['#_Non-functional storage tank gravity fed reticulation system]]</f>
        <v>0</v>
      </c>
      <c r="CK214" s="971">
        <f>(WWWW[[#This Row],['#_Water_Liters_supplied_by_Water boating or water trucking]]/90)/15</f>
        <v>0</v>
      </c>
      <c r="CL214" s="971">
        <f>WWWW[[#This Row],['#_Water_Liters_from_Constructed/Existing water distribution system from river or natural spring]]/90/15</f>
        <v>0</v>
      </c>
      <c r="CM214" s="421">
        <f>IF(WWWW[[#This Row],['#_of water points in TLS/CFS]]*500&gt;WWWW[[#This Row],[Total PoP ]],WWWW[[#This Row],[Total PoP ]],WWWW[[#This Row],['#_of water points in TLS/CFS]]*500)</f>
        <v>101</v>
      </c>
      <c r="CN214" s="421">
        <f>IF(WWWW[[#This Row],['#_of water points in THF]]*500&gt;WWWW[[#This Row],[Total PoP ]],WWWW[[#This Row],[Total PoP ]],WWWW[[#This Row],['#_of water points in THF]]*500)</f>
        <v>101</v>
      </c>
      <c r="CO214" s="421"/>
      <c r="CP214"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4"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4" s="970">
        <f>IF(WWWW[[#This Row],[Location Type 1]]="Village",WWWW[[#This Row],[Access to safe drinking water for Village]],WWWW[[#This Row],[Access to safe drinking water for Camp]])</f>
        <v>1</v>
      </c>
      <c r="CS214" s="968">
        <f>WWWW[[#This Row],[%Equitable and continuous access to sufficient quantity of safe drinking water]]*WWWW[[#This Row],[Total PoP ]]</f>
        <v>101</v>
      </c>
      <c r="CT214" s="970">
        <f>IF((WWWW[[#This Row],['#_Constructed/Existing protected/fenced ponds]]*250)/WWWW[[#This Row],[Total PoP ]]&gt;1,1,(WWWW[[#This Row],['#_Constructed/Existing protected/fenced ponds]]*250)/WWWW[[#This Row],[Total PoP ]])</f>
        <v>0</v>
      </c>
      <c r="CU214" s="968">
        <f>WWWW[[#This Row],[% Access to unimproved water points]]*WWWW[[#This Row],[Total PoP ]]</f>
        <v>0</v>
      </c>
      <c r="CV214"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4"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v>
      </c>
      <c r="CX214" s="968">
        <f>WWWW[[#This Row],[HRP1]]/500</f>
        <v>0.20200000000000001</v>
      </c>
      <c r="CY214" s="973">
        <f>1-WWWW[[#This Row],[% Equitable and continuous access to sufficient quantity of domestic water]]</f>
        <v>0</v>
      </c>
      <c r="CZ214" s="968">
        <f>WWWW[[#This Row],[%equitable and continuous access to sufficient quantity of safe drinking and domestic water''s GAP]]*WWWW[[#This Row],[Total PoP ]]</f>
        <v>0</v>
      </c>
      <c r="DA214" s="971">
        <f>IF(WWWW[[#This Row],[Total required water points]]-WWWW[[#This Row],['#Water points coverage]]&lt;0,0,WWWW[[#This Row],[Total required water points]]-WWWW[[#This Row],['#Water points coverage]])</f>
        <v>0.79800000000000004</v>
      </c>
      <c r="DB214" s="971">
        <f>ROUND(IF(WWWW[[#This Row],[Total PoP ]]&lt;500,1,WWWW[[#This Row],[Total PoP ]]/500),0)</f>
        <v>1</v>
      </c>
      <c r="DC214" s="971">
        <f>(WWWW[[#This Row],['#_Constructed latrines_by_WASHAgencies]]+WWWW[[#This Row],['#_Non Cluster partner latrines]])-WWWW[[#This Row],['#_Non-functional latrines]]</f>
        <v>5</v>
      </c>
      <c r="DD214" s="619">
        <f>WWWW[[#This Row],[HRP2]]/WWWW[[#This Row],[Total PoP ]]</f>
        <v>0.99009900990099009</v>
      </c>
      <c r="DE214"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14"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4"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4" s="421">
        <f>IF(WWWW[[#This Row],['# of functional latrines in THF supported by WASH partners during the reporting period2]]="",0,WWWW[[#This Row],['# of functional latrines in THF supported by WASH partners during the reporting period2]]*50)</f>
        <v>0</v>
      </c>
      <c r="DI214" s="971">
        <f>ROUND(IF(WWWW[[#This Row],[Location Type 1]]="camp",WWWW[[#This Row],[Total PoP ]]/20,IF(WWWW[[#This Row],[Location Type 1]]="Temporary Location",WWWW[[#This Row],[Total PoP ]]/50,(WWWW[[#This Row],[Total PoP ]]/6))),0)</f>
        <v>5</v>
      </c>
      <c r="DJ214" s="971">
        <f>IF(WWWW[[#This Row],[Total required Latrines]]-(WWWW[[#This Row],['#_Constructed latrines_by_WASHAgencies]]+WWWW[[#This Row],['#_Non Cluster partner latrines]])&lt;0,0,WWWW[[#This Row],[Total required Latrines]]-(WWWW[[#This Row],['#_Constructed latrines_by_WASHAgencies]]+WWWW[[#This Row],['#_Non Cluster partner latrines]]))</f>
        <v>0</v>
      </c>
      <c r="DK214" s="973">
        <f>1-WWWW[[#This Row],[% people access to functioning Latrine]]</f>
        <v>9.9009900990099098E-3</v>
      </c>
      <c r="DL214" s="972">
        <f>IF(OR(WWWW[[#This Row],['#_Non-functional latrines]]="",WWWW[[#This Row],['#_Non-functional latrines]]=0),0,WWWW[[#This Row],['#_Non-functional latrines]]/(WWWW[[#This Row],['#_Constructed latrines_by_WASHAgencies]]+WWWW[[#This Row],['#_Non Cluster partner latrines]]))</f>
        <v>0</v>
      </c>
      <c r="DM214" s="968">
        <f>IF(500*(WWWW[[#This Row],['#_male hygiene promoters]]+WWWW[[#This Row],['#_female hygiene promoters]])&gt;WWWW[[#This Row],[Total PoP ]],WWWW[[#This Row],[Total PoP ]],500*(WWWW[[#This Row],['#_male hygiene promoters]]+WWWW[[#This Row],['#_female hygiene promoters]]))</f>
        <v>101</v>
      </c>
      <c r="DN214"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O214"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4" s="971">
        <f>IF(WWWW[[#This Row],['# People with access to soap]]&gt;WWWW[[#This Row],['# People with access to Sanity Pads]],WWWW[[#This Row],['# People with access to soap]],WWWW[[#This Row],['# People with access to Sanity Pads]])</f>
        <v>101</v>
      </c>
      <c r="DQ214" s="971">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R214" s="973">
        <f>IF(WWWW[[#This Row],[HRP3]]/WWWW[[#This Row],[Total PoP ]]&gt;1,1,WWWW[[#This Row],[HRP3]]/WWWW[[#This Row],[Total PoP ]])</f>
        <v>1</v>
      </c>
      <c r="DS214" s="972">
        <f>1-WWWW[[#This Row],[Hygiene Coverage%]]</f>
        <v>0</v>
      </c>
      <c r="DT214" s="970">
        <f>WWWW[[#This Row],['# people reached by regular dedicated hygiene promotion_5]]/WWWW[[#This Row],[Total PoP ]]</f>
        <v>1</v>
      </c>
      <c r="DU214"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14"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4" s="971">
        <f>WWWW[[#This Row],['#_Constructed/Existing hand washing stations]]-WWWW[[#This Row],['#_Non-Functional_hand_washing_stations]]</f>
        <v>3</v>
      </c>
      <c r="DX214" s="968">
        <f>IF(WWWW[[#This Row],['# Functional hand washing stations during reporting period]]*20&gt;WWWW[[#This Row],[Total HH]],WWWW[[#This Row],[Total HH]],WWWW[[#This Row],['# Functional hand washing stations during reporting period]]*20)</f>
        <v>21</v>
      </c>
      <c r="DY214" s="968">
        <f>IF(WWWW[[#This Row],[Is sufficient soap available for TLS? (Yes/No)]]="yes",WWWW[[#This Row],['#_Constructed/Existing hand washing stations at TLS/CFS/THF]],0)</f>
        <v>1</v>
      </c>
      <c r="DZ214" s="425">
        <f>IF(WWWW[[#This Row],['# Functional hand washing stations during reporting period]]*100&gt;WWWW[[#This Row],[Total PoP ]],WWWW[[#This Row],[Total PoP ]],WWWW[[#This Row],['# Functional hand washing stations during reporting period]]*100)</f>
        <v>101</v>
      </c>
      <c r="EA214" s="425" t="str">
        <f>IF(OR(WWWW[[#This Row],['#_students at TLS_CFS]]="",WWWW[[#This Row],['#_students at TLS_CFS]]=0),"No","Yes")</f>
        <v>No</v>
      </c>
      <c r="EB214"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4" s="570">
        <f>WWWW[[#This Row],[%_of_affected_people_surveyed_who_report_feeling_satistfied_with_the_latrine_design_and_sanitation_service]]*WWWW[[#This Row],[Total PoP ]]</f>
        <v>101</v>
      </c>
      <c r="ED214" s="570">
        <f>WWWW[[#This Row],[%_of_affected_people_surveyed_who_report_feeling_satistfied_with_the_water_point_design_and_water_service]]*WWWW[[#This Row],[Total PoP ]]</f>
        <v>101</v>
      </c>
      <c r="EE214" s="570">
        <f>WWWW[[#This Row],[%_of_complaints_received_that_result_in_timely_corrective_action_and_feedback_to_the_community]]*WWWW[[#This Row],[Total PoP ]]</f>
        <v>101</v>
      </c>
      <c r="EF214"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101</v>
      </c>
      <c r="EG214"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101</v>
      </c>
      <c r="EH214"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101</v>
      </c>
      <c r="EI214" s="964" t="str">
        <f>VLOOKUP(WWWW[[#This Row],[Site Name]],SiteDB6[[Site Name]:[CCCM Management]],6,FALSE)</f>
        <v>Yes</v>
      </c>
      <c r="EJ214" s="964" t="str">
        <f>VLOOKUP(WWWW[[#This Row],[Site Name]],SiteDB6[[Site Name]:[CCCM Focal Agency]],7,FALSE)</f>
        <v>Shalom</v>
      </c>
      <c r="EK214" s="964" t="str">
        <f>VLOOKUP(WWWW[[#This Row],[Site Name]],SiteDB6[[Site Name]:[Location Type 1]],9,FALSE)</f>
        <v>Camp</v>
      </c>
      <c r="EL214" s="964" t="str">
        <f>VLOOKUP(WWWW[[#This Row],[Site Name]],SiteDB6[[Site Name]:[Type of Accommodation]],10,FALSE)</f>
        <v>Camp</v>
      </c>
      <c r="EM214" s="964" t="str">
        <f>VLOOKUP(WWWW[[#This Row],[Site Name]],SiteDB6[[Site Name]:[Ethnic or GCA/NGCA]],11,FALSE)</f>
        <v>GCA</v>
      </c>
      <c r="EN214" s="964">
        <f>VLOOKUP(WWWW[[#This Row],[Site Name]],SiteDB6[[Site Name]:[Lat]],12,FALSE)</f>
        <v>25.423817</v>
      </c>
      <c r="EO214" s="964">
        <f>VLOOKUP(WWWW[[#This Row],[Site Name]],SiteDB6[[Site Name]:[Long]],13,FALSE)</f>
        <v>97.418004999999994</v>
      </c>
      <c r="EP214" s="964" t="str">
        <f>VLOOKUP(WWWW[[#This Row],[Site Name]],SiteDB6[[Site Name]:[Pcode]],3,FALSE)</f>
        <v>MMR001CMP007</v>
      </c>
      <c r="EQ214" s="969" t="str">
        <f t="shared" si="7"/>
        <v>Covered</v>
      </c>
      <c r="ER214" s="969" t="s">
        <v>3147</v>
      </c>
      <c r="ES214" s="964">
        <f>VLOOKUP(WWWW[[#This Row],[Site Name]],SiteDB6[[Site Name]:[Pop
(Kachin/Shan-CCCM as of March 2023)]],16,FALSE)</f>
        <v>26</v>
      </c>
      <c r="ET214" s="964">
        <f>VLOOKUP(WWWW[[#This Row],[Site Name]],SiteDB6[[Site Name]:[Pop
(Kachin/Shan-CCCM as of March 2023)]],17,FALSE)</f>
        <v>123</v>
      </c>
    </row>
    <row r="215" spans="1:150" hidden="1">
      <c r="A215" s="962" t="s">
        <v>2977</v>
      </c>
      <c r="B215" s="962" t="s">
        <v>242</v>
      </c>
      <c r="C215" s="963" t="s">
        <v>242</v>
      </c>
      <c r="D215" s="963" t="s">
        <v>3207</v>
      </c>
      <c r="E215" s="963" t="s">
        <v>37</v>
      </c>
      <c r="F215" s="963" t="s">
        <v>159</v>
      </c>
      <c r="G215" s="964" t="str">
        <f>VLOOKUP(WWWW[[#This Row],[Site Name]],SiteDB6[[Site Name]:[Location Type]],8,FALSE)</f>
        <v>Camp</v>
      </c>
      <c r="H215" s="963" t="s">
        <v>266</v>
      </c>
      <c r="I215" s="965">
        <v>56</v>
      </c>
      <c r="J215" s="965">
        <v>268</v>
      </c>
      <c r="K215" s="966">
        <v>44927</v>
      </c>
      <c r="L215" s="967">
        <v>45291</v>
      </c>
      <c r="M215" s="965"/>
      <c r="N215" s="965"/>
      <c r="O215" s="965">
        <v>1</v>
      </c>
      <c r="P215" s="965"/>
      <c r="Q215" s="968" t="s">
        <v>41</v>
      </c>
      <c r="R215" s="965">
        <v>3</v>
      </c>
      <c r="S215" s="965">
        <v>3</v>
      </c>
      <c r="T215" s="445">
        <v>1</v>
      </c>
      <c r="U215" s="965"/>
      <c r="V215" s="965"/>
      <c r="W215" s="965">
        <v>5</v>
      </c>
      <c r="X215" s="965"/>
      <c r="Y215" s="965"/>
      <c r="Z215" s="965"/>
      <c r="AA215" s="965"/>
      <c r="AB215" s="965"/>
      <c r="AC215" s="965"/>
      <c r="AD215" s="965"/>
      <c r="AE215" s="965"/>
      <c r="AF215" s="965"/>
      <c r="AG215" s="965">
        <v>2</v>
      </c>
      <c r="AH215" s="965">
        <v>4</v>
      </c>
      <c r="AI215" s="965"/>
      <c r="AJ215" s="965"/>
      <c r="AK215" s="965"/>
      <c r="AL215" s="965"/>
      <c r="AM215" s="965">
        <v>2</v>
      </c>
      <c r="AN215" s="965">
        <v>2</v>
      </c>
      <c r="AO215" s="445">
        <v>2</v>
      </c>
      <c r="AP215" s="969"/>
      <c r="AQ215" s="965">
        <v>19</v>
      </c>
      <c r="AR215" s="965"/>
      <c r="AS215" s="970"/>
      <c r="AT215" s="965"/>
      <c r="AU215" s="965"/>
      <c r="AV215" s="965">
        <v>3</v>
      </c>
      <c r="AW215" s="965"/>
      <c r="AX215" s="965"/>
      <c r="AY215" s="964" t="s">
        <v>41</v>
      </c>
      <c r="AZ215" s="969" t="s">
        <v>137</v>
      </c>
      <c r="BA215" s="965"/>
      <c r="BB215" s="965">
        <v>1</v>
      </c>
      <c r="BC215" s="965"/>
      <c r="BD215" s="445"/>
      <c r="BE215" s="445">
        <v>6</v>
      </c>
      <c r="BF215" s="964"/>
      <c r="BG215" s="965">
        <v>4</v>
      </c>
      <c r="BH215" s="965"/>
      <c r="BI215" s="965"/>
      <c r="BJ215" s="965">
        <v>4</v>
      </c>
      <c r="BK215" s="965">
        <v>4</v>
      </c>
      <c r="BL215" s="965"/>
      <c r="BM215" s="965">
        <v>1</v>
      </c>
      <c r="BN215" s="965"/>
      <c r="BO215" s="965"/>
      <c r="BP215" s="964" t="s">
        <v>41</v>
      </c>
      <c r="BQ215" s="971">
        <v>1</v>
      </c>
      <c r="BR215" s="970">
        <v>0.6</v>
      </c>
      <c r="BS215" s="964"/>
      <c r="BT215" s="420">
        <v>0.6</v>
      </c>
      <c r="BU215" s="420">
        <v>0.7</v>
      </c>
      <c r="BV215" s="422">
        <v>10</v>
      </c>
      <c r="BW215" s="420">
        <v>0.6</v>
      </c>
      <c r="BX215" s="445"/>
      <c r="BY215" s="445"/>
      <c r="BZ215" s="445"/>
      <c r="CA215" s="445"/>
      <c r="CB215" s="445"/>
      <c r="CC215" s="702"/>
      <c r="CD215" s="445"/>
      <c r="CE215" s="972" t="str">
        <f>IFERROR(WWWW[[#This Row],['#_Water sources passed]]/WWWW[[#This Row],['#_Water sources tested for fecal coliform ]],"no test")</f>
        <v>no test</v>
      </c>
      <c r="CF215" s="970" t="str">
        <f>IFERROR(WWWW[[#This Row],['#_Household passed]]/WWWW[[#This Row],['#_Household water samples tested for fecal coliform]],"no test")</f>
        <v>no test</v>
      </c>
      <c r="CG215" s="971" t="str">
        <f>IF(AND(WWWW[[#This Row],[% of water sources passed]]="no test",WWWW[[#This Row],[% Household passed]]="no test"),"No Test","Tested")</f>
        <v>No Test</v>
      </c>
      <c r="CH215" s="971">
        <f>WWWW[[#This Row],['#_Constructed/existing protected hand dug well]]-WWWW[[#This Row],['#_Non-functional protected hand dug well]]</f>
        <v>1</v>
      </c>
      <c r="CI215" s="971">
        <f>(WWWW[[#This Row],['#_Constructed/Existing tube wells/boreholes/handpumps_WASH_agency]]+WWWW[[#This Row],['#_Non-Cluster partner water tube-wells/boreholes/handpumps]])-WWWW[[#This Row],['#_Non-functional tube wells/boreholes/handpumps]]</f>
        <v>5</v>
      </c>
      <c r="CJ215" s="971">
        <f>WWWW[[#This Row],['#_Constructed/Existingwater storage tank with gravity fed reticulation system]]-WWWW[[#This Row],['#_Non-functional storage tank gravity fed reticulation system]]</f>
        <v>0</v>
      </c>
      <c r="CK215" s="971">
        <f>(WWWW[[#This Row],['#_Water_Liters_supplied_by_Water boating or water trucking]]/90)/15</f>
        <v>0</v>
      </c>
      <c r="CL215" s="971">
        <f>WWWW[[#This Row],['#_Water_Liters_from_Constructed/Existing water distribution system from river or natural spring]]/90/15</f>
        <v>0</v>
      </c>
      <c r="CM215" s="421">
        <f>IF(WWWW[[#This Row],['#_of water points in TLS/CFS]]*500&gt;WWWW[[#This Row],[Total PoP ]],WWWW[[#This Row],[Total PoP ]],WWWW[[#This Row],['#_of water points in TLS/CFS]]*500)</f>
        <v>268</v>
      </c>
      <c r="CN215" s="421">
        <f>IF(WWWW[[#This Row],['#_of water points in THF]]*500&gt;WWWW[[#This Row],[Total PoP ]],WWWW[[#This Row],[Total PoP ]],WWWW[[#This Row],['#_of water points in THF]]*500)</f>
        <v>268</v>
      </c>
      <c r="CO215" s="421"/>
      <c r="CP215"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5"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5" s="970">
        <f>IF(WWWW[[#This Row],[Location Type 1]]="Village",WWWW[[#This Row],[Access to safe drinking water for Village]],WWWW[[#This Row],[Access to safe drinking water for Camp]])</f>
        <v>1</v>
      </c>
      <c r="CS215" s="968">
        <f>WWWW[[#This Row],[%Equitable and continuous access to sufficient quantity of safe drinking water]]*WWWW[[#This Row],[Total PoP ]]</f>
        <v>268</v>
      </c>
      <c r="CT215" s="970">
        <f>IF((WWWW[[#This Row],['#_Constructed/Existing protected/fenced ponds]]*250)/WWWW[[#This Row],[Total PoP ]]&gt;1,1,(WWWW[[#This Row],['#_Constructed/Existing protected/fenced ponds]]*250)/WWWW[[#This Row],[Total PoP ]])</f>
        <v>0</v>
      </c>
      <c r="CU215" s="968">
        <f>WWWW[[#This Row],[% Access to unimproved water points]]*WWWW[[#This Row],[Total PoP ]]</f>
        <v>0</v>
      </c>
      <c r="CV215"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5"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268</v>
      </c>
      <c r="CX215" s="968">
        <f>WWWW[[#This Row],[HRP1]]/500</f>
        <v>0.53600000000000003</v>
      </c>
      <c r="CY215" s="973">
        <f>1-WWWW[[#This Row],[% Equitable and continuous access to sufficient quantity of domestic water]]</f>
        <v>0</v>
      </c>
      <c r="CZ215" s="968">
        <f>WWWW[[#This Row],[%equitable and continuous access to sufficient quantity of safe drinking and domestic water''s GAP]]*WWWW[[#This Row],[Total PoP ]]</f>
        <v>0</v>
      </c>
      <c r="DA215" s="971">
        <f>IF(WWWW[[#This Row],[Total required water points]]-WWWW[[#This Row],['#Water points coverage]]&lt;0,0,WWWW[[#This Row],[Total required water points]]-WWWW[[#This Row],['#Water points coverage]])</f>
        <v>0.46399999999999997</v>
      </c>
      <c r="DB215" s="971">
        <f>ROUND(IF(WWWW[[#This Row],[Total PoP ]]&lt;500,1,WWWW[[#This Row],[Total PoP ]]/500),0)</f>
        <v>1</v>
      </c>
      <c r="DC215" s="971">
        <f>(WWWW[[#This Row],['#_Constructed latrines_by_WASHAgencies]]+WWWW[[#This Row],['#_Non Cluster partner latrines]])-WWWW[[#This Row],['#_Non-functional latrines]]</f>
        <v>19</v>
      </c>
      <c r="DD215" s="619">
        <f>WWWW[[#This Row],[HRP2]]/WWWW[[#This Row],[Total PoP ]]</f>
        <v>1</v>
      </c>
      <c r="DE215"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268</v>
      </c>
      <c r="DF215"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215"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5" s="421">
        <f>IF(WWWW[[#This Row],['# of functional latrines in THF supported by WASH partners during the reporting period2]]="",0,WWWW[[#This Row],['# of functional latrines in THF supported by WASH partners during the reporting period2]]*50)</f>
        <v>0</v>
      </c>
      <c r="DI215" s="971">
        <f>ROUND(IF(WWWW[[#This Row],[Location Type 1]]="camp",WWWW[[#This Row],[Total PoP ]]/20,IF(WWWW[[#This Row],[Location Type 1]]="Temporary Location",WWWW[[#This Row],[Total PoP ]]/50,(WWWW[[#This Row],[Total PoP ]]/6))),0)</f>
        <v>13</v>
      </c>
      <c r="DJ215" s="971">
        <f>IF(WWWW[[#This Row],[Total required Latrines]]-(WWWW[[#This Row],['#_Constructed latrines_by_WASHAgencies]]+WWWW[[#This Row],['#_Non Cluster partner latrines]])&lt;0,0,WWWW[[#This Row],[Total required Latrines]]-(WWWW[[#This Row],['#_Constructed latrines_by_WASHAgencies]]+WWWW[[#This Row],['#_Non Cluster partner latrines]]))</f>
        <v>0</v>
      </c>
      <c r="DK215" s="973">
        <f>1-WWWW[[#This Row],[% people access to functioning Latrine]]</f>
        <v>0</v>
      </c>
      <c r="DL215" s="972">
        <f>IF(OR(WWWW[[#This Row],['#_Non-functional latrines]]="",WWWW[[#This Row],['#_Non-functional latrines]]=0),0,WWWW[[#This Row],['#_Non-functional latrines]]/(WWWW[[#This Row],['#_Constructed latrines_by_WASHAgencies]]+WWWW[[#This Row],['#_Non Cluster partner latrines]]))</f>
        <v>0</v>
      </c>
      <c r="DM215" s="968">
        <f>IF(500*(WWWW[[#This Row],['#_male hygiene promoters]]+WWWW[[#This Row],['#_female hygiene promoters]])&gt;WWWW[[#This Row],[Total PoP ]],WWWW[[#This Row],[Total PoP ]],500*(WWWW[[#This Row],['#_male hygiene promoters]]+WWWW[[#This Row],['#_female hygiene promoters]]))</f>
        <v>268</v>
      </c>
      <c r="DN215"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5"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5" s="971">
        <f>IF(WWWW[[#This Row],['# People with access to soap]]&gt;WWWW[[#This Row],['# People with access to Sanity Pads]],WWWW[[#This Row],['# People with access to soap]],WWWW[[#This Row],['# People with access to Sanity Pads]])</f>
        <v>0</v>
      </c>
      <c r="DQ215" s="971">
        <f>IF(WWWW[[#This Row],['# people reached by regular dedicated hygiene promotion_5]]&gt;WWWW[[#This Row],['# People received regular supply of hygiene items_6]],WWWW[[#This Row],['# people reached by regular dedicated hygiene promotion_5]],WWWW[[#This Row],['# People received regular supply of hygiene items_6]])</f>
        <v>268</v>
      </c>
      <c r="DR215" s="973">
        <f>IF(WWWW[[#This Row],[HRP3]]/WWWW[[#This Row],[Total PoP ]]&gt;1,1,WWWW[[#This Row],[HRP3]]/WWWW[[#This Row],[Total PoP ]])</f>
        <v>1</v>
      </c>
      <c r="DS215" s="972">
        <f>1-WWWW[[#This Row],[Hygiene Coverage%]]</f>
        <v>0</v>
      </c>
      <c r="DT215" s="970">
        <f>WWWW[[#This Row],['# people reached by regular dedicated hygiene promotion_5]]/WWWW[[#This Row],[Total PoP ]]</f>
        <v>1</v>
      </c>
      <c r="DU215"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5"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5" s="971">
        <f>WWWW[[#This Row],['#_Constructed/Existing hand washing stations]]-WWWW[[#This Row],['#_Non-Functional_hand_washing_stations]]</f>
        <v>4</v>
      </c>
      <c r="DX215" s="968">
        <f>IF(WWWW[[#This Row],['# Functional hand washing stations during reporting period]]*20&gt;WWWW[[#This Row],[Total HH]],WWWW[[#This Row],[Total HH]],WWWW[[#This Row],['# Functional hand washing stations during reporting period]]*20)</f>
        <v>56</v>
      </c>
      <c r="DY215" s="968">
        <f>IF(WWWW[[#This Row],[Is sufficient soap available for TLS? (Yes/No)]]="yes",WWWW[[#This Row],['#_Constructed/Existing hand washing stations at TLS/CFS/THF]],0)</f>
        <v>2</v>
      </c>
      <c r="DZ215" s="425">
        <f>IF(WWWW[[#This Row],['# Functional hand washing stations during reporting period]]*100&gt;WWWW[[#This Row],[Total PoP ]],WWWW[[#This Row],[Total PoP ]],WWWW[[#This Row],['# Functional hand washing stations during reporting period]]*100)</f>
        <v>268</v>
      </c>
      <c r="EA215" s="425" t="str">
        <f>IF(OR(WWWW[[#This Row],['#_students at TLS_CFS]]="",WWWW[[#This Row],['#_students at TLS_CFS]]=0),"No","Yes")</f>
        <v>No</v>
      </c>
      <c r="EB215" s="619">
        <f>IF(WWWW[[#This Row],['#_of_affected_people_surveyed_who_report_feeling_informed_about_the_different_WASH_services_available_to_them]]="","",WWWW[[#This Row],['#_of_affected_people_surveyed_who_report_feeling_informed_about_the_different_WASH_services_available_to_them]]/WWWW[[#This Row],[Total PoP ]])</f>
        <v>3.7313432835820892E-2</v>
      </c>
      <c r="EC215" s="570">
        <f>WWWW[[#This Row],[%_of_affected_people_surveyed_who_report_feeling_satistfied_with_the_latrine_design_and_sanitation_service]]*WWWW[[#This Row],[Total PoP ]]</f>
        <v>160.79999999999998</v>
      </c>
      <c r="ED215" s="570">
        <f>WWWW[[#This Row],[%_of_affected_people_surveyed_who_report_feeling_satistfied_with_the_water_point_design_and_water_service]]*WWWW[[#This Row],[Total PoP ]]</f>
        <v>187.6</v>
      </c>
      <c r="EE215" s="570">
        <f>WWWW[[#This Row],[%_of_complaints_received_that_result_in_timely_corrective_action_and_feedback_to_the_community]]*WWWW[[#This Row],[Total PoP ]]</f>
        <v>160.79999999999998</v>
      </c>
      <c r="EF215"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187.6</v>
      </c>
      <c r="EG215"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268</v>
      </c>
      <c r="EH215"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268</v>
      </c>
      <c r="EI215" s="964" t="str">
        <f>VLOOKUP(WWWW[[#This Row],[Site Name]],SiteDB6[[Site Name]:[CCCM Management]],6,FALSE)</f>
        <v>Yes</v>
      </c>
      <c r="EJ215" s="964" t="str">
        <f>VLOOKUP(WWWW[[#This Row],[Site Name]],SiteDB6[[Site Name]:[CCCM Focal Agency]],7,FALSE)</f>
        <v>Shalom</v>
      </c>
      <c r="EK215" s="964" t="str">
        <f>VLOOKUP(WWWW[[#This Row],[Site Name]],SiteDB6[[Site Name]:[Location Type 1]],9,FALSE)</f>
        <v>Camp</v>
      </c>
      <c r="EL215" s="964" t="str">
        <f>VLOOKUP(WWWW[[#This Row],[Site Name]],SiteDB6[[Site Name]:[Type of Accommodation]],10,FALSE)</f>
        <v>Camp</v>
      </c>
      <c r="EM215" s="964" t="str">
        <f>VLOOKUP(WWWW[[#This Row],[Site Name]],SiteDB6[[Site Name]:[Ethnic or GCA/NGCA]],11,FALSE)</f>
        <v>GCA</v>
      </c>
      <c r="EN215" s="964">
        <f>VLOOKUP(WWWW[[#This Row],[Site Name]],SiteDB6[[Site Name]:[Lat]],12,FALSE)</f>
        <v>25.423209</v>
      </c>
      <c r="EO215" s="964">
        <f>VLOOKUP(WWWW[[#This Row],[Site Name]],SiteDB6[[Site Name]:[Long]],13,FALSE)</f>
        <v>97.379987</v>
      </c>
      <c r="EP215" s="964" t="str">
        <f>VLOOKUP(WWWW[[#This Row],[Site Name]],SiteDB6[[Site Name]:[Pcode]],3,FALSE)</f>
        <v>MMR001CMP023</v>
      </c>
      <c r="EQ215" s="969" t="str">
        <f t="shared" si="7"/>
        <v>Covered</v>
      </c>
      <c r="ER215" s="969" t="s">
        <v>3147</v>
      </c>
      <c r="ES215" s="964">
        <f>VLOOKUP(WWWW[[#This Row],[Site Name]],SiteDB6[[Site Name]:[Pop
(Kachin/Shan-CCCM as of March 2023)]],16,FALSE)</f>
        <v>56</v>
      </c>
      <c r="ET215" s="964">
        <f>VLOOKUP(WWWW[[#This Row],[Site Name]],SiteDB6[[Site Name]:[Pop
(Kachin/Shan-CCCM as of March 2023)]],17,FALSE)</f>
        <v>267</v>
      </c>
    </row>
    <row r="216" spans="1:150" hidden="1">
      <c r="A216" s="962" t="s">
        <v>2977</v>
      </c>
      <c r="B216" s="962" t="s">
        <v>242</v>
      </c>
      <c r="C216" s="963" t="s">
        <v>242</v>
      </c>
      <c r="D216" s="963" t="s">
        <v>3207</v>
      </c>
      <c r="E216" s="963" t="s">
        <v>37</v>
      </c>
      <c r="F216" s="963" t="s">
        <v>142</v>
      </c>
      <c r="G216" s="964" t="str">
        <f>VLOOKUP(WWWW[[#This Row],[Site Name]],SiteDB6[[Site Name]:[Location Type]],8,FALSE)</f>
        <v>Camp</v>
      </c>
      <c r="H216" s="963" t="s">
        <v>274</v>
      </c>
      <c r="I216" s="965">
        <v>43</v>
      </c>
      <c r="J216" s="965">
        <v>186</v>
      </c>
      <c r="K216" s="966">
        <v>44927</v>
      </c>
      <c r="L216" s="967">
        <v>45291</v>
      </c>
      <c r="M216" s="965"/>
      <c r="N216" s="965"/>
      <c r="O216" s="965">
        <v>1</v>
      </c>
      <c r="P216" s="965"/>
      <c r="Q216" s="968" t="s">
        <v>41</v>
      </c>
      <c r="R216" s="965">
        <v>2</v>
      </c>
      <c r="S216" s="965">
        <v>3</v>
      </c>
      <c r="T216" s="445">
        <v>1</v>
      </c>
      <c r="U216" s="965"/>
      <c r="V216" s="965"/>
      <c r="W216" s="965"/>
      <c r="X216" s="965"/>
      <c r="Y216" s="965"/>
      <c r="Z216" s="965"/>
      <c r="AA216" s="965"/>
      <c r="AB216" s="965"/>
      <c r="AC216" s="965"/>
      <c r="AD216" s="965"/>
      <c r="AE216" s="965"/>
      <c r="AF216" s="965"/>
      <c r="AG216" s="965"/>
      <c r="AH216" s="965"/>
      <c r="AI216" s="965"/>
      <c r="AJ216" s="965"/>
      <c r="AK216" s="965"/>
      <c r="AL216" s="965"/>
      <c r="AM216" s="965">
        <v>4</v>
      </c>
      <c r="AN216" s="965"/>
      <c r="AO216" s="445"/>
      <c r="AP216" s="969" t="s">
        <v>3220</v>
      </c>
      <c r="AQ216" s="965">
        <v>6</v>
      </c>
      <c r="AR216" s="965"/>
      <c r="AS216" s="970"/>
      <c r="AT216" s="965"/>
      <c r="AU216" s="965"/>
      <c r="AV216" s="965"/>
      <c r="AW216" s="965"/>
      <c r="AX216" s="965"/>
      <c r="AY216" s="964" t="s">
        <v>41</v>
      </c>
      <c r="AZ216" s="969" t="s">
        <v>137</v>
      </c>
      <c r="BA216" s="965"/>
      <c r="BB216" s="965"/>
      <c r="BC216" s="965"/>
      <c r="BD216" s="445"/>
      <c r="BE216" s="445"/>
      <c r="BF216" s="964"/>
      <c r="BG216" s="965">
        <v>4</v>
      </c>
      <c r="BH216" s="965"/>
      <c r="BI216" s="965"/>
      <c r="BJ216" s="965">
        <v>2</v>
      </c>
      <c r="BK216" s="965"/>
      <c r="BL216" s="965"/>
      <c r="BM216" s="965">
        <v>1</v>
      </c>
      <c r="BN216" s="965"/>
      <c r="BO216" s="965"/>
      <c r="BP216" s="964"/>
      <c r="BQ216" s="971">
        <v>1</v>
      </c>
      <c r="BR216" s="970">
        <v>0.5</v>
      </c>
      <c r="BS216" s="964"/>
      <c r="BT216" s="420">
        <v>0.9</v>
      </c>
      <c r="BU216" s="420">
        <v>0.95</v>
      </c>
      <c r="BV216" s="422"/>
      <c r="BW216" s="420">
        <v>0.99</v>
      </c>
      <c r="BX216" s="445"/>
      <c r="BY216" s="445"/>
      <c r="BZ216" s="445"/>
      <c r="CA216" s="445"/>
      <c r="CB216" s="445"/>
      <c r="CC216" s="702"/>
      <c r="CD216" s="445"/>
      <c r="CE216" s="972" t="str">
        <f>IFERROR(WWWW[[#This Row],['#_Water sources passed]]/WWWW[[#This Row],['#_Water sources tested for fecal coliform ]],"no test")</f>
        <v>no test</v>
      </c>
      <c r="CF216" s="970" t="str">
        <f>IFERROR(WWWW[[#This Row],['#_Household passed]]/WWWW[[#This Row],['#_Household water samples tested for fecal coliform]],"no test")</f>
        <v>no test</v>
      </c>
      <c r="CG216" s="971" t="str">
        <f>IF(AND(WWWW[[#This Row],[% of water sources passed]]="no test",WWWW[[#This Row],[% Household passed]]="no test"),"No Test","Tested")</f>
        <v>No Test</v>
      </c>
      <c r="CH216" s="971">
        <f>WWWW[[#This Row],['#_Constructed/existing protected hand dug well]]-WWWW[[#This Row],['#_Non-functional protected hand dug well]]</f>
        <v>1</v>
      </c>
      <c r="CI216" s="971">
        <f>(WWWW[[#This Row],['#_Constructed/Existing tube wells/boreholes/handpumps_WASH_agency]]+WWWW[[#This Row],['#_Non-Cluster partner water tube-wells/boreholes/handpumps]])-WWWW[[#This Row],['#_Non-functional tube wells/boreholes/handpumps]]</f>
        <v>0</v>
      </c>
      <c r="CJ216" s="971">
        <f>WWWW[[#This Row],['#_Constructed/Existingwater storage tank with gravity fed reticulation system]]-WWWW[[#This Row],['#_Non-functional storage tank gravity fed reticulation system]]</f>
        <v>0</v>
      </c>
      <c r="CK216" s="971">
        <f>(WWWW[[#This Row],['#_Water_Liters_supplied_by_Water boating or water trucking]]/90)/15</f>
        <v>0</v>
      </c>
      <c r="CL216" s="971">
        <f>WWWW[[#This Row],['#_Water_Liters_from_Constructed/Existing water distribution system from river or natural spring]]/90/15</f>
        <v>0</v>
      </c>
      <c r="CM216" s="421">
        <f>IF(WWWW[[#This Row],['#_of water points in TLS/CFS]]*500&gt;WWWW[[#This Row],[Total PoP ]],WWWW[[#This Row],[Total PoP ]],WWWW[[#This Row],['#_of water points in TLS/CFS]]*500)</f>
        <v>0</v>
      </c>
      <c r="CN216" s="421">
        <f>IF(WWWW[[#This Row],['#_of water points in THF]]*500&gt;WWWW[[#This Row],[Total PoP ]],WWWW[[#This Row],[Total PoP ]],WWWW[[#This Row],['#_of water points in THF]]*500)</f>
        <v>0</v>
      </c>
      <c r="CO216" s="421"/>
      <c r="CP216"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6"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6" s="970">
        <f>IF(WWWW[[#This Row],[Location Type 1]]="Village",WWWW[[#This Row],[Access to safe drinking water for Village]],WWWW[[#This Row],[Access to safe drinking water for Camp]])</f>
        <v>1</v>
      </c>
      <c r="CS216" s="968">
        <f>WWWW[[#This Row],[%Equitable and continuous access to sufficient quantity of safe drinking water]]*WWWW[[#This Row],[Total PoP ]]</f>
        <v>186</v>
      </c>
      <c r="CT216" s="970">
        <f>IF((WWWW[[#This Row],['#_Constructed/Existing protected/fenced ponds]]*250)/WWWW[[#This Row],[Total PoP ]]&gt;1,1,(WWWW[[#This Row],['#_Constructed/Existing protected/fenced ponds]]*250)/WWWW[[#This Row],[Total PoP ]])</f>
        <v>0</v>
      </c>
      <c r="CU216" s="968">
        <f>WWWW[[#This Row],[% Access to unimproved water points]]*WWWW[[#This Row],[Total PoP ]]</f>
        <v>0</v>
      </c>
      <c r="CV216"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6"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X216" s="968">
        <f>WWWW[[#This Row],[HRP1]]/500</f>
        <v>0.372</v>
      </c>
      <c r="CY216" s="973">
        <f>1-WWWW[[#This Row],[% Equitable and continuous access to sufficient quantity of domestic water]]</f>
        <v>0</v>
      </c>
      <c r="CZ216" s="968">
        <f>WWWW[[#This Row],[%equitable and continuous access to sufficient quantity of safe drinking and domestic water''s GAP]]*WWWW[[#This Row],[Total PoP ]]</f>
        <v>0</v>
      </c>
      <c r="DA216" s="971">
        <f>IF(WWWW[[#This Row],[Total required water points]]-WWWW[[#This Row],['#Water points coverage]]&lt;0,0,WWWW[[#This Row],[Total required water points]]-WWWW[[#This Row],['#Water points coverage]])</f>
        <v>0.628</v>
      </c>
      <c r="DB216" s="971">
        <f>ROUND(IF(WWWW[[#This Row],[Total PoP ]]&lt;500,1,WWWW[[#This Row],[Total PoP ]]/500),0)</f>
        <v>1</v>
      </c>
      <c r="DC216" s="971">
        <f>(WWWW[[#This Row],['#_Constructed latrines_by_WASHAgencies]]+WWWW[[#This Row],['#_Non Cluster partner latrines]])-WWWW[[#This Row],['#_Non-functional latrines]]</f>
        <v>6</v>
      </c>
      <c r="DD216" s="619">
        <f>WWWW[[#This Row],[HRP2]]/WWWW[[#This Row],[Total PoP ]]</f>
        <v>0.64516129032258063</v>
      </c>
      <c r="DE216"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216"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6"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6" s="421">
        <f>IF(WWWW[[#This Row],['# of functional latrines in THF supported by WASH partners during the reporting period2]]="",0,WWWW[[#This Row],['# of functional latrines in THF supported by WASH partners during the reporting period2]]*50)</f>
        <v>0</v>
      </c>
      <c r="DI216" s="971">
        <f>ROUND(IF(WWWW[[#This Row],[Location Type 1]]="camp",WWWW[[#This Row],[Total PoP ]]/20,IF(WWWW[[#This Row],[Location Type 1]]="Temporary Location",WWWW[[#This Row],[Total PoP ]]/50,(WWWW[[#This Row],[Total PoP ]]/6))),0)</f>
        <v>9</v>
      </c>
      <c r="DJ216" s="971">
        <f>IF(WWWW[[#This Row],[Total required Latrines]]-(WWWW[[#This Row],['#_Constructed latrines_by_WASHAgencies]]+WWWW[[#This Row],['#_Non Cluster partner latrines]])&lt;0,0,WWWW[[#This Row],[Total required Latrines]]-(WWWW[[#This Row],['#_Constructed latrines_by_WASHAgencies]]+WWWW[[#This Row],['#_Non Cluster partner latrines]]))</f>
        <v>3</v>
      </c>
      <c r="DK216" s="973">
        <f>1-WWWW[[#This Row],[% people access to functioning Latrine]]</f>
        <v>0.35483870967741937</v>
      </c>
      <c r="DL216" s="972">
        <f>IF(OR(WWWW[[#This Row],['#_Non-functional latrines]]="",WWWW[[#This Row],['#_Non-functional latrines]]=0),0,WWWW[[#This Row],['#_Non-functional latrines]]/(WWWW[[#This Row],['#_Constructed latrines_by_WASHAgencies]]+WWWW[[#This Row],['#_Non Cluster partner latrines]]))</f>
        <v>0</v>
      </c>
      <c r="DM216" s="968">
        <f>IF(500*(WWWW[[#This Row],['#_male hygiene promoters]]+WWWW[[#This Row],['#_female hygiene promoters]])&gt;WWWW[[#This Row],[Total PoP ]],WWWW[[#This Row],[Total PoP ]],500*(WWWW[[#This Row],['#_male hygiene promoters]]+WWWW[[#This Row],['#_female hygiene promoters]]))</f>
        <v>186</v>
      </c>
      <c r="DN216"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6"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6" s="971">
        <f>IF(WWWW[[#This Row],['# People with access to soap]]&gt;WWWW[[#This Row],['# People with access to Sanity Pads]],WWWW[[#This Row],['# People with access to soap]],WWWW[[#This Row],['# People with access to Sanity Pads]])</f>
        <v>0</v>
      </c>
      <c r="DQ216" s="971">
        <f>IF(WWWW[[#This Row],['# people reached by regular dedicated hygiene promotion_5]]&gt;WWWW[[#This Row],['# People received regular supply of hygiene items_6]],WWWW[[#This Row],['# people reached by regular dedicated hygiene promotion_5]],WWWW[[#This Row],['# People received regular supply of hygiene items_6]])</f>
        <v>186</v>
      </c>
      <c r="DR216" s="973">
        <f>IF(WWWW[[#This Row],[HRP3]]/WWWW[[#This Row],[Total PoP ]]&gt;1,1,WWWW[[#This Row],[HRP3]]/WWWW[[#This Row],[Total PoP ]])</f>
        <v>1</v>
      </c>
      <c r="DS216" s="972">
        <f>1-WWWW[[#This Row],[Hygiene Coverage%]]</f>
        <v>0</v>
      </c>
      <c r="DT216" s="970">
        <f>WWWW[[#This Row],['# people reached by regular dedicated hygiene promotion_5]]/WWWW[[#This Row],[Total PoP ]]</f>
        <v>1</v>
      </c>
      <c r="DU216"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6"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6" s="971">
        <f>WWWW[[#This Row],['#_Constructed/Existing hand washing stations]]-WWWW[[#This Row],['#_Non-Functional_hand_washing_stations]]</f>
        <v>4</v>
      </c>
      <c r="DX216" s="968">
        <f>IF(WWWW[[#This Row],['# Functional hand washing stations during reporting period]]*20&gt;WWWW[[#This Row],[Total HH]],WWWW[[#This Row],[Total HH]],WWWW[[#This Row],['# Functional hand washing stations during reporting period]]*20)</f>
        <v>43</v>
      </c>
      <c r="DY216" s="968">
        <f>IF(WWWW[[#This Row],[Is sufficient soap available for TLS? (Yes/No)]]="yes",WWWW[[#This Row],['#_Constructed/Existing hand washing stations at TLS/CFS/THF]],0)</f>
        <v>0</v>
      </c>
      <c r="DZ216" s="425">
        <f>IF(WWWW[[#This Row],['# Functional hand washing stations during reporting period]]*100&gt;WWWW[[#This Row],[Total PoP ]],WWWW[[#This Row],[Total PoP ]],WWWW[[#This Row],['# Functional hand washing stations during reporting period]]*100)</f>
        <v>186</v>
      </c>
      <c r="EA216" s="425" t="str">
        <f>IF(OR(WWWW[[#This Row],['#_students at TLS_CFS]]="",WWWW[[#This Row],['#_students at TLS_CFS]]=0),"No","Yes")</f>
        <v>No</v>
      </c>
      <c r="EB216"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6" s="570">
        <f>WWWW[[#This Row],[%_of_affected_people_surveyed_who_report_feeling_satistfied_with_the_latrine_design_and_sanitation_service]]*WWWW[[#This Row],[Total PoP ]]</f>
        <v>167.4</v>
      </c>
      <c r="ED216" s="570">
        <f>WWWW[[#This Row],[%_of_affected_people_surveyed_who_report_feeling_satistfied_with_the_water_point_design_and_water_service]]*WWWW[[#This Row],[Total PoP ]]</f>
        <v>176.7</v>
      </c>
      <c r="EE216" s="570">
        <f>WWWW[[#This Row],[%_of_complaints_received_that_result_in_timely_corrective_action_and_feedback_to_the_community]]*WWWW[[#This Row],[Total PoP ]]</f>
        <v>184.14</v>
      </c>
      <c r="EF216"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184.14</v>
      </c>
      <c r="EG216"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6"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6" s="964" t="str">
        <f>VLOOKUP(WWWW[[#This Row],[Site Name]],SiteDB6[[Site Name]:[CCCM Management]],6,FALSE)</f>
        <v>Yes</v>
      </c>
      <c r="EJ216" s="964" t="str">
        <f>VLOOKUP(WWWW[[#This Row],[Site Name]],SiteDB6[[Site Name]:[CCCM Focal Agency]],7,FALSE)</f>
        <v>Shalom</v>
      </c>
      <c r="EK216" s="964" t="str">
        <f>VLOOKUP(WWWW[[#This Row],[Site Name]],SiteDB6[[Site Name]:[Location Type 1]],9,FALSE)</f>
        <v>Camp</v>
      </c>
      <c r="EL216" s="964" t="str">
        <f>VLOOKUP(WWWW[[#This Row],[Site Name]],SiteDB6[[Site Name]:[Type of Accommodation]],10,FALSE)</f>
        <v>Camp</v>
      </c>
      <c r="EM216" s="964" t="str">
        <f>VLOOKUP(WWWW[[#This Row],[Site Name]],SiteDB6[[Site Name]:[Ethnic or GCA/NGCA]],11,FALSE)</f>
        <v>GCA</v>
      </c>
      <c r="EN216" s="964">
        <f>VLOOKUP(WWWW[[#This Row],[Site Name]],SiteDB6[[Site Name]:[Lat]],12,FALSE)</f>
        <v>25.333683333333301</v>
      </c>
      <c r="EO216" s="964">
        <f>VLOOKUP(WWWW[[#This Row],[Site Name]],SiteDB6[[Site Name]:[Long]],13,FALSE)</f>
        <v>97.428251153846105</v>
      </c>
      <c r="EP216" s="964" t="str">
        <f>VLOOKUP(WWWW[[#This Row],[Site Name]],SiteDB6[[Site Name]:[Pcode]],3,FALSE)</f>
        <v>MMR001CMP037</v>
      </c>
      <c r="EQ216" s="969" t="str">
        <f t="shared" si="7"/>
        <v>Covered</v>
      </c>
      <c r="ER216" s="969" t="s">
        <v>3147</v>
      </c>
      <c r="ES216" s="964">
        <f>VLOOKUP(WWWW[[#This Row],[Site Name]],SiteDB6[[Site Name]:[Pop
(Kachin/Shan-CCCM as of March 2023)]],16,FALSE)</f>
        <v>43</v>
      </c>
      <c r="ET216" s="964">
        <f>VLOOKUP(WWWW[[#This Row],[Site Name]],SiteDB6[[Site Name]:[Pop
(Kachin/Shan-CCCM as of March 2023)]],17,FALSE)</f>
        <v>186</v>
      </c>
    </row>
    <row r="217" spans="1:150" hidden="1">
      <c r="A217" s="962" t="s">
        <v>2977</v>
      </c>
      <c r="B217" s="962" t="s">
        <v>242</v>
      </c>
      <c r="C217" s="963" t="s">
        <v>242</v>
      </c>
      <c r="D217" s="963" t="s">
        <v>3207</v>
      </c>
      <c r="E217" s="963" t="s">
        <v>37</v>
      </c>
      <c r="F217" s="963" t="s">
        <v>142</v>
      </c>
      <c r="G217" s="964" t="str">
        <f>VLOOKUP(WWWW[[#This Row],[Site Name]],SiteDB6[[Site Name]:[Location Type]],8,FALSE)</f>
        <v>Camp</v>
      </c>
      <c r="H217" s="963" t="s">
        <v>275</v>
      </c>
      <c r="I217" s="965">
        <v>76</v>
      </c>
      <c r="J217" s="965">
        <v>319</v>
      </c>
      <c r="K217" s="966">
        <v>44927</v>
      </c>
      <c r="L217" s="967">
        <v>45291</v>
      </c>
      <c r="M217" s="965"/>
      <c r="N217" s="965"/>
      <c r="O217" s="965">
        <v>1</v>
      </c>
      <c r="P217" s="965"/>
      <c r="Q217" s="968" t="s">
        <v>41</v>
      </c>
      <c r="R217" s="965">
        <v>1</v>
      </c>
      <c r="S217" s="965">
        <v>4</v>
      </c>
      <c r="T217" s="445">
        <v>2</v>
      </c>
      <c r="U217" s="965">
        <v>1</v>
      </c>
      <c r="V217" s="965"/>
      <c r="W217" s="965">
        <v>1</v>
      </c>
      <c r="X217" s="965"/>
      <c r="Y217" s="965"/>
      <c r="Z217" s="965"/>
      <c r="AA217" s="965"/>
      <c r="AB217" s="965"/>
      <c r="AC217" s="965"/>
      <c r="AD217" s="965"/>
      <c r="AE217" s="965"/>
      <c r="AF217" s="965"/>
      <c r="AG217" s="965"/>
      <c r="AH217" s="965"/>
      <c r="AI217" s="965"/>
      <c r="AJ217" s="965"/>
      <c r="AK217" s="965"/>
      <c r="AL217" s="965"/>
      <c r="AM217" s="965">
        <v>1</v>
      </c>
      <c r="AN217" s="965">
        <v>1</v>
      </c>
      <c r="AO217" s="445"/>
      <c r="AP217" s="969" t="s">
        <v>3220</v>
      </c>
      <c r="AQ217" s="965">
        <v>9</v>
      </c>
      <c r="AR217" s="965"/>
      <c r="AS217" s="970" t="s">
        <v>3216</v>
      </c>
      <c r="AT217" s="965"/>
      <c r="AU217" s="965"/>
      <c r="AV217" s="965"/>
      <c r="AW217" s="965"/>
      <c r="AX217" s="965"/>
      <c r="AY217" s="964" t="s">
        <v>41</v>
      </c>
      <c r="AZ217" s="969" t="s">
        <v>137</v>
      </c>
      <c r="BA217" s="965"/>
      <c r="BB217" s="965"/>
      <c r="BC217" s="965"/>
      <c r="BD217" s="445"/>
      <c r="BE217" s="445"/>
      <c r="BF217" s="964"/>
      <c r="BG217" s="965">
        <v>5</v>
      </c>
      <c r="BH217" s="965"/>
      <c r="BI217" s="965"/>
      <c r="BJ217" s="965">
        <v>3</v>
      </c>
      <c r="BK217" s="965"/>
      <c r="BL217" s="965">
        <v>1</v>
      </c>
      <c r="BM217" s="965"/>
      <c r="BN217" s="965">
        <v>68</v>
      </c>
      <c r="BO217" s="965"/>
      <c r="BP217" s="964" t="s">
        <v>41</v>
      </c>
      <c r="BQ217" s="971">
        <v>1</v>
      </c>
      <c r="BR217" s="970">
        <v>0.5</v>
      </c>
      <c r="BS217" s="964"/>
      <c r="BT217" s="420">
        <v>0.96</v>
      </c>
      <c r="BU217" s="420">
        <v>0.9</v>
      </c>
      <c r="BV217" s="422">
        <v>100</v>
      </c>
      <c r="BW217" s="420">
        <v>0.99</v>
      </c>
      <c r="BX217" s="445"/>
      <c r="BY217" s="445"/>
      <c r="BZ217" s="445"/>
      <c r="CA217" s="445"/>
      <c r="CB217" s="445"/>
      <c r="CC217" s="702"/>
      <c r="CD217" s="445"/>
      <c r="CE217" s="972" t="str">
        <f>IFERROR(WWWW[[#This Row],['#_Water sources passed]]/WWWW[[#This Row],['#_Water sources tested for fecal coliform ]],"no test")</f>
        <v>no test</v>
      </c>
      <c r="CF217" s="970" t="str">
        <f>IFERROR(WWWW[[#This Row],['#_Household passed]]/WWWW[[#This Row],['#_Household water samples tested for fecal coliform]],"no test")</f>
        <v>no test</v>
      </c>
      <c r="CG217" s="971" t="str">
        <f>IF(AND(WWWW[[#This Row],[% of water sources passed]]="no test",WWWW[[#This Row],[% Household passed]]="no test"),"No Test","Tested")</f>
        <v>No Test</v>
      </c>
      <c r="CH217" s="971">
        <f>WWWW[[#This Row],['#_Constructed/existing protected hand dug well]]-WWWW[[#This Row],['#_Non-functional protected hand dug well]]</f>
        <v>1</v>
      </c>
      <c r="CI217" s="971">
        <f>(WWWW[[#This Row],['#_Constructed/Existing tube wells/boreholes/handpumps_WASH_agency]]+WWWW[[#This Row],['#_Non-Cluster partner water tube-wells/boreholes/handpumps]])-WWWW[[#This Row],['#_Non-functional tube wells/boreholes/handpumps]]</f>
        <v>1</v>
      </c>
      <c r="CJ217" s="971">
        <f>WWWW[[#This Row],['#_Constructed/Existingwater storage tank with gravity fed reticulation system]]-WWWW[[#This Row],['#_Non-functional storage tank gravity fed reticulation system]]</f>
        <v>0</v>
      </c>
      <c r="CK217" s="971">
        <f>(WWWW[[#This Row],['#_Water_Liters_supplied_by_Water boating or water trucking]]/90)/15</f>
        <v>0</v>
      </c>
      <c r="CL217" s="971">
        <f>WWWW[[#This Row],['#_Water_Liters_from_Constructed/Existing water distribution system from river or natural spring]]/90/15</f>
        <v>0</v>
      </c>
      <c r="CM217" s="421">
        <f>IF(WWWW[[#This Row],['#_of water points in TLS/CFS]]*500&gt;WWWW[[#This Row],[Total PoP ]],WWWW[[#This Row],[Total PoP ]],WWWW[[#This Row],['#_of water points in TLS/CFS]]*500)</f>
        <v>319</v>
      </c>
      <c r="CN217" s="421">
        <f>IF(WWWW[[#This Row],['#_of water points in THF]]*500&gt;WWWW[[#This Row],[Total PoP ]],WWWW[[#This Row],[Total PoP ]],WWWW[[#This Row],['#_of water points in THF]]*500)</f>
        <v>0</v>
      </c>
      <c r="CO217" s="421"/>
      <c r="CP217"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7"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7" s="970">
        <f>IF(WWWW[[#This Row],[Location Type 1]]="Village",WWWW[[#This Row],[Access to safe drinking water for Village]],WWWW[[#This Row],[Access to safe drinking water for Camp]])</f>
        <v>1</v>
      </c>
      <c r="CS217" s="968">
        <f>WWWW[[#This Row],[%Equitable and continuous access to sufficient quantity of safe drinking water]]*WWWW[[#This Row],[Total PoP ]]</f>
        <v>319</v>
      </c>
      <c r="CT217" s="970">
        <f>IF((WWWW[[#This Row],['#_Constructed/Existing protected/fenced ponds]]*250)/WWWW[[#This Row],[Total PoP ]]&gt;1,1,(WWWW[[#This Row],['#_Constructed/Existing protected/fenced ponds]]*250)/WWWW[[#This Row],[Total PoP ]])</f>
        <v>0</v>
      </c>
      <c r="CU217" s="968">
        <f>WWWW[[#This Row],[% Access to unimproved water points]]*WWWW[[#This Row],[Total PoP ]]</f>
        <v>0</v>
      </c>
      <c r="CV217"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7"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X217" s="968">
        <f>WWWW[[#This Row],[HRP1]]/500</f>
        <v>0.63800000000000001</v>
      </c>
      <c r="CY217" s="973">
        <f>1-WWWW[[#This Row],[% Equitable and continuous access to sufficient quantity of domestic water]]</f>
        <v>0</v>
      </c>
      <c r="CZ217" s="968">
        <f>WWWW[[#This Row],[%equitable and continuous access to sufficient quantity of safe drinking and domestic water''s GAP]]*WWWW[[#This Row],[Total PoP ]]</f>
        <v>0</v>
      </c>
      <c r="DA217" s="971">
        <f>IF(WWWW[[#This Row],[Total required water points]]-WWWW[[#This Row],['#Water points coverage]]&lt;0,0,WWWW[[#This Row],[Total required water points]]-WWWW[[#This Row],['#Water points coverage]])</f>
        <v>0.36199999999999999</v>
      </c>
      <c r="DB217" s="971">
        <f>ROUND(IF(WWWW[[#This Row],[Total PoP ]]&lt;500,1,WWWW[[#This Row],[Total PoP ]]/500),0)</f>
        <v>1</v>
      </c>
      <c r="DC217" s="971">
        <f>(WWWW[[#This Row],['#_Constructed latrines_by_WASHAgencies]]+WWWW[[#This Row],['#_Non Cluster partner latrines]])-WWWW[[#This Row],['#_Non-functional latrines]]</f>
        <v>9</v>
      </c>
      <c r="DD217" s="619">
        <f>WWWW[[#This Row],[HRP2]]/WWWW[[#This Row],[Total PoP ]]</f>
        <v>0.56426332288401249</v>
      </c>
      <c r="DE217"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217"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7"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7" s="421">
        <f>IF(WWWW[[#This Row],['# of functional latrines in THF supported by WASH partners during the reporting period2]]="",0,WWWW[[#This Row],['# of functional latrines in THF supported by WASH partners during the reporting period2]]*50)</f>
        <v>0</v>
      </c>
      <c r="DI217" s="971">
        <f>ROUND(IF(WWWW[[#This Row],[Location Type 1]]="camp",WWWW[[#This Row],[Total PoP ]]/20,IF(WWWW[[#This Row],[Location Type 1]]="Temporary Location",WWWW[[#This Row],[Total PoP ]]/50,(WWWW[[#This Row],[Total PoP ]]/6))),0)</f>
        <v>16</v>
      </c>
      <c r="DJ217" s="971">
        <f>IF(WWWW[[#This Row],[Total required Latrines]]-(WWWW[[#This Row],['#_Constructed latrines_by_WASHAgencies]]+WWWW[[#This Row],['#_Non Cluster partner latrines]])&lt;0,0,WWWW[[#This Row],[Total required Latrines]]-(WWWW[[#This Row],['#_Constructed latrines_by_WASHAgencies]]+WWWW[[#This Row],['#_Non Cluster partner latrines]]))</f>
        <v>7</v>
      </c>
      <c r="DK217" s="973">
        <f>1-WWWW[[#This Row],[% people access to functioning Latrine]]</f>
        <v>0.43573667711598751</v>
      </c>
      <c r="DL217" s="972">
        <f>IF(OR(WWWW[[#This Row],['#_Non-functional latrines]]="",WWWW[[#This Row],['#_Non-functional latrines]]=0),0,WWWW[[#This Row],['#_Non-functional latrines]]/(WWWW[[#This Row],['#_Constructed latrines_by_WASHAgencies]]+WWWW[[#This Row],['#_Non Cluster partner latrines]]))</f>
        <v>0</v>
      </c>
      <c r="DM217" s="968">
        <f>IF(500*(WWWW[[#This Row],['#_male hygiene promoters]]+WWWW[[#This Row],['#_female hygiene promoters]])&gt;WWWW[[#This Row],[Total PoP ]],WWWW[[#This Row],[Total PoP ]],500*(WWWW[[#This Row],['#_male hygiene promoters]]+WWWW[[#This Row],['#_female hygiene promoters]]))</f>
        <v>319</v>
      </c>
      <c r="DN217"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319</v>
      </c>
      <c r="DO217"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7" s="971">
        <f>IF(WWWW[[#This Row],['# People with access to soap]]&gt;WWWW[[#This Row],['# People with access to Sanity Pads]],WWWW[[#This Row],['# People with access to soap]],WWWW[[#This Row],['# People with access to Sanity Pads]])</f>
        <v>319</v>
      </c>
      <c r="DQ217" s="971">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R217" s="973">
        <f>IF(WWWW[[#This Row],[HRP3]]/WWWW[[#This Row],[Total PoP ]]&gt;1,1,WWWW[[#This Row],[HRP3]]/WWWW[[#This Row],[Total PoP ]])</f>
        <v>1</v>
      </c>
      <c r="DS217" s="972">
        <f>1-WWWW[[#This Row],[Hygiene Coverage%]]</f>
        <v>0</v>
      </c>
      <c r="DT217" s="970">
        <f>WWWW[[#This Row],['# people reached by regular dedicated hygiene promotion_5]]/WWWW[[#This Row],[Total PoP ]]</f>
        <v>1</v>
      </c>
      <c r="DU217"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17"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7" s="971">
        <f>WWWW[[#This Row],['#_Constructed/Existing hand washing stations]]-WWWW[[#This Row],['#_Non-Functional_hand_washing_stations]]</f>
        <v>5</v>
      </c>
      <c r="DX217" s="968">
        <f>IF(WWWW[[#This Row],['# Functional hand washing stations during reporting period]]*20&gt;WWWW[[#This Row],[Total HH]],WWWW[[#This Row],[Total HH]],WWWW[[#This Row],['# Functional hand washing stations during reporting period]]*20)</f>
        <v>76</v>
      </c>
      <c r="DY217" s="968">
        <f>IF(WWWW[[#This Row],[Is sufficient soap available for TLS? (Yes/No)]]="yes",WWWW[[#This Row],['#_Constructed/Existing hand washing stations at TLS/CFS/THF]],0)</f>
        <v>1</v>
      </c>
      <c r="DZ217" s="425">
        <f>IF(WWWW[[#This Row],['# Functional hand washing stations during reporting period]]*100&gt;WWWW[[#This Row],[Total PoP ]],WWWW[[#This Row],[Total PoP ]],WWWW[[#This Row],['# Functional hand washing stations during reporting period]]*100)</f>
        <v>319</v>
      </c>
      <c r="EA217" s="425" t="str">
        <f>IF(OR(WWWW[[#This Row],['#_students at TLS_CFS]]="",WWWW[[#This Row],['#_students at TLS_CFS]]=0),"No","Yes")</f>
        <v>No</v>
      </c>
      <c r="EB217" s="619">
        <f>IF(WWWW[[#This Row],['#_of_affected_people_surveyed_who_report_feeling_informed_about_the_different_WASH_services_available_to_them]]="","",WWWW[[#This Row],['#_of_affected_people_surveyed_who_report_feeling_informed_about_the_different_WASH_services_available_to_them]]/WWWW[[#This Row],[Total PoP ]])</f>
        <v>0.31347962382445144</v>
      </c>
      <c r="EC217" s="570">
        <f>WWWW[[#This Row],[%_of_affected_people_surveyed_who_report_feeling_satistfied_with_the_latrine_design_and_sanitation_service]]*WWWW[[#This Row],[Total PoP ]]</f>
        <v>306.24</v>
      </c>
      <c r="ED217" s="570">
        <f>WWWW[[#This Row],[%_of_affected_people_surveyed_who_report_feeling_satistfied_with_the_water_point_design_and_water_service]]*WWWW[[#This Row],[Total PoP ]]</f>
        <v>287.10000000000002</v>
      </c>
      <c r="EE217" s="570">
        <f>WWWW[[#This Row],[%_of_complaints_received_that_result_in_timely_corrective_action_and_feedback_to_the_community]]*WWWW[[#This Row],[Total PoP ]]</f>
        <v>315.81</v>
      </c>
      <c r="EF217"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315.81</v>
      </c>
      <c r="EG217"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319</v>
      </c>
      <c r="EH217"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7" s="964" t="str">
        <f>VLOOKUP(WWWW[[#This Row],[Site Name]],SiteDB6[[Site Name]:[CCCM Management]],6,FALSE)</f>
        <v>Yes</v>
      </c>
      <c r="EJ217" s="964" t="str">
        <f>VLOOKUP(WWWW[[#This Row],[Site Name]],SiteDB6[[Site Name]:[CCCM Focal Agency]],7,FALSE)</f>
        <v>Shalom</v>
      </c>
      <c r="EK217" s="964" t="str">
        <f>VLOOKUP(WWWW[[#This Row],[Site Name]],SiteDB6[[Site Name]:[Location Type 1]],9,FALSE)</f>
        <v>Camp</v>
      </c>
      <c r="EL217" s="964" t="str">
        <f>VLOOKUP(WWWW[[#This Row],[Site Name]],SiteDB6[[Site Name]:[Type of Accommodation]],10,FALSE)</f>
        <v>Camp</v>
      </c>
      <c r="EM217" s="964" t="str">
        <f>VLOOKUP(WWWW[[#This Row],[Site Name]],SiteDB6[[Site Name]:[Ethnic or GCA/NGCA]],11,FALSE)</f>
        <v>GCA</v>
      </c>
      <c r="EN217" s="964">
        <f>VLOOKUP(WWWW[[#This Row],[Site Name]],SiteDB6[[Site Name]:[Lat]],12,FALSE)</f>
        <v>25.351250396825399</v>
      </c>
      <c r="EO217" s="964">
        <f>VLOOKUP(WWWW[[#This Row],[Site Name]],SiteDB6[[Site Name]:[Long]],13,FALSE)</f>
        <v>97.444283730158702</v>
      </c>
      <c r="EP217" s="964" t="str">
        <f>VLOOKUP(WWWW[[#This Row],[Site Name]],SiteDB6[[Site Name]:[Pcode]],3,FALSE)</f>
        <v>MMR001CMP038</v>
      </c>
      <c r="EQ217" s="969" t="str">
        <f t="shared" si="7"/>
        <v>Covered</v>
      </c>
      <c r="ER217" s="969" t="s">
        <v>3147</v>
      </c>
      <c r="ES217" s="964">
        <f>VLOOKUP(WWWW[[#This Row],[Site Name]],SiteDB6[[Site Name]:[Pop
(Kachin/Shan-CCCM as of March 2023)]],16,FALSE)</f>
        <v>76</v>
      </c>
      <c r="ET217" s="964">
        <f>VLOOKUP(WWWW[[#This Row],[Site Name]],SiteDB6[[Site Name]:[Pop
(Kachin/Shan-CCCM as of March 2023)]],17,FALSE)</f>
        <v>319</v>
      </c>
    </row>
    <row r="218" spans="1:150" hidden="1">
      <c r="A218" s="962" t="s">
        <v>2977</v>
      </c>
      <c r="B218" s="962" t="s">
        <v>242</v>
      </c>
      <c r="C218" s="963" t="s">
        <v>242</v>
      </c>
      <c r="D218" s="963" t="s">
        <v>299</v>
      </c>
      <c r="E218" s="963" t="s">
        <v>37</v>
      </c>
      <c r="F218" s="963" t="s">
        <v>148</v>
      </c>
      <c r="G218" s="964" t="str">
        <f>VLOOKUP(WWWW[[#This Row],[Site Name]],SiteDB6[[Site Name]:[Location Type]],8,FALSE)</f>
        <v>Camp</v>
      </c>
      <c r="H218" s="963" t="s">
        <v>261</v>
      </c>
      <c r="I218" s="965">
        <v>25</v>
      </c>
      <c r="J218" s="965">
        <v>133</v>
      </c>
      <c r="K218" s="966">
        <v>44562</v>
      </c>
      <c r="L218" s="967">
        <v>44926</v>
      </c>
      <c r="M218" s="965"/>
      <c r="N218" s="965"/>
      <c r="O218" s="965">
        <v>1</v>
      </c>
      <c r="P218" s="965"/>
      <c r="Q218" s="968" t="s">
        <v>41</v>
      </c>
      <c r="R218" s="965">
        <v>2</v>
      </c>
      <c r="S218" s="965">
        <v>2</v>
      </c>
      <c r="T218" s="445">
        <v>1</v>
      </c>
      <c r="U218" s="965"/>
      <c r="V218" s="965"/>
      <c r="W218" s="965"/>
      <c r="X218" s="965">
        <v>1</v>
      </c>
      <c r="Y218" s="965"/>
      <c r="Z218" s="965"/>
      <c r="AA218" s="965">
        <v>2</v>
      </c>
      <c r="AB218" s="965"/>
      <c r="AC218" s="965"/>
      <c r="AD218" s="965"/>
      <c r="AE218" s="965">
        <v>4</v>
      </c>
      <c r="AF218" s="965"/>
      <c r="AG218" s="965"/>
      <c r="AH218" s="965"/>
      <c r="AI218" s="965"/>
      <c r="AJ218" s="965"/>
      <c r="AK218" s="965"/>
      <c r="AL218" s="965"/>
      <c r="AM218" s="965"/>
      <c r="AN218" s="965"/>
      <c r="AO218" s="445"/>
      <c r="AP218" s="969"/>
      <c r="AQ218" s="965">
        <v>8</v>
      </c>
      <c r="AR218" s="965">
        <v>4</v>
      </c>
      <c r="AS218" s="970" t="s">
        <v>2651</v>
      </c>
      <c r="AT218" s="965"/>
      <c r="AU218" s="965"/>
      <c r="AV218" s="965"/>
      <c r="AW218" s="965"/>
      <c r="AX218" s="965"/>
      <c r="AY218" s="964" t="s">
        <v>41</v>
      </c>
      <c r="AZ218" s="969" t="s">
        <v>137</v>
      </c>
      <c r="BA218" s="965"/>
      <c r="BB218" s="965">
        <v>2</v>
      </c>
      <c r="BC218" s="965"/>
      <c r="BD218" s="445"/>
      <c r="BE218" s="445"/>
      <c r="BF218" s="964"/>
      <c r="BG218" s="965">
        <v>4</v>
      </c>
      <c r="BH218" s="965"/>
      <c r="BI218" s="965"/>
      <c r="BJ218" s="965">
        <v>2</v>
      </c>
      <c r="BK218" s="965"/>
      <c r="BL218" s="965"/>
      <c r="BM218" s="965"/>
      <c r="BN218" s="965"/>
      <c r="BO218" s="965"/>
      <c r="BP218" s="964"/>
      <c r="BQ218" s="971"/>
      <c r="BR218" s="970"/>
      <c r="BS218" s="964"/>
      <c r="BT218" s="420"/>
      <c r="BU218" s="420"/>
      <c r="BV218" s="422"/>
      <c r="BW218" s="420"/>
      <c r="BX218" s="445"/>
      <c r="BY218" s="445"/>
      <c r="BZ218" s="445"/>
      <c r="CA218" s="445"/>
      <c r="CB218" s="445"/>
      <c r="CC218" s="702"/>
      <c r="CD218" s="445"/>
      <c r="CE218" s="972" t="str">
        <f>IFERROR(WWWW[[#This Row],['#_Water sources passed]]/WWWW[[#This Row],['#_Water sources tested for fecal coliform ]],"no test")</f>
        <v>no test</v>
      </c>
      <c r="CF218" s="970" t="str">
        <f>IFERROR(WWWW[[#This Row],['#_Household passed]]/WWWW[[#This Row],['#_Household water samples tested for fecal coliform]],"no test")</f>
        <v>no test</v>
      </c>
      <c r="CG218" s="971" t="str">
        <f>IF(AND(WWWW[[#This Row],[% of water sources passed]]="no test",WWWW[[#This Row],[% Household passed]]="no test"),"No Test","Tested")</f>
        <v>No Test</v>
      </c>
      <c r="CH218" s="971">
        <f>WWWW[[#This Row],['#_Constructed/existing protected hand dug well]]-WWWW[[#This Row],['#_Non-functional protected hand dug well]]</f>
        <v>1</v>
      </c>
      <c r="CI218" s="971">
        <f>(WWWW[[#This Row],['#_Constructed/Existing tube wells/boreholes/handpumps_WASH_agency]]+WWWW[[#This Row],['#_Non-Cluster partner water tube-wells/boreholes/handpumps]])-WWWW[[#This Row],['#_Non-functional tube wells/boreholes/handpumps]]</f>
        <v>1</v>
      </c>
      <c r="CJ218" s="971">
        <f>WWWW[[#This Row],['#_Constructed/Existingwater storage tank with gravity fed reticulation system]]-WWWW[[#This Row],['#_Non-functional storage tank gravity fed reticulation system]]</f>
        <v>2</v>
      </c>
      <c r="CK218" s="971">
        <f>(WWWW[[#This Row],['#_Water_Liters_supplied_by_Water boating or water trucking]]/90)/15</f>
        <v>0</v>
      </c>
      <c r="CL218" s="971">
        <f>WWWW[[#This Row],['#_Water_Liters_from_Constructed/Existing water distribution system from river or natural spring]]/90/15</f>
        <v>0</v>
      </c>
      <c r="CM218" s="421">
        <f>IF(WWWW[[#This Row],['#_of water points in TLS/CFS]]*500&gt;WWWW[[#This Row],[Total PoP ]],WWWW[[#This Row],[Total PoP ]],WWWW[[#This Row],['#_of water points in TLS/CFS]]*500)</f>
        <v>0</v>
      </c>
      <c r="CN218" s="421">
        <f>IF(WWWW[[#This Row],['#_of water points in THF]]*500&gt;WWWW[[#This Row],[Total PoP ]],WWWW[[#This Row],[Total PoP ]],WWWW[[#This Row],['#_of water points in THF]]*500)</f>
        <v>0</v>
      </c>
      <c r="CO218" s="421"/>
      <c r="CP218"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8"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8" s="970">
        <f>IF(WWWW[[#This Row],[Location Type 1]]="Village",WWWW[[#This Row],[Access to safe drinking water for Village]],WWWW[[#This Row],[Access to safe drinking water for Camp]])</f>
        <v>1</v>
      </c>
      <c r="CS218" s="968">
        <f>WWWW[[#This Row],[%Equitable and continuous access to sufficient quantity of safe drinking water]]*WWWW[[#This Row],[Total PoP ]]</f>
        <v>133</v>
      </c>
      <c r="CT218" s="970">
        <f>IF((WWWW[[#This Row],['#_Constructed/Existing protected/fenced ponds]]*250)/WWWW[[#This Row],[Total PoP ]]&gt;1,1,(WWWW[[#This Row],['#_Constructed/Existing protected/fenced ponds]]*250)/WWWW[[#This Row],[Total PoP ]])</f>
        <v>1</v>
      </c>
      <c r="CU218" s="968">
        <f>WWWW[[#This Row],[% Access to unimproved water points]]*WWWW[[#This Row],[Total PoP ]]</f>
        <v>133</v>
      </c>
      <c r="CV218"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8"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X218" s="968">
        <f>WWWW[[#This Row],[HRP1]]/500</f>
        <v>0.26600000000000001</v>
      </c>
      <c r="CY218" s="973">
        <f>1-WWWW[[#This Row],[% Equitable and continuous access to sufficient quantity of domestic water]]</f>
        <v>0</v>
      </c>
      <c r="CZ218" s="968">
        <f>WWWW[[#This Row],[%equitable and continuous access to sufficient quantity of safe drinking and domestic water''s GAP]]*WWWW[[#This Row],[Total PoP ]]</f>
        <v>0</v>
      </c>
      <c r="DA218" s="971">
        <f>IF(WWWW[[#This Row],[Total required water points]]-WWWW[[#This Row],['#Water points coverage]]&lt;0,0,WWWW[[#This Row],[Total required water points]]-WWWW[[#This Row],['#Water points coverage]])</f>
        <v>0.73399999999999999</v>
      </c>
      <c r="DB218" s="971">
        <f>ROUND(IF(WWWW[[#This Row],[Total PoP ]]&lt;500,1,WWWW[[#This Row],[Total PoP ]]/500),0)</f>
        <v>1</v>
      </c>
      <c r="DC218" s="971">
        <f>(WWWW[[#This Row],['#_Constructed latrines_by_WASHAgencies]]+WWWW[[#This Row],['#_Non Cluster partner latrines]])-WWWW[[#This Row],['#_Non-functional latrines]]</f>
        <v>12</v>
      </c>
      <c r="DD218" s="619">
        <f>WWWW[[#This Row],[HRP2]]/WWWW[[#This Row],[Total PoP ]]</f>
        <v>1</v>
      </c>
      <c r="DE218"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133</v>
      </c>
      <c r="DF218"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8"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8" s="421">
        <f>IF(WWWW[[#This Row],['# of functional latrines in THF supported by WASH partners during the reporting period2]]="",0,WWWW[[#This Row],['# of functional latrines in THF supported by WASH partners during the reporting period2]]*50)</f>
        <v>0</v>
      </c>
      <c r="DI218" s="971">
        <f>ROUND(IF(WWWW[[#This Row],[Location Type 1]]="camp",WWWW[[#This Row],[Total PoP ]]/20,IF(WWWW[[#This Row],[Location Type 1]]="Temporary Location",WWWW[[#This Row],[Total PoP ]]/50,(WWWW[[#This Row],[Total PoP ]]/6))),0)</f>
        <v>7</v>
      </c>
      <c r="DJ218" s="971">
        <f>IF(WWWW[[#This Row],[Total required Latrines]]-(WWWW[[#This Row],['#_Constructed latrines_by_WASHAgencies]]+WWWW[[#This Row],['#_Non Cluster partner latrines]])&lt;0,0,WWWW[[#This Row],[Total required Latrines]]-(WWWW[[#This Row],['#_Constructed latrines_by_WASHAgencies]]+WWWW[[#This Row],['#_Non Cluster partner latrines]]))</f>
        <v>0</v>
      </c>
      <c r="DK218" s="973">
        <f>1-WWWW[[#This Row],[% people access to functioning Latrine]]</f>
        <v>0</v>
      </c>
      <c r="DL218" s="972">
        <f>IF(OR(WWWW[[#This Row],['#_Non-functional latrines]]="",WWWW[[#This Row],['#_Non-functional latrines]]=0),0,WWWW[[#This Row],['#_Non-functional latrines]]/(WWWW[[#This Row],['#_Constructed latrines_by_WASHAgencies]]+WWWW[[#This Row],['#_Non Cluster partner latrines]]))</f>
        <v>0</v>
      </c>
      <c r="DM218" s="968">
        <f>IF(500*(WWWW[[#This Row],['#_male hygiene promoters]]+WWWW[[#This Row],['#_female hygiene promoters]])&gt;WWWW[[#This Row],[Total PoP ]],WWWW[[#This Row],[Total PoP ]],500*(WWWW[[#This Row],['#_male hygiene promoters]]+WWWW[[#This Row],['#_female hygiene promoters]]))</f>
        <v>0</v>
      </c>
      <c r="DN218"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8"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8" s="971">
        <f>IF(WWWW[[#This Row],['# People with access to soap]]&gt;WWWW[[#This Row],['# People with access to Sanity Pads]],WWWW[[#This Row],['# People with access to soap]],WWWW[[#This Row],['# People with access to Sanity Pads]])</f>
        <v>0</v>
      </c>
      <c r="DQ218" s="971">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18" s="973">
        <f>IF(WWWW[[#This Row],[HRP3]]/WWWW[[#This Row],[Total PoP ]]&gt;1,1,WWWW[[#This Row],[HRP3]]/WWWW[[#This Row],[Total PoP ]])</f>
        <v>0</v>
      </c>
      <c r="DS218" s="972">
        <f>1-WWWW[[#This Row],[Hygiene Coverage%]]</f>
        <v>1</v>
      </c>
      <c r="DT218" s="970">
        <f>WWWW[[#This Row],['# people reached by regular dedicated hygiene promotion_5]]/WWWW[[#This Row],[Total PoP ]]</f>
        <v>0</v>
      </c>
      <c r="DU218"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8"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8" s="971">
        <f>WWWW[[#This Row],['#_Constructed/Existing hand washing stations]]-WWWW[[#This Row],['#_Non-Functional_hand_washing_stations]]</f>
        <v>4</v>
      </c>
      <c r="DX218" s="968">
        <f>IF(WWWW[[#This Row],['# Functional hand washing stations during reporting period]]*20&gt;WWWW[[#This Row],[Total HH]],WWWW[[#This Row],[Total HH]],WWWW[[#This Row],['# Functional hand washing stations during reporting period]]*20)</f>
        <v>25</v>
      </c>
      <c r="DY218" s="968">
        <f>IF(WWWW[[#This Row],[Is sufficient soap available for TLS? (Yes/No)]]="yes",WWWW[[#This Row],['#_Constructed/Existing hand washing stations at TLS/CFS/THF]],0)</f>
        <v>0</v>
      </c>
      <c r="DZ218" s="425">
        <f>IF(WWWW[[#This Row],['# Functional hand washing stations during reporting period]]*100&gt;WWWW[[#This Row],[Total PoP ]],WWWW[[#This Row],[Total PoP ]],WWWW[[#This Row],['# Functional hand washing stations during reporting period]]*100)</f>
        <v>133</v>
      </c>
      <c r="EA218" s="425" t="str">
        <f>IF(OR(WWWW[[#This Row],['#_students at TLS_CFS]]="",WWWW[[#This Row],['#_students at TLS_CFS]]=0),"No","Yes")</f>
        <v>No</v>
      </c>
      <c r="EB218"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8" s="570">
        <f>WWWW[[#This Row],[%_of_affected_people_surveyed_who_report_feeling_satistfied_with_the_latrine_design_and_sanitation_service]]*WWWW[[#This Row],[Total PoP ]]</f>
        <v>0</v>
      </c>
      <c r="ED218" s="570">
        <f>WWWW[[#This Row],[%_of_affected_people_surveyed_who_report_feeling_satistfied_with_the_water_point_design_and_water_service]]*WWWW[[#This Row],[Total PoP ]]</f>
        <v>0</v>
      </c>
      <c r="EE218" s="570">
        <f>WWWW[[#This Row],[%_of_complaints_received_that_result_in_timely_corrective_action_and_feedback_to_the_community]]*WWWW[[#This Row],[Total PoP ]]</f>
        <v>0</v>
      </c>
      <c r="EF218"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8"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8"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8" s="964" t="str">
        <f>VLOOKUP(WWWW[[#This Row],[Site Name]],SiteDB6[[Site Name]:[CCCM Management]],6,FALSE)</f>
        <v>Yes</v>
      </c>
      <c r="EJ218" s="964" t="str">
        <f>VLOOKUP(WWWW[[#This Row],[Site Name]],SiteDB6[[Site Name]:[CCCM Focal Agency]],7,FALSE)</f>
        <v>KBC-MYT</v>
      </c>
      <c r="EK218" s="964" t="str">
        <f>VLOOKUP(WWWW[[#This Row],[Site Name]],SiteDB6[[Site Name]:[Location Type 1]],9,FALSE)</f>
        <v>Camp</v>
      </c>
      <c r="EL218" s="964" t="str">
        <f>VLOOKUP(WWWW[[#This Row],[Site Name]],SiteDB6[[Site Name]:[Type of Accommodation]],10,FALSE)</f>
        <v>Camp</v>
      </c>
      <c r="EM218" s="964" t="str">
        <f>VLOOKUP(WWWW[[#This Row],[Site Name]],SiteDB6[[Site Name]:[Ethnic or GCA/NGCA]],11,FALSE)</f>
        <v>GCA</v>
      </c>
      <c r="EN218" s="964">
        <f>VLOOKUP(WWWW[[#This Row],[Site Name]],SiteDB6[[Site Name]:[Lat]],12,FALSE)</f>
        <v>25.577559999999998</v>
      </c>
      <c r="EO218" s="964">
        <f>VLOOKUP(WWWW[[#This Row],[Site Name]],SiteDB6[[Site Name]:[Long]],13,FALSE)</f>
        <v>96.286680000000004</v>
      </c>
      <c r="EP218" s="964" t="str">
        <f>VLOOKUP(WWWW[[#This Row],[Site Name]],SiteDB6[[Site Name]:[Pcode]],3,FALSE)</f>
        <v>MMR001CMP184</v>
      </c>
      <c r="EQ218" s="969" t="str">
        <f t="shared" si="7"/>
        <v>Covered</v>
      </c>
      <c r="ER218" s="969" t="s">
        <v>3147</v>
      </c>
      <c r="ES218" s="964">
        <f>VLOOKUP(WWWW[[#This Row],[Site Name]],SiteDB6[[Site Name]:[Pop
(Kachin/Shan-CCCM as of March 2023)]],16,FALSE)</f>
        <v>25</v>
      </c>
      <c r="ET218" s="964">
        <f>VLOOKUP(WWWW[[#This Row],[Site Name]],SiteDB6[[Site Name]:[Pop
(Kachin/Shan-CCCM as of March 2023)]],17,FALSE)</f>
        <v>133</v>
      </c>
    </row>
    <row r="219" spans="1:150" hidden="1">
      <c r="A219" s="962" t="s">
        <v>2977</v>
      </c>
      <c r="B219" s="962" t="s">
        <v>242</v>
      </c>
      <c r="C219" s="963" t="s">
        <v>242</v>
      </c>
      <c r="D219" s="963" t="s">
        <v>299</v>
      </c>
      <c r="E219" s="963" t="s">
        <v>37</v>
      </c>
      <c r="F219" s="963" t="s">
        <v>148</v>
      </c>
      <c r="G219" s="964" t="str">
        <f>VLOOKUP(WWWW[[#This Row],[Site Name]],SiteDB6[[Site Name]:[Location Type]],8,FALSE)</f>
        <v>Camp</v>
      </c>
      <c r="H219" s="963" t="s">
        <v>262</v>
      </c>
      <c r="I219" s="965">
        <v>16</v>
      </c>
      <c r="J219" s="965">
        <v>66</v>
      </c>
      <c r="K219" s="966">
        <v>44562</v>
      </c>
      <c r="L219" s="967">
        <v>44926</v>
      </c>
      <c r="M219" s="965">
        <v>30</v>
      </c>
      <c r="N219" s="965"/>
      <c r="O219" s="965"/>
      <c r="P219" s="965"/>
      <c r="Q219" s="968" t="s">
        <v>41</v>
      </c>
      <c r="R219" s="965">
        <v>2</v>
      </c>
      <c r="S219" s="965">
        <v>4</v>
      </c>
      <c r="T219" s="445"/>
      <c r="U219" s="965"/>
      <c r="V219" s="965"/>
      <c r="W219" s="965"/>
      <c r="X219" s="965"/>
      <c r="Y219" s="965"/>
      <c r="Z219" s="965"/>
      <c r="AA219" s="965">
        <v>1</v>
      </c>
      <c r="AB219" s="965"/>
      <c r="AC219" s="965"/>
      <c r="AD219" s="965"/>
      <c r="AE219" s="965">
        <v>2</v>
      </c>
      <c r="AF219" s="965"/>
      <c r="AG219" s="965"/>
      <c r="AH219" s="965"/>
      <c r="AI219" s="965"/>
      <c r="AJ219" s="965"/>
      <c r="AK219" s="965"/>
      <c r="AL219" s="965"/>
      <c r="AM219" s="965">
        <v>2</v>
      </c>
      <c r="AN219" s="965"/>
      <c r="AO219" s="445"/>
      <c r="AP219" s="969"/>
      <c r="AQ219" s="965">
        <v>5</v>
      </c>
      <c r="AR219" s="965"/>
      <c r="AS219" s="970"/>
      <c r="AT219" s="965"/>
      <c r="AU219" s="965"/>
      <c r="AV219" s="965"/>
      <c r="AW219" s="965"/>
      <c r="AX219" s="965"/>
      <c r="AY219" s="964" t="s">
        <v>41</v>
      </c>
      <c r="AZ219" s="969" t="s">
        <v>137</v>
      </c>
      <c r="BA219" s="965"/>
      <c r="BB219" s="965"/>
      <c r="BC219" s="965"/>
      <c r="BD219" s="445"/>
      <c r="BE219" s="445"/>
      <c r="BF219" s="964"/>
      <c r="BG219" s="965">
        <v>2</v>
      </c>
      <c r="BH219" s="965"/>
      <c r="BI219" s="965"/>
      <c r="BJ219" s="965">
        <v>2</v>
      </c>
      <c r="BK219" s="965"/>
      <c r="BL219" s="965">
        <v>1</v>
      </c>
      <c r="BM219" s="965">
        <v>1</v>
      </c>
      <c r="BN219" s="965"/>
      <c r="BO219" s="965"/>
      <c r="BP219" s="964"/>
      <c r="BQ219" s="971"/>
      <c r="BR219" s="970"/>
      <c r="BS219" s="964"/>
      <c r="BT219" s="420"/>
      <c r="BU219" s="420"/>
      <c r="BV219" s="422"/>
      <c r="BW219" s="420"/>
      <c r="BX219" s="445"/>
      <c r="BY219" s="445"/>
      <c r="BZ219" s="445"/>
      <c r="CA219" s="445"/>
      <c r="CB219" s="445"/>
      <c r="CC219" s="702"/>
      <c r="CD219" s="445"/>
      <c r="CE219" s="972" t="str">
        <f>IFERROR(WWWW[[#This Row],['#_Water sources passed]]/WWWW[[#This Row],['#_Water sources tested for fecal coliform ]],"no test")</f>
        <v>no test</v>
      </c>
      <c r="CF219" s="970" t="str">
        <f>IFERROR(WWWW[[#This Row],['#_Household passed]]/WWWW[[#This Row],['#_Household water samples tested for fecal coliform]],"no test")</f>
        <v>no test</v>
      </c>
      <c r="CG219" s="971" t="str">
        <f>IF(AND(WWWW[[#This Row],[% of water sources passed]]="no test",WWWW[[#This Row],[% Household passed]]="no test"),"No Test","Tested")</f>
        <v>No Test</v>
      </c>
      <c r="CH219" s="971">
        <f>WWWW[[#This Row],['#_Constructed/existing protected hand dug well]]-WWWW[[#This Row],['#_Non-functional protected hand dug well]]</f>
        <v>0</v>
      </c>
      <c r="CI219" s="971">
        <f>(WWWW[[#This Row],['#_Constructed/Existing tube wells/boreholes/handpumps_WASH_agency]]+WWWW[[#This Row],['#_Non-Cluster partner water tube-wells/boreholes/handpumps]])-WWWW[[#This Row],['#_Non-functional tube wells/boreholes/handpumps]]</f>
        <v>0</v>
      </c>
      <c r="CJ219" s="971">
        <f>WWWW[[#This Row],['#_Constructed/Existingwater storage tank with gravity fed reticulation system]]-WWWW[[#This Row],['#_Non-functional storage tank gravity fed reticulation system]]</f>
        <v>1</v>
      </c>
      <c r="CK219" s="971">
        <f>(WWWW[[#This Row],['#_Water_Liters_supplied_by_Water boating or water trucking]]/90)/15</f>
        <v>0</v>
      </c>
      <c r="CL219" s="971">
        <f>WWWW[[#This Row],['#_Water_Liters_from_Constructed/Existing water distribution system from river or natural spring]]/90/15</f>
        <v>0</v>
      </c>
      <c r="CM219" s="421">
        <f>IF(WWWW[[#This Row],['#_of water points in TLS/CFS]]*500&gt;WWWW[[#This Row],[Total PoP ]],WWWW[[#This Row],[Total PoP ]],WWWW[[#This Row],['#_of water points in TLS/CFS]]*500)</f>
        <v>0</v>
      </c>
      <c r="CN219" s="421">
        <f>IF(WWWW[[#This Row],['#_of water points in THF]]*500&gt;WWWW[[#This Row],[Total PoP ]],WWWW[[#This Row],[Total PoP ]],WWWW[[#This Row],['#_of water points in THF]]*500)</f>
        <v>0</v>
      </c>
      <c r="CO219" s="421"/>
      <c r="CP219" s="972">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9" s="972">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9" s="970">
        <f>IF(WWWW[[#This Row],[Location Type 1]]="Village",WWWW[[#This Row],[Access to safe drinking water for Village]],WWWW[[#This Row],[Access to safe drinking water for Camp]])</f>
        <v>1</v>
      </c>
      <c r="CS219" s="968">
        <f>WWWW[[#This Row],[%Equitable and continuous access to sufficient quantity of safe drinking water]]*WWWW[[#This Row],[Total PoP ]]</f>
        <v>66</v>
      </c>
      <c r="CT219" s="970">
        <f>IF((WWWW[[#This Row],['#_Constructed/Existing protected/fenced ponds]]*250)/WWWW[[#This Row],[Total PoP ]]&gt;1,1,(WWWW[[#This Row],['#_Constructed/Existing protected/fenced ponds]]*250)/WWWW[[#This Row],[Total PoP ]])</f>
        <v>1</v>
      </c>
      <c r="CU219" s="968">
        <f>WWWW[[#This Row],[% Access to unimproved water points]]*WWWW[[#This Row],[Total PoP ]]</f>
        <v>66</v>
      </c>
      <c r="CV219" s="97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9" s="96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X219" s="968">
        <f>WWWW[[#This Row],[HRP1]]/500</f>
        <v>0.13200000000000001</v>
      </c>
      <c r="CY219" s="973">
        <f>1-WWWW[[#This Row],[% Equitable and continuous access to sufficient quantity of domestic water]]</f>
        <v>0</v>
      </c>
      <c r="CZ219" s="968">
        <f>WWWW[[#This Row],[%equitable and continuous access to sufficient quantity of safe drinking and domestic water''s GAP]]*WWWW[[#This Row],[Total PoP ]]</f>
        <v>0</v>
      </c>
      <c r="DA219" s="971">
        <f>IF(WWWW[[#This Row],[Total required water points]]-WWWW[[#This Row],['#Water points coverage]]&lt;0,0,WWWW[[#This Row],[Total required water points]]-WWWW[[#This Row],['#Water points coverage]])</f>
        <v>0.86799999999999999</v>
      </c>
      <c r="DB219" s="971">
        <f>ROUND(IF(WWWW[[#This Row],[Total PoP ]]&lt;500,1,WWWW[[#This Row],[Total PoP ]]/500),0)</f>
        <v>1</v>
      </c>
      <c r="DC219" s="971">
        <f>(WWWW[[#This Row],['#_Constructed latrines_by_WASHAgencies]]+WWWW[[#This Row],['#_Non Cluster partner latrines]])-WWWW[[#This Row],['#_Non-functional latrines]]</f>
        <v>5</v>
      </c>
      <c r="DD219" s="619">
        <f>WWWW[[#This Row],[HRP2]]/WWWW[[#This Row],[Total PoP ]]</f>
        <v>1</v>
      </c>
      <c r="DE219" s="968">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66</v>
      </c>
      <c r="DF219" s="974">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9" s="971">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9" s="421">
        <f>IF(WWWW[[#This Row],['# of functional latrines in THF supported by WASH partners during the reporting period2]]="",0,WWWW[[#This Row],['# of functional latrines in THF supported by WASH partners during the reporting period2]]*50)</f>
        <v>0</v>
      </c>
      <c r="DI219" s="971">
        <f>ROUND(IF(WWWW[[#This Row],[Location Type 1]]="camp",WWWW[[#This Row],[Total PoP ]]/20,IF(WWWW[[#This Row],[Location Type 1]]="Temporary Location",WWWW[[#This Row],[Total PoP ]]/50,(WWWW[[#This Row],[Total PoP ]]/6))),0)</f>
        <v>3</v>
      </c>
      <c r="DJ219" s="971">
        <f>IF(WWWW[[#This Row],[Total required Latrines]]-(WWWW[[#This Row],['#_Constructed latrines_by_WASHAgencies]]+WWWW[[#This Row],['#_Non Cluster partner latrines]])&lt;0,0,WWWW[[#This Row],[Total required Latrines]]-(WWWW[[#This Row],['#_Constructed latrines_by_WASHAgencies]]+WWWW[[#This Row],['#_Non Cluster partner latrines]]))</f>
        <v>0</v>
      </c>
      <c r="DK219" s="973">
        <f>1-WWWW[[#This Row],[% people access to functioning Latrine]]</f>
        <v>0</v>
      </c>
      <c r="DL219" s="972">
        <f>IF(OR(WWWW[[#This Row],['#_Non-functional latrines]]="",WWWW[[#This Row],['#_Non-functional latrines]]=0),0,WWWW[[#This Row],['#_Non-functional latrines]]/(WWWW[[#This Row],['#_Constructed latrines_by_WASHAgencies]]+WWWW[[#This Row],['#_Non Cluster partner latrines]]))</f>
        <v>0</v>
      </c>
      <c r="DM219" s="968">
        <f>IF(500*(WWWW[[#This Row],['#_male hygiene promoters]]+WWWW[[#This Row],['#_female hygiene promoters]])&gt;WWWW[[#This Row],[Total PoP ]],WWWW[[#This Row],[Total PoP ]],500*(WWWW[[#This Row],['#_male hygiene promoters]]+WWWW[[#This Row],['#_female hygiene promoters]]))</f>
        <v>66</v>
      </c>
      <c r="DN219" s="971">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9" s="971">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9" s="971">
        <f>IF(WWWW[[#This Row],['# People with access to soap]]&gt;WWWW[[#This Row],['# People with access to Sanity Pads]],WWWW[[#This Row],['# People with access to soap]],WWWW[[#This Row],['# People with access to Sanity Pads]])</f>
        <v>0</v>
      </c>
      <c r="DQ219" s="971">
        <f>IF(WWWW[[#This Row],['# people reached by regular dedicated hygiene promotion_5]]&gt;WWWW[[#This Row],['# People received regular supply of hygiene items_6]],WWWW[[#This Row],['# people reached by regular dedicated hygiene promotion_5]],WWWW[[#This Row],['# People received regular supply of hygiene items_6]])</f>
        <v>66</v>
      </c>
      <c r="DR219" s="973">
        <f>IF(WWWW[[#This Row],[HRP3]]/WWWW[[#This Row],[Total PoP ]]&gt;1,1,WWWW[[#This Row],[HRP3]]/WWWW[[#This Row],[Total PoP ]])</f>
        <v>1</v>
      </c>
      <c r="DS219" s="972">
        <f>1-WWWW[[#This Row],[Hygiene Coverage%]]</f>
        <v>0</v>
      </c>
      <c r="DT219" s="970">
        <f>WWWW[[#This Row],['# people reached by regular dedicated hygiene promotion_5]]/WWWW[[#This Row],[Total PoP ]]</f>
        <v>1</v>
      </c>
      <c r="DU219" s="972">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9" s="970">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9" s="971">
        <f>WWWW[[#This Row],['#_Constructed/Existing hand washing stations]]-WWWW[[#This Row],['#_Non-Functional_hand_washing_stations]]</f>
        <v>2</v>
      </c>
      <c r="DX219" s="968">
        <f>IF(WWWW[[#This Row],['# Functional hand washing stations during reporting period]]*20&gt;WWWW[[#This Row],[Total HH]],WWWW[[#This Row],[Total HH]],WWWW[[#This Row],['# Functional hand washing stations during reporting period]]*20)</f>
        <v>16</v>
      </c>
      <c r="DY219" s="968">
        <f>IF(WWWW[[#This Row],[Is sufficient soap available for TLS? (Yes/No)]]="yes",WWWW[[#This Row],['#_Constructed/Existing hand washing stations at TLS/CFS/THF]],0)</f>
        <v>0</v>
      </c>
      <c r="DZ219" s="425">
        <f>IF(WWWW[[#This Row],['# Functional hand washing stations during reporting period]]*100&gt;WWWW[[#This Row],[Total PoP ]],WWWW[[#This Row],[Total PoP ]],WWWW[[#This Row],['# Functional hand washing stations during reporting period]]*100)</f>
        <v>66</v>
      </c>
      <c r="EA219" s="425" t="str">
        <f>IF(OR(WWWW[[#This Row],['#_students at TLS_CFS]]="",WWWW[[#This Row],['#_students at TLS_CFS]]=0),"No","Yes")</f>
        <v>Yes</v>
      </c>
      <c r="EB219" s="619"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9" s="570">
        <f>WWWW[[#This Row],[%_of_affected_people_surveyed_who_report_feeling_satistfied_with_the_latrine_design_and_sanitation_service]]*WWWW[[#This Row],[Total PoP ]]</f>
        <v>0</v>
      </c>
      <c r="ED219" s="570">
        <f>WWWW[[#This Row],[%_of_affected_people_surveyed_who_report_feeling_satistfied_with_the_water_point_design_and_water_service]]*WWWW[[#This Row],[Total PoP ]]</f>
        <v>0</v>
      </c>
      <c r="EE219" s="570">
        <f>WWWW[[#This Row],[%_of_complaints_received_that_result_in_timely_corrective_action_and_feedback_to_the_community]]*WWWW[[#This Row],[Total PoP ]]</f>
        <v>0</v>
      </c>
      <c r="EF219" s="570">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9" s="445">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9" s="445">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9" s="964" t="str">
        <f>VLOOKUP(WWWW[[#This Row],[Site Name]],SiteDB6[[Site Name]:[CCCM Management]],6,FALSE)</f>
        <v>Yes</v>
      </c>
      <c r="EJ219" s="964" t="str">
        <f>VLOOKUP(WWWW[[#This Row],[Site Name]],SiteDB6[[Site Name]:[CCCM Focal Agency]],7,FALSE)</f>
        <v>KBC-MYT</v>
      </c>
      <c r="EK219" s="964" t="str">
        <f>VLOOKUP(WWWW[[#This Row],[Site Name]],SiteDB6[[Site Name]:[Location Type 1]],9,FALSE)</f>
        <v>Camp</v>
      </c>
      <c r="EL219" s="964" t="str">
        <f>VLOOKUP(WWWW[[#This Row],[Site Name]],SiteDB6[[Site Name]:[Type of Accommodation]],10,FALSE)</f>
        <v>Camp</v>
      </c>
      <c r="EM219" s="964" t="str">
        <f>VLOOKUP(WWWW[[#This Row],[Site Name]],SiteDB6[[Site Name]:[Ethnic or GCA/NGCA]],11,FALSE)</f>
        <v>GCA</v>
      </c>
      <c r="EN219" s="964">
        <f>VLOOKUP(WWWW[[#This Row],[Site Name]],SiteDB6[[Site Name]:[Lat]],12,FALSE)</f>
        <v>25.599250000000001</v>
      </c>
      <c r="EO219" s="964">
        <f>VLOOKUP(WWWW[[#This Row],[Site Name]],SiteDB6[[Site Name]:[Long]],13,FALSE)</f>
        <v>96.306910999999999</v>
      </c>
      <c r="EP219" s="964" t="str">
        <f>VLOOKUP(WWWW[[#This Row],[Site Name]],SiteDB6[[Site Name]:[Pcode]],3,FALSE)</f>
        <v>MMR001CMP105</v>
      </c>
      <c r="EQ219" s="969" t="str">
        <f t="shared" si="7"/>
        <v>Covered</v>
      </c>
      <c r="ER219" s="969" t="s">
        <v>3147</v>
      </c>
      <c r="ES219" s="964">
        <f>VLOOKUP(WWWW[[#This Row],[Site Name]],SiteDB6[[Site Name]:[Pop
(Kachin/Shan-CCCM as of March 2023)]],16,FALSE)</f>
        <v>16</v>
      </c>
      <c r="ET219" s="964">
        <f>VLOOKUP(WWWW[[#This Row],[Site Name]],SiteDB6[[Site Name]:[Pop
(Kachin/Shan-CCCM as of March 2023)]],17,FALSE)</f>
        <v>65</v>
      </c>
    </row>
  </sheetData>
  <mergeCells count="22">
    <mergeCell ref="ES5:ET5"/>
    <mergeCell ref="CV2:CV3"/>
    <mergeCell ref="CW2:CW3"/>
    <mergeCell ref="CE5:CG5"/>
    <mergeCell ref="CY5:CZ5"/>
    <mergeCell ref="DL2:DL3"/>
    <mergeCell ref="DI2:DI3"/>
    <mergeCell ref="DJ2:DK3"/>
    <mergeCell ref="DA2:DB3"/>
    <mergeCell ref="CX2:CX3"/>
    <mergeCell ref="DC2:DC3"/>
    <mergeCell ref="DG2:DG3"/>
    <mergeCell ref="DF2:DF3"/>
    <mergeCell ref="DE2:DE3"/>
    <mergeCell ref="CY2:CZ3"/>
    <mergeCell ref="K1:L1"/>
    <mergeCell ref="CE2:CG3"/>
    <mergeCell ref="CH2:CR3"/>
    <mergeCell ref="CS2:CS3"/>
    <mergeCell ref="CT2:CU3"/>
    <mergeCell ref="BT1:BW1"/>
    <mergeCell ref="BX1:BZ1"/>
  </mergeCells>
  <phoneticPr fontId="150" type="noConversion"/>
  <conditionalFormatting sqref="DM5">
    <cfRule type="iconSet" priority="52">
      <iconSet reverse="1">
        <cfvo type="percent" val="0"/>
        <cfvo type="percent" val="0" gte="0"/>
        <cfvo type="percent" val="30"/>
      </iconSet>
    </cfRule>
  </conditionalFormatting>
  <conditionalFormatting sqref="DS4">
    <cfRule type="iconSet" priority="49">
      <iconSet reverse="1">
        <cfvo type="percent" val="0"/>
        <cfvo type="percent" val="0" gte="0"/>
        <cfvo type="percent" val="30"/>
      </iconSet>
    </cfRule>
  </conditionalFormatting>
  <conditionalFormatting sqref="CY4">
    <cfRule type="iconSet" priority="51">
      <iconSet reverse="1">
        <cfvo type="percent" val="0"/>
        <cfvo type="percent" val="0" gte="0"/>
        <cfvo type="percent" val="30"/>
      </iconSet>
    </cfRule>
  </conditionalFormatting>
  <conditionalFormatting sqref="DK4">
    <cfRule type="iconSet" priority="11740">
      <iconSet reverse="1">
        <cfvo type="percent" val="0"/>
        <cfvo type="percent" val="0" gte="0"/>
        <cfvo type="percent" val="30"/>
      </iconSet>
    </cfRule>
  </conditionalFormatting>
  <conditionalFormatting sqref="DL5 DF5:DH5">
    <cfRule type="iconSet" priority="11760">
      <iconSet reverse="1">
        <cfvo type="percent" val="0"/>
        <cfvo type="percent" val="0" gte="0"/>
        <cfvo type="percent" val="10"/>
      </iconSet>
    </cfRule>
  </conditionalFormatting>
  <conditionalFormatting sqref="CZ4">
    <cfRule type="iconSet" priority="42">
      <iconSet reverse="1">
        <cfvo type="percent" val="0"/>
        <cfvo type="percent" val="0" gte="0"/>
        <cfvo type="percent" val="30"/>
      </iconSet>
    </cfRule>
  </conditionalFormatting>
  <conditionalFormatting sqref="DS2 DM2">
    <cfRule type="iconSet" priority="12252">
      <iconSet reverse="1">
        <cfvo type="percent" val="0"/>
        <cfvo type="percent" val="0" gte="0"/>
        <cfvo type="percent" val="30"/>
      </iconSet>
    </cfRule>
  </conditionalFormatting>
  <conditionalFormatting sqref="DS3">
    <cfRule type="iconSet" priority="12255">
      <iconSet reverse="1">
        <cfvo type="percent" val="0"/>
        <cfvo type="percent" val="0" gte="0"/>
        <cfvo type="percent" val="30"/>
      </iconSet>
    </cfRule>
  </conditionalFormatting>
  <conditionalFormatting sqref="CY199:CY203 CY7:CY197">
    <cfRule type="iconSet" priority="13433">
      <iconSet reverse="1">
        <cfvo type="percent" val="0"/>
        <cfvo type="percent" val="0" gte="0"/>
        <cfvo type="percent" val="30"/>
      </iconSet>
    </cfRule>
  </conditionalFormatting>
  <conditionalFormatting sqref="DS199:DS203 DS7:DS197">
    <cfRule type="iconSet" priority="13435">
      <iconSet reverse="1">
        <cfvo type="percent" val="0"/>
        <cfvo type="percent" val="0" gte="0"/>
        <cfvo type="percent" val="30"/>
      </iconSet>
    </cfRule>
  </conditionalFormatting>
  <conditionalFormatting sqref="DK199:DK203 DK7:DK197">
    <cfRule type="iconSet" priority="13437">
      <iconSet reverse="1">
        <cfvo type="percent" val="0"/>
        <cfvo type="percent" val="0" gte="0"/>
        <cfvo type="percent" val="30"/>
      </iconSet>
    </cfRule>
  </conditionalFormatting>
  <conditionalFormatting sqref="CY198">
    <cfRule type="iconSet" priority="2">
      <iconSet reverse="1">
        <cfvo type="percent" val="0"/>
        <cfvo type="percent" val="0" gte="0"/>
        <cfvo type="percent" val="30"/>
      </iconSet>
    </cfRule>
  </conditionalFormatting>
  <conditionalFormatting sqref="DK198">
    <cfRule type="iconSet" priority="3">
      <iconSet reverse="1">
        <cfvo type="percent" val="0"/>
        <cfvo type="percent" val="0" gte="0"/>
        <cfvo type="percent" val="30"/>
      </iconSet>
    </cfRule>
  </conditionalFormatting>
  <conditionalFormatting sqref="DS198">
    <cfRule type="iconSet" priority="1">
      <iconSet reverse="1">
        <cfvo type="percent" val="0"/>
        <cfvo type="percent" val="0" gte="0"/>
        <cfvo type="percent" val="30"/>
      </iconSet>
    </cfRule>
  </conditionalFormatting>
  <conditionalFormatting sqref="H7:H219">
    <cfRule type="duplicateValues" dxfId="1228" priority="13557"/>
  </conditionalFormatting>
  <dataValidations count="8">
    <dataValidation type="list" allowBlank="1" showInputMessage="1" showErrorMessage="1" sqref="AZ103 AZ159 AZ202:AZ203 AY7:AY219" xr:uid="{D0016B6D-1FEB-4632-97EA-443A5F593847}">
      <formula1>"Yes, No, NA"</formula1>
    </dataValidation>
    <dataValidation type="list" allowBlank="1" showInputMessage="1" showErrorMessage="1" sqref="AZ104:AZ158 AZ160:AZ201 AZ7:AZ102" xr:uid="{1D0713F1-C99E-42E7-AD96-8BB60B932351}">
      <formula1>"Functional,Not_Functional,No,NA"</formula1>
    </dataValidation>
    <dataValidation type="whole" operator="lessThan" allowBlank="1" showInputMessage="1" showErrorMessage="1" sqref="M7:P219" xr:uid="{00000000-0002-0000-0200-000005000000}">
      <formula1>999999</formula1>
    </dataValidation>
    <dataValidation type="list" allowBlank="1" showInputMessage="1" showErrorMessage="1" sqref="BP7:BP219" xr:uid="{00000000-0002-0000-0200-00000A000000}">
      <formula1>"Yes, No"</formula1>
    </dataValidation>
    <dataValidation type="list" allowBlank="1" showInputMessage="1" showErrorMessage="1" sqref="Q7:Q219" xr:uid="{00000000-0002-0000-0200-000003000000}">
      <formula1>"Yes,No"</formula1>
    </dataValidation>
    <dataValidation type="list" allowBlank="1" showInputMessage="1" showErrorMessage="1" sqref="E7:E219" xr:uid="{00000000-0002-0000-0200-000001000000}">
      <formula1>"Kachin, Central Rakhine, Northern Rakhine, Shan (North)"</formula1>
    </dataValidation>
    <dataValidation type="list" allowBlank="1" showInputMessage="1" showErrorMessage="1" sqref="F7:F219" xr:uid="{00000000-0002-0000-0200-00000B000000}">
      <formula1>OFFSET(Statestart_1,MATCH(E7, State_list, 0), 1,COUNTIF(State_list,E7),1)</formula1>
    </dataValidation>
    <dataValidation type="list" allowBlank="1" showInputMessage="1" showErrorMessage="1" sqref="H7:H219" xr:uid="{00000000-0002-0000-0200-000004000000}">
      <formula1>OFFSET(Township_start,MATCH(F7,Township_list, 0),1, COUNTIF(Township_list,F7),1)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E000000}">
          <x14:formula1>
            <xm:f>Lookup!$A$4:$A$7</xm:f>
          </x14:formula1>
          <xm:sqref>A7:A219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432"/>
  <sheetViews>
    <sheetView zoomScale="110" zoomScaleNormal="110" workbookViewId="0">
      <pane xSplit="1" ySplit="2" topLeftCell="N412" activePane="bottomRight" state="frozen"/>
      <selection activeCell="E391" sqref="E391"/>
      <selection pane="topRight" activeCell="E391" sqref="E391"/>
      <selection pane="bottomLeft" activeCell="E391" sqref="E391"/>
      <selection pane="bottomRight" activeCell="A3" sqref="A3:X432"/>
    </sheetView>
  </sheetViews>
  <sheetFormatPr defaultColWidth="9" defaultRowHeight="14.25" customHeight="1"/>
  <cols>
    <col min="1" max="1" width="9.6640625" bestFit="1" customWidth="1"/>
    <col min="2" max="2" width="17" style="17" customWidth="1"/>
    <col min="3" max="3" width="29.1640625" customWidth="1"/>
    <col min="4" max="4" width="16.6640625" style="88" customWidth="1"/>
    <col min="5" max="6" width="13.58203125" style="44" customWidth="1"/>
    <col min="7" max="7" width="15.83203125" customWidth="1"/>
    <col min="8" max="8" width="8.33203125" style="17" customWidth="1"/>
    <col min="9" max="9" width="6.4140625" style="17" customWidth="1"/>
    <col min="10" max="10" width="19.5" style="17" customWidth="1"/>
    <col min="11" max="11" width="13.1640625" style="17" customWidth="1"/>
    <col min="12" max="12" width="16.1640625" style="17" customWidth="1"/>
    <col min="13" max="13" width="14.83203125" style="17" customWidth="1"/>
    <col min="14" max="14" width="11.83203125" style="17" customWidth="1"/>
    <col min="15" max="16" width="12.6640625" style="17" customWidth="1"/>
    <col min="17" max="17" width="17.1640625" style="17" customWidth="1"/>
    <col min="18" max="19" width="9.9140625" style="17" customWidth="1"/>
    <col min="20" max="20" width="8.5" style="17" customWidth="1"/>
    <col min="21" max="21" width="7.6640625" style="17" customWidth="1"/>
    <col min="22" max="22" width="11.1640625" style="17" customWidth="1"/>
    <col min="23" max="23" width="15.6640625" style="17" customWidth="1"/>
    <col min="24" max="25" width="10.5" style="17" customWidth="1"/>
    <col min="26" max="26" width="16.5" style="44" customWidth="1"/>
    <col min="27" max="27" width="10.08203125" style="43" customWidth="1"/>
    <col min="28" max="28" width="8.58203125"/>
    <col min="29" max="29" width="12.08203125" style="90" customWidth="1"/>
    <col min="30" max="30" width="55" style="45" customWidth="1"/>
    <col min="31" max="31" width="16.58203125" style="17" customWidth="1"/>
    <col min="32" max="32" width="9" style="89"/>
    <col min="33" max="16384" width="9" style="17"/>
  </cols>
  <sheetData>
    <row r="1" spans="1:32" ht="14.25" customHeight="1">
      <c r="A1" s="17"/>
      <c r="C1" s="424"/>
      <c r="D1" s="17"/>
      <c r="E1" s="17"/>
      <c r="F1" s="17"/>
      <c r="G1" s="17"/>
      <c r="U1" s="67"/>
      <c r="V1" s="67"/>
      <c r="W1" s="90"/>
      <c r="X1" s="45"/>
      <c r="Z1" s="17"/>
      <c r="AA1" s="17"/>
      <c r="AB1" s="17"/>
      <c r="AC1" s="17"/>
      <c r="AD1" s="17"/>
      <c r="AF1" s="17"/>
    </row>
    <row r="2" spans="1:32" ht="24" customHeight="1">
      <c r="A2" s="17" t="s">
        <v>21</v>
      </c>
      <c r="B2" s="17" t="s">
        <v>22</v>
      </c>
      <c r="C2" s="68" t="s">
        <v>23</v>
      </c>
      <c r="D2" s="17" t="s">
        <v>1296</v>
      </c>
      <c r="E2" s="17" t="s">
        <v>33</v>
      </c>
      <c r="F2" s="17" t="s">
        <v>1297</v>
      </c>
      <c r="G2" s="17" t="s">
        <v>1298</v>
      </c>
      <c r="H2" s="17" t="s">
        <v>27</v>
      </c>
      <c r="I2" s="17" t="s">
        <v>28</v>
      </c>
      <c r="J2" s="17" t="s">
        <v>134</v>
      </c>
      <c r="K2" s="17" t="s">
        <v>135</v>
      </c>
      <c r="L2" s="17" t="s">
        <v>566</v>
      </c>
      <c r="M2" s="17" t="s">
        <v>30</v>
      </c>
      <c r="N2" s="17" t="s">
        <v>31</v>
      </c>
      <c r="O2" s="17" t="s">
        <v>32</v>
      </c>
      <c r="P2" s="17" t="s">
        <v>567</v>
      </c>
      <c r="Q2" s="17" t="s">
        <v>568</v>
      </c>
      <c r="R2" s="67" t="s">
        <v>3109</v>
      </c>
      <c r="S2" s="67" t="s">
        <v>3108</v>
      </c>
      <c r="T2" s="90" t="s">
        <v>569</v>
      </c>
      <c r="U2" s="45" t="s">
        <v>35</v>
      </c>
      <c r="V2" s="17" t="s">
        <v>570</v>
      </c>
      <c r="W2" s="17" t="s">
        <v>1711</v>
      </c>
      <c r="X2" s="17" t="s">
        <v>2849</v>
      </c>
      <c r="Z2" s="17"/>
      <c r="AA2" s="17"/>
      <c r="AB2" s="17"/>
      <c r="AC2" s="17"/>
      <c r="AD2" s="17"/>
      <c r="AF2" s="17"/>
    </row>
    <row r="3" spans="1:32" s="68" customFormat="1" ht="14.25" customHeight="1">
      <c r="A3" s="433" t="s">
        <v>37</v>
      </c>
      <c r="B3" s="432" t="s">
        <v>195</v>
      </c>
      <c r="C3" s="438" t="s">
        <v>2895</v>
      </c>
      <c r="D3" s="427" t="s">
        <v>2987</v>
      </c>
      <c r="E3" s="426" t="s">
        <v>2662</v>
      </c>
      <c r="F3" s="426" t="s">
        <v>2663</v>
      </c>
      <c r="G3" s="426" t="s">
        <v>2664</v>
      </c>
      <c r="H3" s="426" t="s">
        <v>41</v>
      </c>
      <c r="I3" s="426" t="s">
        <v>242</v>
      </c>
      <c r="J3" s="426" t="s">
        <v>43</v>
      </c>
      <c r="K3" s="424" t="s">
        <v>43</v>
      </c>
      <c r="L3" s="424" t="s">
        <v>43</v>
      </c>
      <c r="M3" s="424" t="s">
        <v>44</v>
      </c>
      <c r="N3" s="426">
        <v>24.154199999999999</v>
      </c>
      <c r="O3" s="426">
        <v>97.160600000000002</v>
      </c>
      <c r="P3" s="424" t="s">
        <v>573</v>
      </c>
      <c r="Q3" s="426" t="s">
        <v>2665</v>
      </c>
      <c r="R3" s="436">
        <v>82</v>
      </c>
      <c r="S3" s="429">
        <v>392</v>
      </c>
      <c r="T3" s="442">
        <v>44544</v>
      </c>
      <c r="U3" s="434"/>
      <c r="V3" s="438" t="s">
        <v>2657</v>
      </c>
      <c r="W3" s="424" t="s">
        <v>2666</v>
      </c>
      <c r="X3" s="427"/>
    </row>
    <row r="4" spans="1:32" s="68" customFormat="1" ht="14.25" customHeight="1">
      <c r="A4" s="424" t="s">
        <v>37</v>
      </c>
      <c r="B4" s="424" t="s">
        <v>195</v>
      </c>
      <c r="C4" s="424" t="s">
        <v>2201</v>
      </c>
      <c r="D4" s="387"/>
      <c r="E4" s="424"/>
      <c r="F4" s="424"/>
      <c r="G4" s="424"/>
      <c r="H4" s="424"/>
      <c r="I4" s="424"/>
      <c r="J4" s="424" t="s">
        <v>1099</v>
      </c>
      <c r="K4" s="424" t="s">
        <v>43</v>
      </c>
      <c r="L4" s="424" t="s">
        <v>826</v>
      </c>
      <c r="M4" s="424" t="s">
        <v>44</v>
      </c>
      <c r="N4" s="424"/>
      <c r="O4" s="424"/>
      <c r="P4" s="424" t="s">
        <v>573</v>
      </c>
      <c r="Q4" s="424" t="s">
        <v>2173</v>
      </c>
      <c r="R4" s="428"/>
      <c r="S4" s="429"/>
      <c r="T4" s="441">
        <v>43749</v>
      </c>
      <c r="U4" s="430"/>
      <c r="V4" s="424"/>
      <c r="W4" s="424"/>
      <c r="X4" s="387"/>
    </row>
    <row r="5" spans="1:32" s="68" customFormat="1" ht="14.25" customHeight="1">
      <c r="A5" s="424" t="s">
        <v>37</v>
      </c>
      <c r="B5" s="424" t="s">
        <v>195</v>
      </c>
      <c r="C5" s="424" t="s">
        <v>814</v>
      </c>
      <c r="D5" s="387"/>
      <c r="E5" s="424"/>
      <c r="F5" s="424"/>
      <c r="G5" s="424"/>
      <c r="H5" s="424"/>
      <c r="I5" s="424"/>
      <c r="J5" s="424" t="s">
        <v>1099</v>
      </c>
      <c r="K5" s="424" t="s">
        <v>43</v>
      </c>
      <c r="L5" s="424" t="s">
        <v>815</v>
      </c>
      <c r="M5" s="424" t="s">
        <v>44</v>
      </c>
      <c r="N5" s="637"/>
      <c r="O5" s="637"/>
      <c r="P5" s="424" t="s">
        <v>573</v>
      </c>
      <c r="Q5" s="424"/>
      <c r="R5" s="428"/>
      <c r="S5" s="428"/>
      <c r="T5" s="441"/>
      <c r="U5" s="430"/>
      <c r="V5" s="424" t="s">
        <v>814</v>
      </c>
      <c r="W5" s="424"/>
      <c r="X5" s="387"/>
    </row>
    <row r="6" spans="1:32" s="68" customFormat="1" ht="14.25" customHeight="1">
      <c r="A6" s="424" t="s">
        <v>37</v>
      </c>
      <c r="B6" s="424" t="s">
        <v>195</v>
      </c>
      <c r="C6" s="424" t="s">
        <v>277</v>
      </c>
      <c r="D6" s="427" t="s">
        <v>2987</v>
      </c>
      <c r="E6" s="424" t="s">
        <v>1132</v>
      </c>
      <c r="F6" s="424" t="s">
        <v>1395</v>
      </c>
      <c r="G6" s="424" t="s">
        <v>1395</v>
      </c>
      <c r="H6" s="424" t="s">
        <v>41</v>
      </c>
      <c r="I6" s="424" t="s">
        <v>42</v>
      </c>
      <c r="J6" s="424" t="s">
        <v>43</v>
      </c>
      <c r="K6" s="424" t="s">
        <v>43</v>
      </c>
      <c r="L6" s="424" t="s">
        <v>43</v>
      </c>
      <c r="M6" s="424" t="s">
        <v>44</v>
      </c>
      <c r="N6" s="424">
        <v>24.260719999999999</v>
      </c>
      <c r="O6" s="424">
        <v>97.238829999999993</v>
      </c>
      <c r="P6" s="424" t="s">
        <v>573</v>
      </c>
      <c r="Q6" s="424" t="s">
        <v>592</v>
      </c>
      <c r="R6" s="436">
        <v>145</v>
      </c>
      <c r="S6" s="429">
        <v>671</v>
      </c>
      <c r="T6" s="441"/>
      <c r="U6" s="430"/>
      <c r="V6" s="424" t="s">
        <v>277</v>
      </c>
      <c r="W6" s="424"/>
      <c r="X6" s="427"/>
    </row>
    <row r="7" spans="1:32" s="68" customFormat="1" ht="14.25" customHeight="1">
      <c r="A7" s="424" t="s">
        <v>37</v>
      </c>
      <c r="B7" s="426" t="s">
        <v>195</v>
      </c>
      <c r="C7" s="426" t="s">
        <v>196</v>
      </c>
      <c r="D7" s="427" t="s">
        <v>2987</v>
      </c>
      <c r="E7" s="424" t="s">
        <v>1131</v>
      </c>
      <c r="F7" s="426" t="s">
        <v>1394</v>
      </c>
      <c r="G7" s="424" t="s">
        <v>1394</v>
      </c>
      <c r="H7" s="424" t="s">
        <v>41</v>
      </c>
      <c r="I7" s="424" t="s">
        <v>2116</v>
      </c>
      <c r="J7" s="424" t="s">
        <v>43</v>
      </c>
      <c r="K7" s="424" t="s">
        <v>43</v>
      </c>
      <c r="L7" s="424" t="s">
        <v>43</v>
      </c>
      <c r="M7" s="424" t="s">
        <v>44</v>
      </c>
      <c r="N7" s="424">
        <v>24.260466999999998</v>
      </c>
      <c r="O7" s="424">
        <v>97.252650000000003</v>
      </c>
      <c r="P7" s="424" t="s">
        <v>573</v>
      </c>
      <c r="Q7" s="424" t="s">
        <v>592</v>
      </c>
      <c r="R7" s="436">
        <v>7</v>
      </c>
      <c r="S7" s="429">
        <v>29</v>
      </c>
      <c r="T7" s="441"/>
      <c r="U7" s="430"/>
      <c r="V7" s="424" t="s">
        <v>196</v>
      </c>
      <c r="W7" s="360"/>
      <c r="X7" s="427"/>
    </row>
    <row r="8" spans="1:32" s="68" customFormat="1" ht="14.25" customHeight="1">
      <c r="A8" s="424" t="s">
        <v>37</v>
      </c>
      <c r="B8" s="424" t="s">
        <v>195</v>
      </c>
      <c r="C8" s="424" t="s">
        <v>822</v>
      </c>
      <c r="D8" s="387" t="s">
        <v>1299</v>
      </c>
      <c r="E8" s="424"/>
      <c r="F8" s="424"/>
      <c r="G8" s="424"/>
      <c r="H8" s="424"/>
      <c r="I8" s="424"/>
      <c r="J8" s="424" t="s">
        <v>607</v>
      </c>
      <c r="K8" s="424" t="s">
        <v>607</v>
      </c>
      <c r="L8" s="424" t="s">
        <v>607</v>
      </c>
      <c r="M8" s="424" t="s">
        <v>44</v>
      </c>
      <c r="N8" s="424"/>
      <c r="O8" s="424"/>
      <c r="P8" s="424" t="s">
        <v>608</v>
      </c>
      <c r="Q8" s="424"/>
      <c r="R8" s="428"/>
      <c r="S8" s="428"/>
      <c r="T8" s="441"/>
      <c r="U8" s="430"/>
      <c r="V8" s="424"/>
      <c r="W8" s="424"/>
      <c r="X8" s="387"/>
    </row>
    <row r="9" spans="1:32" s="68" customFormat="1" ht="14.25" customHeight="1">
      <c r="A9" s="424" t="s">
        <v>37</v>
      </c>
      <c r="B9" s="424" t="s">
        <v>195</v>
      </c>
      <c r="C9" s="424" t="s">
        <v>2885</v>
      </c>
      <c r="D9" s="427" t="s">
        <v>2987</v>
      </c>
      <c r="E9" s="424" t="s">
        <v>1135</v>
      </c>
      <c r="F9" s="424"/>
      <c r="G9" s="424"/>
      <c r="H9" s="424"/>
      <c r="I9" s="424" t="s">
        <v>1619</v>
      </c>
      <c r="J9" s="424" t="s">
        <v>43</v>
      </c>
      <c r="K9" s="424" t="s">
        <v>43</v>
      </c>
      <c r="L9" s="424" t="s">
        <v>2591</v>
      </c>
      <c r="M9" s="424" t="s">
        <v>44</v>
      </c>
      <c r="N9" s="424">
        <v>24.263786</v>
      </c>
      <c r="O9" s="424">
        <v>97.228835000000004</v>
      </c>
      <c r="P9" s="424" t="s">
        <v>585</v>
      </c>
      <c r="Q9" s="424" t="s">
        <v>574</v>
      </c>
      <c r="R9" s="436">
        <v>17</v>
      </c>
      <c r="S9" s="429">
        <v>87</v>
      </c>
      <c r="T9" s="441"/>
      <c r="U9" s="430" t="s">
        <v>738</v>
      </c>
      <c r="V9" s="424" t="s">
        <v>737</v>
      </c>
      <c r="W9" s="424"/>
      <c r="X9" s="427"/>
    </row>
    <row r="10" spans="1:32" s="68" customFormat="1" ht="14.25" customHeight="1">
      <c r="A10" s="424" t="s">
        <v>37</v>
      </c>
      <c r="B10" s="424" t="s">
        <v>195</v>
      </c>
      <c r="C10" s="424" t="s">
        <v>580</v>
      </c>
      <c r="D10" s="387" t="s">
        <v>1300</v>
      </c>
      <c r="E10" s="424" t="s">
        <v>1033</v>
      </c>
      <c r="F10" s="424">
        <v>0</v>
      </c>
      <c r="G10" s="424">
        <v>0</v>
      </c>
      <c r="H10" s="424"/>
      <c r="I10" s="424">
        <v>0</v>
      </c>
      <c r="J10" s="424" t="s">
        <v>43</v>
      </c>
      <c r="K10" s="424" t="s">
        <v>43</v>
      </c>
      <c r="L10" s="424" t="s">
        <v>572</v>
      </c>
      <c r="M10" s="424" t="s">
        <v>44</v>
      </c>
      <c r="N10" s="424"/>
      <c r="O10" s="424"/>
      <c r="P10" s="424" t="s">
        <v>573</v>
      </c>
      <c r="Q10" s="424"/>
      <c r="R10" s="428">
        <v>0</v>
      </c>
      <c r="S10" s="428">
        <v>0</v>
      </c>
      <c r="T10" s="441"/>
      <c r="U10" s="430"/>
      <c r="V10" s="424" t="s">
        <v>580</v>
      </c>
      <c r="W10" s="424" t="s">
        <v>1620</v>
      </c>
      <c r="X10" s="387"/>
    </row>
    <row r="11" spans="1:32" s="68" customFormat="1" ht="14.25" customHeight="1">
      <c r="A11" s="424" t="s">
        <v>37</v>
      </c>
      <c r="B11" s="424" t="s">
        <v>195</v>
      </c>
      <c r="C11" s="424" t="s">
        <v>198</v>
      </c>
      <c r="D11" s="427" t="s">
        <v>2987</v>
      </c>
      <c r="E11" s="424" t="s">
        <v>1123</v>
      </c>
      <c r="F11" s="424" t="s">
        <v>1392</v>
      </c>
      <c r="G11" s="424" t="s">
        <v>1393</v>
      </c>
      <c r="H11" s="424" t="s">
        <v>41</v>
      </c>
      <c r="I11" s="424" t="s">
        <v>2116</v>
      </c>
      <c r="J11" s="424" t="s">
        <v>43</v>
      </c>
      <c r="K11" s="424" t="s">
        <v>43</v>
      </c>
      <c r="L11" s="424" t="s">
        <v>43</v>
      </c>
      <c r="M11" s="424" t="s">
        <v>44</v>
      </c>
      <c r="N11" s="424">
        <v>24.24766</v>
      </c>
      <c r="O11" s="424">
        <v>97.236919999999998</v>
      </c>
      <c r="P11" s="424" t="s">
        <v>573</v>
      </c>
      <c r="Q11" s="424" t="s">
        <v>592</v>
      </c>
      <c r="R11" s="436">
        <v>39</v>
      </c>
      <c r="S11" s="429">
        <v>229</v>
      </c>
      <c r="T11" s="441"/>
      <c r="U11" s="430"/>
      <c r="V11" s="424" t="s">
        <v>198</v>
      </c>
      <c r="W11" s="424"/>
      <c r="X11" s="427"/>
    </row>
    <row r="12" spans="1:32" s="68" customFormat="1" ht="14.25" customHeight="1">
      <c r="A12" s="424" t="s">
        <v>37</v>
      </c>
      <c r="B12" s="424" t="s">
        <v>195</v>
      </c>
      <c r="C12" s="424" t="s">
        <v>736</v>
      </c>
      <c r="D12" s="387" t="s">
        <v>1300</v>
      </c>
      <c r="E12" s="424" t="s">
        <v>1133</v>
      </c>
      <c r="F12" s="424">
        <v>0</v>
      </c>
      <c r="G12" s="424">
        <v>0</v>
      </c>
      <c r="H12" s="424"/>
      <c r="I12" s="424">
        <v>0</v>
      </c>
      <c r="J12" s="424" t="s">
        <v>43</v>
      </c>
      <c r="K12" s="424" t="s">
        <v>43</v>
      </c>
      <c r="L12" s="424" t="s">
        <v>572</v>
      </c>
      <c r="M12" s="424" t="s">
        <v>44</v>
      </c>
      <c r="N12" s="424">
        <v>24.262418019999998</v>
      </c>
      <c r="O12" s="424">
        <v>97.221556500000005</v>
      </c>
      <c r="P12" s="424" t="s">
        <v>573</v>
      </c>
      <c r="Q12" s="424"/>
      <c r="R12" s="428">
        <v>0</v>
      </c>
      <c r="S12" s="428">
        <v>0</v>
      </c>
      <c r="T12" s="441"/>
      <c r="U12" s="430"/>
      <c r="V12" s="424" t="s">
        <v>736</v>
      </c>
      <c r="W12" s="424" t="s">
        <v>1621</v>
      </c>
      <c r="X12" s="387"/>
    </row>
    <row r="13" spans="1:32" s="68" customFormat="1" ht="14.25" customHeight="1">
      <c r="A13" s="424" t="s">
        <v>37</v>
      </c>
      <c r="B13" s="424" t="s">
        <v>195</v>
      </c>
      <c r="C13" s="424" t="s">
        <v>200</v>
      </c>
      <c r="D13" s="427" t="s">
        <v>2987</v>
      </c>
      <c r="E13" s="424" t="s">
        <v>1134</v>
      </c>
      <c r="F13" s="424" t="s">
        <v>1395</v>
      </c>
      <c r="G13" s="424" t="s">
        <v>1395</v>
      </c>
      <c r="H13" s="424" t="s">
        <v>41</v>
      </c>
      <c r="I13" s="424" t="s">
        <v>242</v>
      </c>
      <c r="J13" s="424" t="s">
        <v>43</v>
      </c>
      <c r="K13" s="424" t="s">
        <v>43</v>
      </c>
      <c r="L13" s="424" t="s">
        <v>43</v>
      </c>
      <c r="M13" s="424" t="s">
        <v>44</v>
      </c>
      <c r="N13" s="424">
        <v>24.2631743589744</v>
      </c>
      <c r="O13" s="424">
        <v>97.240183461538507</v>
      </c>
      <c r="P13" s="424" t="s">
        <v>573</v>
      </c>
      <c r="Q13" s="424" t="s">
        <v>592</v>
      </c>
      <c r="R13" s="436">
        <v>135</v>
      </c>
      <c r="S13" s="429">
        <v>774</v>
      </c>
      <c r="T13" s="441"/>
      <c r="U13" s="430"/>
      <c r="V13" s="424" t="s">
        <v>200</v>
      </c>
      <c r="W13" s="424"/>
      <c r="X13" s="427"/>
    </row>
    <row r="14" spans="1:32" s="68" customFormat="1" ht="14.25" customHeight="1">
      <c r="A14" s="424" t="s">
        <v>37</v>
      </c>
      <c r="B14" s="424" t="s">
        <v>195</v>
      </c>
      <c r="C14" s="424" t="s">
        <v>2231</v>
      </c>
      <c r="D14" s="387"/>
      <c r="E14" s="424"/>
      <c r="F14" s="424"/>
      <c r="G14" s="424"/>
      <c r="H14" s="424"/>
      <c r="I14" s="424"/>
      <c r="J14" s="424" t="s">
        <v>1099</v>
      </c>
      <c r="K14" s="424" t="s">
        <v>43</v>
      </c>
      <c r="L14" s="424" t="s">
        <v>588</v>
      </c>
      <c r="M14" s="424" t="s">
        <v>44</v>
      </c>
      <c r="N14" s="424"/>
      <c r="O14" s="424"/>
      <c r="P14" s="424" t="s">
        <v>573</v>
      </c>
      <c r="Q14" s="424"/>
      <c r="R14" s="428"/>
      <c r="S14" s="428"/>
      <c r="T14" s="441">
        <v>43774</v>
      </c>
      <c r="U14" s="430" t="s">
        <v>2232</v>
      </c>
      <c r="V14" s="424" t="s">
        <v>1592</v>
      </c>
      <c r="W14" s="672"/>
      <c r="X14" s="387"/>
    </row>
    <row r="15" spans="1:32" s="68" customFormat="1" ht="14.25" customHeight="1">
      <c r="A15" s="424" t="s">
        <v>37</v>
      </c>
      <c r="B15" s="424" t="s">
        <v>195</v>
      </c>
      <c r="C15" s="424" t="s">
        <v>201</v>
      </c>
      <c r="D15" s="477" t="s">
        <v>2633</v>
      </c>
      <c r="E15" s="424" t="s">
        <v>1129</v>
      </c>
      <c r="F15" s="424" t="s">
        <v>1392</v>
      </c>
      <c r="G15" s="424" t="s">
        <v>1393</v>
      </c>
      <c r="H15" s="424" t="s">
        <v>41</v>
      </c>
      <c r="I15" s="424" t="s">
        <v>242</v>
      </c>
      <c r="J15" s="424" t="s">
        <v>43</v>
      </c>
      <c r="K15" s="424" t="s">
        <v>43</v>
      </c>
      <c r="L15" s="424" t="s">
        <v>572</v>
      </c>
      <c r="M15" s="424" t="s">
        <v>44</v>
      </c>
      <c r="N15" s="424">
        <v>24.253067000000001</v>
      </c>
      <c r="O15" s="424">
        <v>97.234200000000001</v>
      </c>
      <c r="P15" s="424" t="s">
        <v>573</v>
      </c>
      <c r="Q15" s="424" t="s">
        <v>592</v>
      </c>
      <c r="R15" s="428"/>
      <c r="S15" s="428"/>
      <c r="T15" s="441"/>
      <c r="U15" s="430"/>
      <c r="V15" s="424" t="s">
        <v>201</v>
      </c>
      <c r="W15" s="424" t="s">
        <v>2632</v>
      </c>
      <c r="X15" s="477"/>
    </row>
    <row r="16" spans="1:32" s="68" customFormat="1" ht="14.25" customHeight="1">
      <c r="A16" s="429" t="s">
        <v>37</v>
      </c>
      <c r="B16" s="432" t="s">
        <v>195</v>
      </c>
      <c r="C16" s="433" t="s">
        <v>2718</v>
      </c>
      <c r="D16" s="427" t="s">
        <v>2987</v>
      </c>
      <c r="E16" s="424" t="s">
        <v>2729</v>
      </c>
      <c r="F16" s="424" t="s">
        <v>1399</v>
      </c>
      <c r="G16" s="424" t="s">
        <v>2741</v>
      </c>
      <c r="H16" s="424"/>
      <c r="I16" s="424"/>
      <c r="J16" s="424" t="s">
        <v>43</v>
      </c>
      <c r="K16" s="424" t="s">
        <v>43</v>
      </c>
      <c r="L16" s="424" t="s">
        <v>43</v>
      </c>
      <c r="M16" s="424" t="s">
        <v>44</v>
      </c>
      <c r="N16" s="424">
        <v>24.314934000000001</v>
      </c>
      <c r="O16" s="424">
        <v>97.305190999999994</v>
      </c>
      <c r="P16" s="424"/>
      <c r="Q16" s="424" t="s">
        <v>2746</v>
      </c>
      <c r="R16" s="436">
        <v>32</v>
      </c>
      <c r="S16" s="429">
        <v>152</v>
      </c>
      <c r="T16" s="441">
        <v>44662</v>
      </c>
      <c r="U16" s="430">
        <v>44501</v>
      </c>
      <c r="V16" s="428"/>
      <c r="W16" s="682" t="s">
        <v>2748</v>
      </c>
      <c r="X16" s="427"/>
    </row>
    <row r="17" spans="1:24" s="68" customFormat="1" ht="14.25" customHeight="1">
      <c r="A17" s="424" t="s">
        <v>37</v>
      </c>
      <c r="B17" s="424" t="s">
        <v>195</v>
      </c>
      <c r="C17" s="424" t="s">
        <v>203</v>
      </c>
      <c r="D17" s="387" t="s">
        <v>2255</v>
      </c>
      <c r="E17" s="424" t="s">
        <v>1139</v>
      </c>
      <c r="F17" s="424" t="s">
        <v>1399</v>
      </c>
      <c r="G17" s="424" t="s">
        <v>1399</v>
      </c>
      <c r="H17" s="424" t="s">
        <v>41</v>
      </c>
      <c r="I17" s="424" t="s">
        <v>42</v>
      </c>
      <c r="J17" s="424" t="s">
        <v>43</v>
      </c>
      <c r="K17" s="424" t="s">
        <v>43</v>
      </c>
      <c r="L17" s="424" t="s">
        <v>43</v>
      </c>
      <c r="M17" s="424" t="s">
        <v>44</v>
      </c>
      <c r="N17" s="424">
        <v>24.32638</v>
      </c>
      <c r="O17" s="424">
        <v>97.315860000000001</v>
      </c>
      <c r="P17" s="424" t="s">
        <v>573</v>
      </c>
      <c r="Q17" s="424" t="s">
        <v>592</v>
      </c>
      <c r="R17" s="428"/>
      <c r="S17" s="428"/>
      <c r="T17" s="441"/>
      <c r="U17" s="430"/>
      <c r="V17" s="424" t="s">
        <v>203</v>
      </c>
      <c r="W17" s="424"/>
      <c r="X17" s="387"/>
    </row>
    <row r="18" spans="1:24" s="424" customFormat="1" ht="14.25" customHeight="1">
      <c r="A18" s="429" t="s">
        <v>37</v>
      </c>
      <c r="B18" s="424" t="s">
        <v>195</v>
      </c>
      <c r="C18" s="359" t="s">
        <v>279</v>
      </c>
      <c r="D18" s="427" t="s">
        <v>2987</v>
      </c>
      <c r="E18" s="424" t="s">
        <v>1120</v>
      </c>
      <c r="F18" s="424" t="s">
        <v>1389</v>
      </c>
      <c r="G18" s="424" t="s">
        <v>1390</v>
      </c>
      <c r="H18" s="424" t="s">
        <v>41</v>
      </c>
      <c r="I18" s="424" t="s">
        <v>2116</v>
      </c>
      <c r="J18" s="424" t="s">
        <v>43</v>
      </c>
      <c r="K18" s="424" t="s">
        <v>43</v>
      </c>
      <c r="L18" s="424" t="s">
        <v>43</v>
      </c>
      <c r="M18" s="424" t="s">
        <v>44</v>
      </c>
      <c r="N18" s="424">
        <v>24.222349999999999</v>
      </c>
      <c r="O18" s="424">
        <v>97.252650000000003</v>
      </c>
      <c r="P18" s="424" t="s">
        <v>573</v>
      </c>
      <c r="Q18" s="424" t="s">
        <v>592</v>
      </c>
      <c r="R18" s="436">
        <v>58</v>
      </c>
      <c r="S18" s="429">
        <v>314</v>
      </c>
      <c r="T18" s="441"/>
      <c r="U18" s="430"/>
      <c r="V18" s="359" t="s">
        <v>279</v>
      </c>
      <c r="X18" s="427"/>
    </row>
    <row r="19" spans="1:24" s="68" customFormat="1" ht="14.25" customHeight="1">
      <c r="A19" s="429" t="s">
        <v>37</v>
      </c>
      <c r="B19" s="432" t="s">
        <v>195</v>
      </c>
      <c r="C19" s="433" t="s">
        <v>280</v>
      </c>
      <c r="D19" s="427" t="s">
        <v>2987</v>
      </c>
      <c r="E19" s="424" t="s">
        <v>1136</v>
      </c>
      <c r="F19" s="424" t="s">
        <v>1392</v>
      </c>
      <c r="G19" s="424" t="s">
        <v>1396</v>
      </c>
      <c r="H19" s="424" t="s">
        <v>41</v>
      </c>
      <c r="I19" s="424" t="s">
        <v>2116</v>
      </c>
      <c r="J19" s="426" t="s">
        <v>43</v>
      </c>
      <c r="K19" s="424" t="s">
        <v>43</v>
      </c>
      <c r="L19" s="424" t="s">
        <v>43</v>
      </c>
      <c r="M19" s="424" t="s">
        <v>44</v>
      </c>
      <c r="N19" s="424">
        <v>24.268292826086999</v>
      </c>
      <c r="O19" s="424">
        <v>97.229116811594196</v>
      </c>
      <c r="P19" s="424" t="s">
        <v>573</v>
      </c>
      <c r="Q19" s="424" t="s">
        <v>592</v>
      </c>
      <c r="R19" s="436">
        <v>565</v>
      </c>
      <c r="S19" s="429">
        <v>3369</v>
      </c>
      <c r="T19" s="441"/>
      <c r="U19" s="436"/>
      <c r="V19" s="424" t="s">
        <v>280</v>
      </c>
      <c r="W19" s="428" t="s">
        <v>1733</v>
      </c>
      <c r="X19" s="427"/>
    </row>
    <row r="20" spans="1:24" s="68" customFormat="1" ht="14.25" customHeight="1">
      <c r="A20" s="433" t="s">
        <v>37</v>
      </c>
      <c r="B20" s="432" t="s">
        <v>195</v>
      </c>
      <c r="C20" s="438" t="s">
        <v>2200</v>
      </c>
      <c r="D20" s="387"/>
      <c r="E20" s="426"/>
      <c r="F20" s="426"/>
      <c r="G20" s="426"/>
      <c r="H20" s="426" t="s">
        <v>136</v>
      </c>
      <c r="I20" s="426"/>
      <c r="J20" s="426" t="s">
        <v>1099</v>
      </c>
      <c r="K20" s="424" t="s">
        <v>43</v>
      </c>
      <c r="L20" s="424" t="s">
        <v>43</v>
      </c>
      <c r="M20" s="424" t="s">
        <v>44</v>
      </c>
      <c r="N20" s="426"/>
      <c r="O20" s="426"/>
      <c r="P20" s="424" t="s">
        <v>573</v>
      </c>
      <c r="Q20" s="426"/>
      <c r="R20" s="437"/>
      <c r="S20" s="433"/>
      <c r="T20" s="442">
        <v>43749</v>
      </c>
      <c r="U20" s="434"/>
      <c r="V20" s="426"/>
      <c r="W20" s="424"/>
      <c r="X20" s="387"/>
    </row>
    <row r="21" spans="1:24" s="68" customFormat="1" ht="14.25" customHeight="1">
      <c r="A21" s="424" t="s">
        <v>37</v>
      </c>
      <c r="B21" s="426" t="s">
        <v>195</v>
      </c>
      <c r="C21" s="426" t="s">
        <v>1292</v>
      </c>
      <c r="D21" s="387"/>
      <c r="E21" s="426"/>
      <c r="F21" s="424"/>
      <c r="G21" s="424"/>
      <c r="H21" s="424" t="s">
        <v>136</v>
      </c>
      <c r="I21" s="424"/>
      <c r="J21" s="424" t="s">
        <v>1099</v>
      </c>
      <c r="K21" s="424" t="s">
        <v>43</v>
      </c>
      <c r="L21" s="424" t="s">
        <v>43</v>
      </c>
      <c r="M21" s="424" t="s">
        <v>44</v>
      </c>
      <c r="N21" s="424"/>
      <c r="O21" s="424"/>
      <c r="P21" s="424" t="s">
        <v>573</v>
      </c>
      <c r="Q21" s="424"/>
      <c r="R21" s="428"/>
      <c r="S21" s="429"/>
      <c r="T21" s="441"/>
      <c r="U21" s="430"/>
      <c r="V21" s="424"/>
      <c r="W21" s="360"/>
      <c r="X21" s="387"/>
    </row>
    <row r="22" spans="1:24" s="68" customFormat="1" ht="14.25" customHeight="1">
      <c r="A22" s="424" t="s">
        <v>37</v>
      </c>
      <c r="B22" s="426" t="s">
        <v>195</v>
      </c>
      <c r="C22" s="426" t="s">
        <v>739</v>
      </c>
      <c r="D22" s="387" t="s">
        <v>1541</v>
      </c>
      <c r="E22" s="426" t="s">
        <v>1138</v>
      </c>
      <c r="F22" s="424" t="s">
        <v>1392</v>
      </c>
      <c r="G22" s="424" t="s">
        <v>1460</v>
      </c>
      <c r="H22" s="424" t="s">
        <v>41</v>
      </c>
      <c r="I22" s="424" t="s">
        <v>242</v>
      </c>
      <c r="J22" s="424" t="s">
        <v>43</v>
      </c>
      <c r="K22" s="424" t="s">
        <v>43</v>
      </c>
      <c r="L22" s="424" t="s">
        <v>572</v>
      </c>
      <c r="M22" s="424" t="s">
        <v>44</v>
      </c>
      <c r="N22" s="424">
        <v>24.29138</v>
      </c>
      <c r="O22" s="424">
        <v>97.227789999999999</v>
      </c>
      <c r="P22" s="424" t="s">
        <v>573</v>
      </c>
      <c r="Q22" s="424" t="s">
        <v>574</v>
      </c>
      <c r="R22" s="428"/>
      <c r="S22" s="429"/>
      <c r="T22" s="441">
        <v>43276</v>
      </c>
      <c r="U22" s="430" t="s">
        <v>1542</v>
      </c>
      <c r="V22" s="424" t="s">
        <v>739</v>
      </c>
      <c r="W22" s="424" t="s">
        <v>1622</v>
      </c>
      <c r="X22" s="387"/>
    </row>
    <row r="23" spans="1:24" s="68" customFormat="1" ht="14.25" customHeight="1">
      <c r="A23" s="424" t="s">
        <v>37</v>
      </c>
      <c r="B23" s="426" t="s">
        <v>195</v>
      </c>
      <c r="C23" s="426" t="s">
        <v>603</v>
      </c>
      <c r="D23" s="387" t="s">
        <v>1300</v>
      </c>
      <c r="E23" s="426" t="s">
        <v>1053</v>
      </c>
      <c r="F23" s="424">
        <v>0</v>
      </c>
      <c r="G23" s="424">
        <v>0</v>
      </c>
      <c r="H23" s="424"/>
      <c r="I23" s="424">
        <v>0</v>
      </c>
      <c r="J23" s="424" t="s">
        <v>43</v>
      </c>
      <c r="K23" s="424" t="s">
        <v>43</v>
      </c>
      <c r="L23" s="424" t="s">
        <v>572</v>
      </c>
      <c r="M23" s="424" t="s">
        <v>44</v>
      </c>
      <c r="N23" s="424"/>
      <c r="O23" s="424"/>
      <c r="P23" s="424" t="s">
        <v>573</v>
      </c>
      <c r="Q23" s="424"/>
      <c r="R23" s="428">
        <v>0</v>
      </c>
      <c r="S23" s="428">
        <v>0</v>
      </c>
      <c r="T23" s="441"/>
      <c r="U23" s="430"/>
      <c r="V23" s="424" t="s">
        <v>603</v>
      </c>
      <c r="W23" s="424" t="s">
        <v>1623</v>
      </c>
      <c r="X23" s="387"/>
    </row>
    <row r="24" spans="1:24" s="68" customFormat="1" ht="14.25" customHeight="1">
      <c r="A24" s="424" t="s">
        <v>37</v>
      </c>
      <c r="B24" s="424" t="s">
        <v>195</v>
      </c>
      <c r="C24" s="424" t="s">
        <v>204</v>
      </c>
      <c r="D24" s="387" t="s">
        <v>2113</v>
      </c>
      <c r="E24" s="424" t="s">
        <v>1124</v>
      </c>
      <c r="F24" s="424" t="s">
        <v>1389</v>
      </c>
      <c r="G24" s="424" t="s">
        <v>1389</v>
      </c>
      <c r="H24" s="424" t="s">
        <v>41</v>
      </c>
      <c r="I24" s="424" t="s">
        <v>242</v>
      </c>
      <c r="J24" s="424" t="s">
        <v>43</v>
      </c>
      <c r="K24" s="424" t="s">
        <v>43</v>
      </c>
      <c r="L24" s="424" t="s">
        <v>43</v>
      </c>
      <c r="M24" s="424" t="s">
        <v>44</v>
      </c>
      <c r="N24" s="424">
        <v>24.24953</v>
      </c>
      <c r="O24" s="424">
        <v>97.240639999999999</v>
      </c>
      <c r="P24" s="424" t="s">
        <v>573</v>
      </c>
      <c r="Q24" s="424" t="s">
        <v>592</v>
      </c>
      <c r="R24" s="428"/>
      <c r="S24" s="429"/>
      <c r="T24" s="441"/>
      <c r="U24" s="430"/>
      <c r="V24" s="424" t="s">
        <v>204</v>
      </c>
      <c r="W24" s="424"/>
      <c r="X24" s="387"/>
    </row>
    <row r="25" spans="1:24" s="68" customFormat="1" ht="14.25" customHeight="1">
      <c r="A25" s="424" t="s">
        <v>37</v>
      </c>
      <c r="B25" s="424" t="s">
        <v>146</v>
      </c>
      <c r="C25" s="424" t="s">
        <v>825</v>
      </c>
      <c r="D25" s="387" t="s">
        <v>1299</v>
      </c>
      <c r="E25" s="424"/>
      <c r="F25" s="424"/>
      <c r="G25" s="424"/>
      <c r="H25" s="424"/>
      <c r="I25" s="424"/>
      <c r="J25" s="424" t="s">
        <v>43</v>
      </c>
      <c r="K25" s="424" t="s">
        <v>43</v>
      </c>
      <c r="L25" s="424" t="s">
        <v>826</v>
      </c>
      <c r="M25" s="424" t="s">
        <v>44</v>
      </c>
      <c r="N25" s="424"/>
      <c r="O25" s="424"/>
      <c r="P25" s="424" t="s">
        <v>573</v>
      </c>
      <c r="Q25" s="424"/>
      <c r="R25" s="428"/>
      <c r="S25" s="428"/>
      <c r="T25" s="441"/>
      <c r="U25" s="430"/>
      <c r="V25" s="424" t="s">
        <v>825</v>
      </c>
      <c r="W25" s="424"/>
      <c r="X25" s="387"/>
    </row>
    <row r="26" spans="1:24" s="68" customFormat="1" ht="14.25" customHeight="1">
      <c r="A26" s="424" t="s">
        <v>37</v>
      </c>
      <c r="B26" s="424" t="s">
        <v>146</v>
      </c>
      <c r="C26" s="424" t="s">
        <v>245</v>
      </c>
      <c r="D26" s="427" t="s">
        <v>2987</v>
      </c>
      <c r="E26" s="424" t="s">
        <v>1244</v>
      </c>
      <c r="F26" s="424" t="s">
        <v>1453</v>
      </c>
      <c r="G26" s="424" t="s">
        <v>1454</v>
      </c>
      <c r="H26" s="424" t="s">
        <v>41</v>
      </c>
      <c r="I26" s="424" t="s">
        <v>242</v>
      </c>
      <c r="J26" s="424" t="s">
        <v>43</v>
      </c>
      <c r="K26" s="424" t="s">
        <v>43</v>
      </c>
      <c r="L26" s="424" t="s">
        <v>43</v>
      </c>
      <c r="M26" s="424" t="s">
        <v>44</v>
      </c>
      <c r="N26" s="424">
        <v>25.889410000000002</v>
      </c>
      <c r="O26" s="424">
        <v>98.131550000000004</v>
      </c>
      <c r="P26" s="424" t="s">
        <v>573</v>
      </c>
      <c r="Q26" s="424" t="s">
        <v>592</v>
      </c>
      <c r="R26" s="436">
        <v>135</v>
      </c>
      <c r="S26" s="429">
        <v>704</v>
      </c>
      <c r="T26" s="441"/>
      <c r="U26" s="430"/>
      <c r="V26" s="424" t="s">
        <v>245</v>
      </c>
      <c r="W26" s="360"/>
      <c r="X26" s="427"/>
    </row>
    <row r="27" spans="1:24" s="68" customFormat="1" ht="14.25" customHeight="1">
      <c r="A27" s="424" t="s">
        <v>37</v>
      </c>
      <c r="B27" s="426" t="s">
        <v>146</v>
      </c>
      <c r="C27" s="426" t="s">
        <v>2888</v>
      </c>
      <c r="D27" s="427" t="s">
        <v>3077</v>
      </c>
      <c r="E27" s="424" t="s">
        <v>1221</v>
      </c>
      <c r="F27" s="424" t="s">
        <v>1445</v>
      </c>
      <c r="G27" s="424" t="s">
        <v>1338</v>
      </c>
      <c r="H27" s="424" t="s">
        <v>41</v>
      </c>
      <c r="I27" s="424" t="s">
        <v>1035</v>
      </c>
      <c r="J27" s="424" t="s">
        <v>43</v>
      </c>
      <c r="K27" s="424" t="s">
        <v>43</v>
      </c>
      <c r="L27" s="424" t="s">
        <v>572</v>
      </c>
      <c r="M27" s="424" t="s">
        <v>44</v>
      </c>
      <c r="N27" s="424">
        <v>25.60867</v>
      </c>
      <c r="O27" s="424">
        <v>98.377780000000001</v>
      </c>
      <c r="P27" s="424" t="s">
        <v>573</v>
      </c>
      <c r="Q27" s="424" t="s">
        <v>592</v>
      </c>
      <c r="R27" s="436">
        <v>4</v>
      </c>
      <c r="S27" s="429">
        <v>20</v>
      </c>
      <c r="T27" s="441"/>
      <c r="U27" s="430"/>
      <c r="V27" s="424" t="s">
        <v>225</v>
      </c>
      <c r="W27" s="424"/>
      <c r="X27" s="427"/>
    </row>
    <row r="28" spans="1:24" s="68" customFormat="1" ht="14.25" customHeight="1">
      <c r="A28" s="424" t="s">
        <v>37</v>
      </c>
      <c r="B28" s="424" t="s">
        <v>146</v>
      </c>
      <c r="C28" s="424" t="s">
        <v>581</v>
      </c>
      <c r="D28" s="387" t="s">
        <v>1300</v>
      </c>
      <c r="E28" s="424" t="s">
        <v>1034</v>
      </c>
      <c r="F28" s="424">
        <v>0</v>
      </c>
      <c r="G28" s="424">
        <v>0</v>
      </c>
      <c r="H28" s="424" t="s">
        <v>41</v>
      </c>
      <c r="I28" s="424" t="s">
        <v>1035</v>
      </c>
      <c r="J28" s="424" t="s">
        <v>43</v>
      </c>
      <c r="K28" s="424" t="s">
        <v>43</v>
      </c>
      <c r="L28" s="424" t="s">
        <v>572</v>
      </c>
      <c r="M28" s="424" t="s">
        <v>44</v>
      </c>
      <c r="N28" s="424"/>
      <c r="O28" s="424"/>
      <c r="P28" s="424" t="s">
        <v>573</v>
      </c>
      <c r="Q28" s="424"/>
      <c r="R28" s="428">
        <v>0</v>
      </c>
      <c r="S28" s="428">
        <v>0</v>
      </c>
      <c r="T28" s="441"/>
      <c r="U28" s="430"/>
      <c r="V28" s="424" t="s">
        <v>581</v>
      </c>
      <c r="W28" s="360" t="s">
        <v>1624</v>
      </c>
      <c r="X28" s="387"/>
    </row>
    <row r="29" spans="1:24" s="68" customFormat="1" ht="14.25" customHeight="1">
      <c r="A29" s="424" t="s">
        <v>37</v>
      </c>
      <c r="B29" s="424" t="s">
        <v>146</v>
      </c>
      <c r="C29" s="424" t="s">
        <v>147</v>
      </c>
      <c r="D29" s="427" t="s">
        <v>2987</v>
      </c>
      <c r="E29" s="424" t="s">
        <v>1240</v>
      </c>
      <c r="F29" s="424" t="s">
        <v>1450</v>
      </c>
      <c r="G29" s="424" t="s">
        <v>1451</v>
      </c>
      <c r="H29" s="424" t="s">
        <v>41</v>
      </c>
      <c r="I29" s="424" t="s">
        <v>2117</v>
      </c>
      <c r="J29" s="424" t="s">
        <v>43</v>
      </c>
      <c r="K29" s="424" t="s">
        <v>43</v>
      </c>
      <c r="L29" s="424" t="s">
        <v>43</v>
      </c>
      <c r="M29" s="424" t="s">
        <v>590</v>
      </c>
      <c r="N29" s="424">
        <v>25.754110000000001</v>
      </c>
      <c r="O29" s="424">
        <v>98.475719999999995</v>
      </c>
      <c r="P29" s="424" t="s">
        <v>573</v>
      </c>
      <c r="Q29" s="424" t="s">
        <v>592</v>
      </c>
      <c r="R29" s="436">
        <v>178</v>
      </c>
      <c r="S29" s="429">
        <v>1075</v>
      </c>
      <c r="T29" s="441"/>
      <c r="U29" s="430"/>
      <c r="V29" s="424" t="s">
        <v>147</v>
      </c>
      <c r="W29" s="424" t="s">
        <v>1734</v>
      </c>
      <c r="X29" s="427"/>
    </row>
    <row r="30" spans="1:24" s="68" customFormat="1" ht="14.25" customHeight="1">
      <c r="A30" s="424" t="s">
        <v>37</v>
      </c>
      <c r="B30" s="424" t="s">
        <v>146</v>
      </c>
      <c r="C30" s="424" t="s">
        <v>790</v>
      </c>
      <c r="D30" s="387" t="s">
        <v>1300</v>
      </c>
      <c r="E30" s="424" t="s">
        <v>1238</v>
      </c>
      <c r="F30" s="424" t="s">
        <v>1354</v>
      </c>
      <c r="G30" s="424" t="s">
        <v>1355</v>
      </c>
      <c r="H30" s="424"/>
      <c r="I30" s="424">
        <v>0</v>
      </c>
      <c r="J30" s="424" t="s">
        <v>43</v>
      </c>
      <c r="K30" s="424" t="s">
        <v>43</v>
      </c>
      <c r="L30" s="424" t="s">
        <v>572</v>
      </c>
      <c r="M30" s="424" t="s">
        <v>44</v>
      </c>
      <c r="N30" s="424">
        <v>25.708763000000001</v>
      </c>
      <c r="O30" s="424">
        <v>98.354146999999998</v>
      </c>
      <c r="P30" s="424" t="s">
        <v>585</v>
      </c>
      <c r="Q30" s="424" t="s">
        <v>574</v>
      </c>
      <c r="R30" s="428">
        <v>0</v>
      </c>
      <c r="S30" s="428">
        <v>0</v>
      </c>
      <c r="T30" s="441">
        <v>42983</v>
      </c>
      <c r="U30" s="430" t="s">
        <v>791</v>
      </c>
      <c r="V30" s="424" t="s">
        <v>790</v>
      </c>
      <c r="W30" s="424" t="s">
        <v>1625</v>
      </c>
      <c r="X30" s="387"/>
    </row>
    <row r="31" spans="1:24" s="68" customFormat="1" ht="14.25" customHeight="1">
      <c r="A31" s="424" t="s">
        <v>37</v>
      </c>
      <c r="B31" s="424" t="s">
        <v>146</v>
      </c>
      <c r="C31" s="424" t="s">
        <v>247</v>
      </c>
      <c r="D31" s="427" t="s">
        <v>2987</v>
      </c>
      <c r="E31" s="424" t="s">
        <v>1243</v>
      </c>
      <c r="F31" s="424" t="s">
        <v>1321</v>
      </c>
      <c r="G31" s="424" t="s">
        <v>1452</v>
      </c>
      <c r="H31" s="424" t="s">
        <v>41</v>
      </c>
      <c r="I31" s="424" t="s">
        <v>242</v>
      </c>
      <c r="J31" s="424" t="s">
        <v>43</v>
      </c>
      <c r="K31" s="424" t="s">
        <v>43</v>
      </c>
      <c r="L31" s="424" t="s">
        <v>43</v>
      </c>
      <c r="M31" s="424" t="s">
        <v>44</v>
      </c>
      <c r="N31" s="424">
        <v>25.887339999999998</v>
      </c>
      <c r="O31" s="424">
        <v>98.129990000000006</v>
      </c>
      <c r="P31" s="424" t="s">
        <v>573</v>
      </c>
      <c r="Q31" s="424" t="s">
        <v>592</v>
      </c>
      <c r="R31" s="436">
        <v>179</v>
      </c>
      <c r="S31" s="429">
        <v>854</v>
      </c>
      <c r="T31" s="441"/>
      <c r="U31" s="430"/>
      <c r="V31" s="424" t="s">
        <v>247</v>
      </c>
      <c r="W31" s="424"/>
      <c r="X31" s="427"/>
    </row>
    <row r="32" spans="1:24" s="68" customFormat="1" ht="14.25" customHeight="1">
      <c r="A32" s="424" t="s">
        <v>37</v>
      </c>
      <c r="B32" s="424" t="s">
        <v>146</v>
      </c>
      <c r="C32" s="424" t="s">
        <v>227</v>
      </c>
      <c r="D32" s="387" t="s">
        <v>2603</v>
      </c>
      <c r="E32" s="424" t="s">
        <v>1231</v>
      </c>
      <c r="F32" s="424" t="s">
        <v>1355</v>
      </c>
      <c r="G32" s="424" t="s">
        <v>227</v>
      </c>
      <c r="H32" s="424" t="s">
        <v>41</v>
      </c>
      <c r="I32" s="424" t="s">
        <v>1035</v>
      </c>
      <c r="J32" s="424" t="s">
        <v>43</v>
      </c>
      <c r="K32" s="424" t="s">
        <v>43</v>
      </c>
      <c r="L32" s="424" t="s">
        <v>572</v>
      </c>
      <c r="M32" s="424" t="s">
        <v>44</v>
      </c>
      <c r="N32" s="424">
        <v>25.645959999999999</v>
      </c>
      <c r="O32" s="424">
        <v>98.356260000000006</v>
      </c>
      <c r="P32" s="424" t="s">
        <v>573</v>
      </c>
      <c r="Q32" s="424" t="s">
        <v>592</v>
      </c>
      <c r="R32" s="428"/>
      <c r="S32" s="429"/>
      <c r="T32" s="441"/>
      <c r="U32" s="430"/>
      <c r="V32" s="424" t="s">
        <v>785</v>
      </c>
      <c r="W32" s="360"/>
      <c r="X32" s="387"/>
    </row>
    <row r="33" spans="1:24" s="68" customFormat="1" ht="14.25" customHeight="1">
      <c r="A33" s="424" t="s">
        <v>37</v>
      </c>
      <c r="B33" s="424" t="s">
        <v>148</v>
      </c>
      <c r="C33" s="424" t="s">
        <v>786</v>
      </c>
      <c r="D33" s="387" t="s">
        <v>1300</v>
      </c>
      <c r="E33" s="424" t="s">
        <v>1234</v>
      </c>
      <c r="F33" s="424" t="s">
        <v>1352</v>
      </c>
      <c r="G33" s="424" t="s">
        <v>1352</v>
      </c>
      <c r="H33" s="424" t="s">
        <v>41</v>
      </c>
      <c r="I33" s="424" t="s">
        <v>141</v>
      </c>
      <c r="J33" s="424" t="s">
        <v>43</v>
      </c>
      <c r="K33" s="424" t="s">
        <v>43</v>
      </c>
      <c r="L33" s="424" t="s">
        <v>572</v>
      </c>
      <c r="M33" s="424" t="s">
        <v>44</v>
      </c>
      <c r="N33" s="424">
        <v>25.656130000000001</v>
      </c>
      <c r="O33" s="424">
        <v>96.355270000000004</v>
      </c>
      <c r="P33" s="424" t="s">
        <v>573</v>
      </c>
      <c r="Q33" s="424" t="s">
        <v>592</v>
      </c>
      <c r="R33" s="428">
        <v>0</v>
      </c>
      <c r="S33" s="428">
        <v>0</v>
      </c>
      <c r="T33" s="441">
        <v>42983</v>
      </c>
      <c r="U33" s="430" t="s">
        <v>787</v>
      </c>
      <c r="V33" s="424" t="s">
        <v>786</v>
      </c>
      <c r="W33" s="424" t="s">
        <v>1626</v>
      </c>
      <c r="X33" s="387"/>
    </row>
    <row r="34" spans="1:24" s="68" customFormat="1" ht="14.25" customHeight="1">
      <c r="A34" s="424" t="s">
        <v>37</v>
      </c>
      <c r="B34" s="424" t="s">
        <v>148</v>
      </c>
      <c r="C34" s="424" t="s">
        <v>796</v>
      </c>
      <c r="D34" s="387" t="s">
        <v>1300</v>
      </c>
      <c r="E34" s="424" t="s">
        <v>1245</v>
      </c>
      <c r="F34" s="424" t="s">
        <v>1359</v>
      </c>
      <c r="G34" s="424" t="s">
        <v>1360</v>
      </c>
      <c r="H34" s="424"/>
      <c r="I34" s="424">
        <v>0</v>
      </c>
      <c r="J34" s="424" t="s">
        <v>43</v>
      </c>
      <c r="K34" s="424" t="s">
        <v>43</v>
      </c>
      <c r="L34" s="424" t="s">
        <v>572</v>
      </c>
      <c r="M34" s="424" t="s">
        <v>44</v>
      </c>
      <c r="N34" s="424">
        <v>25.920006000000001</v>
      </c>
      <c r="O34" s="424">
        <v>96.662092000000001</v>
      </c>
      <c r="P34" s="424" t="s">
        <v>573</v>
      </c>
      <c r="Q34" s="424" t="s">
        <v>574</v>
      </c>
      <c r="R34" s="428">
        <v>0</v>
      </c>
      <c r="S34" s="428">
        <v>0</v>
      </c>
      <c r="T34" s="441"/>
      <c r="U34" s="430"/>
      <c r="V34" s="424"/>
      <c r="W34" s="424" t="s">
        <v>1627</v>
      </c>
      <c r="X34" s="387"/>
    </row>
    <row r="35" spans="1:24" s="68" customFormat="1" ht="14.25" customHeight="1">
      <c r="A35" s="424" t="s">
        <v>37</v>
      </c>
      <c r="B35" s="424" t="s">
        <v>148</v>
      </c>
      <c r="C35" s="424" t="s">
        <v>248</v>
      </c>
      <c r="D35" s="427" t="s">
        <v>2987</v>
      </c>
      <c r="E35" s="424" t="s">
        <v>1229</v>
      </c>
      <c r="F35" s="424" t="s">
        <v>1352</v>
      </c>
      <c r="G35" s="424" t="s">
        <v>1352</v>
      </c>
      <c r="H35" s="424" t="s">
        <v>41</v>
      </c>
      <c r="I35" s="424" t="s">
        <v>242</v>
      </c>
      <c r="J35" s="424" t="s">
        <v>43</v>
      </c>
      <c r="K35" s="424" t="s">
        <v>43</v>
      </c>
      <c r="L35" s="424" t="s">
        <v>43</v>
      </c>
      <c r="M35" s="424" t="s">
        <v>44</v>
      </c>
      <c r="N35" s="424">
        <v>25.635300000000001</v>
      </c>
      <c r="O35" s="424">
        <v>96.345569999999995</v>
      </c>
      <c r="P35" s="424" t="s">
        <v>573</v>
      </c>
      <c r="Q35" s="424" t="s">
        <v>592</v>
      </c>
      <c r="R35" s="436">
        <v>95</v>
      </c>
      <c r="S35" s="429">
        <v>442</v>
      </c>
      <c r="T35" s="441"/>
      <c r="U35" s="430"/>
      <c r="V35" s="424" t="s">
        <v>248</v>
      </c>
      <c r="W35" s="424"/>
      <c r="X35" s="427"/>
    </row>
    <row r="36" spans="1:24" s="68" customFormat="1" ht="14.25" customHeight="1">
      <c r="A36" s="424" t="s">
        <v>37</v>
      </c>
      <c r="B36" s="424" t="s">
        <v>148</v>
      </c>
      <c r="C36" s="424" t="s">
        <v>249</v>
      </c>
      <c r="D36" s="427" t="s">
        <v>2987</v>
      </c>
      <c r="E36" s="424" t="s">
        <v>1226</v>
      </c>
      <c r="F36" s="424" t="s">
        <v>1446</v>
      </c>
      <c r="G36" s="424" t="s">
        <v>1447</v>
      </c>
      <c r="H36" s="424" t="s">
        <v>41</v>
      </c>
      <c r="I36" s="424" t="s">
        <v>242</v>
      </c>
      <c r="J36" s="424" t="s">
        <v>43</v>
      </c>
      <c r="K36" s="424" t="s">
        <v>43</v>
      </c>
      <c r="L36" s="424" t="s">
        <v>43</v>
      </c>
      <c r="M36" s="424" t="s">
        <v>44</v>
      </c>
      <c r="N36" s="424">
        <v>25.616509000000001</v>
      </c>
      <c r="O36" s="424">
        <v>96.317350000000005</v>
      </c>
      <c r="P36" s="424" t="s">
        <v>573</v>
      </c>
      <c r="Q36" s="424" t="s">
        <v>592</v>
      </c>
      <c r="R36" s="436">
        <v>16</v>
      </c>
      <c r="S36" s="429">
        <v>78</v>
      </c>
      <c r="T36" s="441"/>
      <c r="U36" s="430"/>
      <c r="V36" s="424" t="s">
        <v>249</v>
      </c>
      <c r="W36" s="424"/>
      <c r="X36" s="427"/>
    </row>
    <row r="37" spans="1:24" s="68" customFormat="1" ht="14.25" customHeight="1">
      <c r="A37" s="424" t="s">
        <v>37</v>
      </c>
      <c r="B37" s="424" t="s">
        <v>148</v>
      </c>
      <c r="C37" s="424" t="s">
        <v>250</v>
      </c>
      <c r="D37" s="427" t="s">
        <v>2987</v>
      </c>
      <c r="E37" s="424" t="s">
        <v>1232</v>
      </c>
      <c r="F37" s="424" t="s">
        <v>1352</v>
      </c>
      <c r="G37" s="424" t="s">
        <v>1449</v>
      </c>
      <c r="H37" s="424" t="s">
        <v>41</v>
      </c>
      <c r="I37" s="424" t="s">
        <v>2117</v>
      </c>
      <c r="J37" s="424" t="s">
        <v>43</v>
      </c>
      <c r="K37" s="424" t="s">
        <v>43</v>
      </c>
      <c r="L37" s="424" t="s">
        <v>43</v>
      </c>
      <c r="M37" s="424" t="s">
        <v>44</v>
      </c>
      <c r="N37" s="424">
        <v>25.647649999999999</v>
      </c>
      <c r="O37" s="424">
        <v>96.346469999999997</v>
      </c>
      <c r="P37" s="424" t="s">
        <v>573</v>
      </c>
      <c r="Q37" s="424" t="s">
        <v>592</v>
      </c>
      <c r="R37" s="436">
        <v>41</v>
      </c>
      <c r="S37" s="429">
        <v>249</v>
      </c>
      <c r="T37" s="441"/>
      <c r="U37" s="430"/>
      <c r="V37" s="424" t="s">
        <v>250</v>
      </c>
      <c r="W37" s="360"/>
      <c r="X37" s="427"/>
    </row>
    <row r="38" spans="1:24" s="68" customFormat="1" ht="14.25" customHeight="1">
      <c r="A38" s="424" t="s">
        <v>37</v>
      </c>
      <c r="B38" s="424" t="s">
        <v>148</v>
      </c>
      <c r="C38" s="424" t="s">
        <v>792</v>
      </c>
      <c r="D38" s="387" t="s">
        <v>1300</v>
      </c>
      <c r="E38" s="424" t="s">
        <v>1239</v>
      </c>
      <c r="F38" s="424" t="s">
        <v>1356</v>
      </c>
      <c r="G38" s="424" t="s">
        <v>1357</v>
      </c>
      <c r="H38" s="424" t="s">
        <v>41</v>
      </c>
      <c r="I38" s="424" t="s">
        <v>242</v>
      </c>
      <c r="J38" s="424" t="s">
        <v>43</v>
      </c>
      <c r="K38" s="424" t="s">
        <v>43</v>
      </c>
      <c r="L38" s="424" t="s">
        <v>572</v>
      </c>
      <c r="M38" s="424" t="s">
        <v>44</v>
      </c>
      <c r="N38" s="424">
        <v>25.728653000000001</v>
      </c>
      <c r="O38" s="424">
        <v>96.673805000000002</v>
      </c>
      <c r="P38" s="424" t="s">
        <v>573</v>
      </c>
      <c r="Q38" s="424"/>
      <c r="R38" s="428">
        <v>0</v>
      </c>
      <c r="S38" s="429">
        <v>0</v>
      </c>
      <c r="T38" s="441"/>
      <c r="U38" s="430"/>
      <c r="V38" s="424" t="s">
        <v>792</v>
      </c>
      <c r="W38" s="424" t="s">
        <v>1628</v>
      </c>
      <c r="X38" s="387"/>
    </row>
    <row r="39" spans="1:24" s="68" customFormat="1" ht="14.25" customHeight="1">
      <c r="A39" s="424" t="s">
        <v>37</v>
      </c>
      <c r="B39" s="424" t="s">
        <v>148</v>
      </c>
      <c r="C39" s="424" t="s">
        <v>789</v>
      </c>
      <c r="D39" s="387" t="s">
        <v>1300</v>
      </c>
      <c r="E39" s="424" t="s">
        <v>1237</v>
      </c>
      <c r="F39" s="424" t="s">
        <v>1352</v>
      </c>
      <c r="G39" s="424" t="s">
        <v>1353</v>
      </c>
      <c r="H39" s="424"/>
      <c r="I39" s="424">
        <v>0</v>
      </c>
      <c r="J39" s="424" t="s">
        <v>43</v>
      </c>
      <c r="K39" s="424" t="s">
        <v>43</v>
      </c>
      <c r="L39" s="424" t="s">
        <v>572</v>
      </c>
      <c r="M39" s="424" t="s">
        <v>44</v>
      </c>
      <c r="N39" s="424">
        <v>25.668469999999999</v>
      </c>
      <c r="O39" s="424">
        <v>96.353070000000002</v>
      </c>
      <c r="P39" s="424" t="s">
        <v>573</v>
      </c>
      <c r="Q39" s="424"/>
      <c r="R39" s="428">
        <v>0</v>
      </c>
      <c r="S39" s="428">
        <v>0</v>
      </c>
      <c r="T39" s="441"/>
      <c r="U39" s="430"/>
      <c r="V39" s="424" t="s">
        <v>789</v>
      </c>
      <c r="W39" s="424" t="s">
        <v>1629</v>
      </c>
      <c r="X39" s="387"/>
    </row>
    <row r="40" spans="1:24" s="68" customFormat="1" ht="14.25" customHeight="1">
      <c r="A40" s="424" t="s">
        <v>37</v>
      </c>
      <c r="B40" s="424" t="s">
        <v>148</v>
      </c>
      <c r="C40" s="424" t="s">
        <v>251</v>
      </c>
      <c r="D40" s="427" t="s">
        <v>2987</v>
      </c>
      <c r="E40" s="424" t="s">
        <v>1219</v>
      </c>
      <c r="F40" s="424" t="s">
        <v>1309</v>
      </c>
      <c r="G40" s="424" t="s">
        <v>1309</v>
      </c>
      <c r="H40" s="424" t="s">
        <v>41</v>
      </c>
      <c r="I40" s="424" t="s">
        <v>242</v>
      </c>
      <c r="J40" s="424" t="s">
        <v>43</v>
      </c>
      <c r="K40" s="424" t="s">
        <v>43</v>
      </c>
      <c r="L40" s="424" t="s">
        <v>588</v>
      </c>
      <c r="M40" s="424" t="s">
        <v>44</v>
      </c>
      <c r="N40" s="424">
        <v>25.582065</v>
      </c>
      <c r="O40" s="424">
        <v>96.283377000000002</v>
      </c>
      <c r="P40" s="424" t="s">
        <v>573</v>
      </c>
      <c r="Q40" s="424" t="s">
        <v>592</v>
      </c>
      <c r="R40" s="436">
        <v>5</v>
      </c>
      <c r="S40" s="429">
        <v>26</v>
      </c>
      <c r="T40" s="441"/>
      <c r="U40" s="430"/>
      <c r="V40" s="424" t="s">
        <v>251</v>
      </c>
      <c r="W40" s="424"/>
      <c r="X40" s="427"/>
    </row>
    <row r="41" spans="1:24" s="68" customFormat="1" ht="14.25" customHeight="1">
      <c r="A41" s="424" t="s">
        <v>37</v>
      </c>
      <c r="B41" s="424" t="s">
        <v>148</v>
      </c>
      <c r="C41" s="424" t="s">
        <v>252</v>
      </c>
      <c r="D41" s="427" t="s">
        <v>2987</v>
      </c>
      <c r="E41" s="424" t="s">
        <v>1230</v>
      </c>
      <c r="F41" s="424" t="s">
        <v>1352</v>
      </c>
      <c r="G41" s="424" t="s">
        <v>1448</v>
      </c>
      <c r="H41" s="424" t="s">
        <v>41</v>
      </c>
      <c r="I41" s="424" t="s">
        <v>242</v>
      </c>
      <c r="J41" s="424" t="s">
        <v>43</v>
      </c>
      <c r="K41" s="424" t="s">
        <v>43</v>
      </c>
      <c r="L41" s="424" t="s">
        <v>43</v>
      </c>
      <c r="M41" s="424" t="s">
        <v>44</v>
      </c>
      <c r="N41" s="424">
        <v>25.637309999999999</v>
      </c>
      <c r="O41" s="424">
        <v>96.35257</v>
      </c>
      <c r="P41" s="424" t="s">
        <v>573</v>
      </c>
      <c r="Q41" s="424" t="s">
        <v>592</v>
      </c>
      <c r="R41" s="436">
        <v>91</v>
      </c>
      <c r="S41" s="429">
        <v>450</v>
      </c>
      <c r="T41" s="441"/>
      <c r="U41" s="430"/>
      <c r="V41" s="424" t="s">
        <v>252</v>
      </c>
      <c r="W41" s="424"/>
      <c r="X41" s="427"/>
    </row>
    <row r="42" spans="1:24" s="68" customFormat="1" ht="14.25" customHeight="1">
      <c r="A42" s="424" t="s">
        <v>37</v>
      </c>
      <c r="B42" s="424" t="s">
        <v>148</v>
      </c>
      <c r="C42" s="424" t="s">
        <v>149</v>
      </c>
      <c r="D42" s="427" t="s">
        <v>2987</v>
      </c>
      <c r="E42" s="424" t="s">
        <v>1214</v>
      </c>
      <c r="F42" s="424" t="s">
        <v>1441</v>
      </c>
      <c r="G42" s="424" t="s">
        <v>1442</v>
      </c>
      <c r="H42" s="424" t="s">
        <v>41</v>
      </c>
      <c r="I42" s="424" t="s">
        <v>2117</v>
      </c>
      <c r="J42" s="424" t="s">
        <v>43</v>
      </c>
      <c r="K42" s="424" t="s">
        <v>43</v>
      </c>
      <c r="L42" s="424" t="s">
        <v>43</v>
      </c>
      <c r="M42" s="424" t="s">
        <v>44</v>
      </c>
      <c r="N42" s="424">
        <v>25.51352</v>
      </c>
      <c r="O42" s="424">
        <v>96.705960000000005</v>
      </c>
      <c r="P42" s="424" t="s">
        <v>573</v>
      </c>
      <c r="Q42" s="424" t="s">
        <v>592</v>
      </c>
      <c r="R42" s="436">
        <v>26</v>
      </c>
      <c r="S42" s="429">
        <v>125</v>
      </c>
      <c r="T42" s="441"/>
      <c r="U42" s="430"/>
      <c r="V42" s="424" t="s">
        <v>149</v>
      </c>
      <c r="W42" s="424"/>
      <c r="X42" s="427"/>
    </row>
    <row r="43" spans="1:24" s="68" customFormat="1" ht="14.25" customHeight="1">
      <c r="A43" s="424" t="s">
        <v>37</v>
      </c>
      <c r="B43" s="424" t="s">
        <v>148</v>
      </c>
      <c r="C43" s="424" t="s">
        <v>253</v>
      </c>
      <c r="D43" s="387" t="s">
        <v>2633</v>
      </c>
      <c r="E43" s="424" t="s">
        <v>1225</v>
      </c>
      <c r="F43" s="424" t="s">
        <v>1446</v>
      </c>
      <c r="G43" s="424" t="s">
        <v>1447</v>
      </c>
      <c r="H43" s="424" t="s">
        <v>41</v>
      </c>
      <c r="I43" s="424" t="s">
        <v>242</v>
      </c>
      <c r="J43" s="424" t="s">
        <v>43</v>
      </c>
      <c r="K43" s="424" t="s">
        <v>43</v>
      </c>
      <c r="L43" s="424" t="s">
        <v>572</v>
      </c>
      <c r="M43" s="424" t="s">
        <v>44</v>
      </c>
      <c r="N43" s="424">
        <v>25.615960999999999</v>
      </c>
      <c r="O43" s="424">
        <v>96.316564</v>
      </c>
      <c r="P43" s="424" t="s">
        <v>573</v>
      </c>
      <c r="Q43" s="424" t="s">
        <v>592</v>
      </c>
      <c r="R43" s="428"/>
      <c r="S43" s="428"/>
      <c r="T43" s="441"/>
      <c r="U43" s="430"/>
      <c r="V43" s="424" t="s">
        <v>253</v>
      </c>
      <c r="W43" s="424"/>
      <c r="X43" s="387"/>
    </row>
    <row r="44" spans="1:24" s="68" customFormat="1" ht="14.25" customHeight="1">
      <c r="A44" s="433" t="s">
        <v>37</v>
      </c>
      <c r="B44" s="432" t="s">
        <v>148</v>
      </c>
      <c r="C44" s="426" t="s">
        <v>254</v>
      </c>
      <c r="D44" s="427" t="s">
        <v>2987</v>
      </c>
      <c r="E44" s="424" t="s">
        <v>1222</v>
      </c>
      <c r="F44" s="424" t="s">
        <v>1444</v>
      </c>
      <c r="G44" s="424" t="s">
        <v>1444</v>
      </c>
      <c r="H44" s="424" t="s">
        <v>41</v>
      </c>
      <c r="I44" s="424" t="s">
        <v>2117</v>
      </c>
      <c r="J44" s="424" t="s">
        <v>43</v>
      </c>
      <c r="K44" s="424" t="s">
        <v>43</v>
      </c>
      <c r="L44" s="424" t="s">
        <v>43</v>
      </c>
      <c r="M44" s="424" t="s">
        <v>44</v>
      </c>
      <c r="N44" s="424">
        <v>25.611160000000002</v>
      </c>
      <c r="O44" s="424">
        <v>96.312790000000007</v>
      </c>
      <c r="P44" s="424" t="s">
        <v>573</v>
      </c>
      <c r="Q44" s="424" t="s">
        <v>592</v>
      </c>
      <c r="R44" s="436">
        <v>95</v>
      </c>
      <c r="S44" s="429">
        <v>470</v>
      </c>
      <c r="T44" s="441"/>
      <c r="U44" s="430"/>
      <c r="V44" s="424" t="s">
        <v>254</v>
      </c>
      <c r="W44" s="424"/>
      <c r="X44" s="427"/>
    </row>
    <row r="45" spans="1:24" s="68" customFormat="1" ht="14.25" customHeight="1">
      <c r="A45" s="433" t="s">
        <v>37</v>
      </c>
      <c r="B45" s="432" t="s">
        <v>148</v>
      </c>
      <c r="C45" s="426" t="s">
        <v>1529</v>
      </c>
      <c r="D45" s="387"/>
      <c r="E45" s="426"/>
      <c r="F45" s="426"/>
      <c r="G45" s="426"/>
      <c r="H45" s="426"/>
      <c r="I45" s="424"/>
      <c r="J45" s="424" t="s">
        <v>1099</v>
      </c>
      <c r="K45" s="424" t="s">
        <v>43</v>
      </c>
      <c r="L45" s="426" t="s">
        <v>43</v>
      </c>
      <c r="M45" s="424" t="s">
        <v>44</v>
      </c>
      <c r="N45" s="424"/>
      <c r="O45" s="424"/>
      <c r="P45" s="426" t="s">
        <v>573</v>
      </c>
      <c r="Q45" s="424" t="s">
        <v>1530</v>
      </c>
      <c r="R45" s="428"/>
      <c r="S45" s="428"/>
      <c r="T45" s="441">
        <v>43270</v>
      </c>
      <c r="U45" s="434"/>
      <c r="V45" s="426"/>
      <c r="W45" s="360"/>
      <c r="X45" s="387"/>
    </row>
    <row r="46" spans="1:24" s="68" customFormat="1" ht="14.25" customHeight="1">
      <c r="A46" s="424" t="s">
        <v>37</v>
      </c>
      <c r="B46" s="424" t="s">
        <v>148</v>
      </c>
      <c r="C46" s="424" t="s">
        <v>1563</v>
      </c>
      <c r="D46" s="427" t="s">
        <v>2987</v>
      </c>
      <c r="E46" s="424" t="s">
        <v>1564</v>
      </c>
      <c r="F46" s="424"/>
      <c r="G46" s="424"/>
      <c r="H46" s="424"/>
      <c r="I46" s="424" t="s">
        <v>1035</v>
      </c>
      <c r="J46" s="424" t="s">
        <v>43</v>
      </c>
      <c r="K46" s="424" t="s">
        <v>43</v>
      </c>
      <c r="L46" s="424" t="s">
        <v>43</v>
      </c>
      <c r="M46" s="424" t="s">
        <v>44</v>
      </c>
      <c r="N46" s="424">
        <v>25.522594999999999</v>
      </c>
      <c r="O46" s="424">
        <v>96.711534</v>
      </c>
      <c r="P46" s="424" t="s">
        <v>573</v>
      </c>
      <c r="Q46" s="424" t="s">
        <v>1530</v>
      </c>
      <c r="R46" s="436">
        <v>14</v>
      </c>
      <c r="S46" s="429">
        <v>52</v>
      </c>
      <c r="T46" s="441">
        <v>43276</v>
      </c>
      <c r="U46" s="430" t="s">
        <v>1579</v>
      </c>
      <c r="V46" s="424"/>
      <c r="W46" s="360" t="s">
        <v>1735</v>
      </c>
      <c r="X46" s="427"/>
    </row>
    <row r="47" spans="1:24" s="68" customFormat="1" ht="14.25" customHeight="1">
      <c r="A47" s="433" t="s">
        <v>37</v>
      </c>
      <c r="B47" s="432" t="s">
        <v>148</v>
      </c>
      <c r="C47" s="426" t="s">
        <v>793</v>
      </c>
      <c r="D47" s="387" t="s">
        <v>1300</v>
      </c>
      <c r="E47" s="426" t="s">
        <v>1241</v>
      </c>
      <c r="F47" s="426" t="s">
        <v>1352</v>
      </c>
      <c r="G47" s="426" t="s">
        <v>1358</v>
      </c>
      <c r="H47" s="426" t="s">
        <v>41</v>
      </c>
      <c r="I47" s="424" t="s">
        <v>141</v>
      </c>
      <c r="J47" s="424" t="s">
        <v>43</v>
      </c>
      <c r="K47" s="424" t="s">
        <v>43</v>
      </c>
      <c r="L47" s="426" t="s">
        <v>572</v>
      </c>
      <c r="M47" s="424" t="s">
        <v>44</v>
      </c>
      <c r="N47" s="424">
        <v>25.806999999999999</v>
      </c>
      <c r="O47" s="424">
        <v>96.637</v>
      </c>
      <c r="P47" s="426" t="s">
        <v>573</v>
      </c>
      <c r="Q47" s="424" t="s">
        <v>592</v>
      </c>
      <c r="R47" s="428">
        <v>0</v>
      </c>
      <c r="S47" s="428">
        <v>0</v>
      </c>
      <c r="T47" s="441">
        <v>42983</v>
      </c>
      <c r="U47" s="434" t="s">
        <v>787</v>
      </c>
      <c r="V47" s="426" t="s">
        <v>793</v>
      </c>
      <c r="W47" s="360" t="s">
        <v>1631</v>
      </c>
      <c r="X47" s="387"/>
    </row>
    <row r="48" spans="1:24" s="68" customFormat="1" ht="14.25" customHeight="1">
      <c r="A48" s="433" t="s">
        <v>37</v>
      </c>
      <c r="B48" s="432" t="s">
        <v>148</v>
      </c>
      <c r="C48" s="426" t="s">
        <v>1561</v>
      </c>
      <c r="D48" s="427" t="s">
        <v>2850</v>
      </c>
      <c r="E48" s="424" t="s">
        <v>1562</v>
      </c>
      <c r="F48" s="424"/>
      <c r="G48" s="424"/>
      <c r="H48" s="424"/>
      <c r="I48" s="424" t="s">
        <v>1035</v>
      </c>
      <c r="J48" s="424" t="s">
        <v>43</v>
      </c>
      <c r="K48" s="424" t="s">
        <v>43</v>
      </c>
      <c r="L48" s="424" t="s">
        <v>572</v>
      </c>
      <c r="M48" s="424" t="s">
        <v>44</v>
      </c>
      <c r="N48" s="424">
        <v>25.54677963</v>
      </c>
      <c r="O48" s="424">
        <v>96.793539999999993</v>
      </c>
      <c r="P48" s="424" t="s">
        <v>573</v>
      </c>
      <c r="Q48" s="424" t="s">
        <v>1530</v>
      </c>
      <c r="R48" s="436"/>
      <c r="S48" s="429"/>
      <c r="T48" s="441">
        <v>43276</v>
      </c>
      <c r="U48" s="430" t="s">
        <v>1579</v>
      </c>
      <c r="V48" s="424"/>
      <c r="W48" s="424" t="s">
        <v>1736</v>
      </c>
      <c r="X48" s="427"/>
    </row>
    <row r="49" spans="1:24" s="68" customFormat="1" ht="14.25" customHeight="1">
      <c r="A49" s="424" t="s">
        <v>37</v>
      </c>
      <c r="B49" s="424" t="s">
        <v>148</v>
      </c>
      <c r="C49" s="424" t="s">
        <v>1531</v>
      </c>
      <c r="D49" s="387"/>
      <c r="E49" s="424"/>
      <c r="F49" s="424"/>
      <c r="G49" s="424"/>
      <c r="H49" s="424"/>
      <c r="I49" s="424"/>
      <c r="J49" s="424" t="s">
        <v>1099</v>
      </c>
      <c r="K49" s="424" t="s">
        <v>43</v>
      </c>
      <c r="L49" s="424" t="s">
        <v>43</v>
      </c>
      <c r="M49" s="424" t="s">
        <v>44</v>
      </c>
      <c r="N49" s="424"/>
      <c r="O49" s="424"/>
      <c r="P49" s="17" t="s">
        <v>573</v>
      </c>
      <c r="Q49" s="424" t="s">
        <v>1530</v>
      </c>
      <c r="R49" s="428"/>
      <c r="S49" s="428"/>
      <c r="T49" s="441">
        <v>43270</v>
      </c>
      <c r="U49" s="430"/>
      <c r="V49" s="424"/>
      <c r="W49" s="360"/>
      <c r="X49" s="387"/>
    </row>
    <row r="50" spans="1:24" s="68" customFormat="1" ht="14.25" customHeight="1">
      <c r="A50" s="424" t="s">
        <v>37</v>
      </c>
      <c r="B50" s="424" t="s">
        <v>148</v>
      </c>
      <c r="C50" s="424" t="s">
        <v>243</v>
      </c>
      <c r="D50" s="427" t="s">
        <v>2987</v>
      </c>
      <c r="E50" s="424" t="s">
        <v>1260</v>
      </c>
      <c r="F50" s="424" t="s">
        <v>1352</v>
      </c>
      <c r="G50" s="424" t="s">
        <v>1458</v>
      </c>
      <c r="H50" s="424" t="s">
        <v>41</v>
      </c>
      <c r="I50" s="424" t="s">
        <v>2117</v>
      </c>
      <c r="J50" s="424" t="s">
        <v>43</v>
      </c>
      <c r="K50" s="424" t="s">
        <v>43</v>
      </c>
      <c r="L50" s="424" t="s">
        <v>815</v>
      </c>
      <c r="M50" s="424" t="s">
        <v>44</v>
      </c>
      <c r="N50" s="424">
        <v>25.664000000000001</v>
      </c>
      <c r="O50" s="424">
        <v>96.34</v>
      </c>
      <c r="P50" s="424" t="s">
        <v>573</v>
      </c>
      <c r="Q50" s="424" t="s">
        <v>667</v>
      </c>
      <c r="R50" s="436">
        <v>122</v>
      </c>
      <c r="S50" s="429">
        <v>630</v>
      </c>
      <c r="T50" s="441">
        <v>42983</v>
      </c>
      <c r="U50" s="430" t="s">
        <v>831</v>
      </c>
      <c r="V50" s="424"/>
      <c r="W50" s="424" t="s">
        <v>2083</v>
      </c>
      <c r="X50" s="427"/>
    </row>
    <row r="51" spans="1:24" s="68" customFormat="1" ht="14.25" customHeight="1">
      <c r="A51" s="424" t="s">
        <v>37</v>
      </c>
      <c r="B51" s="424" t="s">
        <v>148</v>
      </c>
      <c r="C51" s="424" t="s">
        <v>255</v>
      </c>
      <c r="D51" s="427" t="s">
        <v>2987</v>
      </c>
      <c r="E51" s="424" t="s">
        <v>1216</v>
      </c>
      <c r="F51" s="424" t="s">
        <v>1309</v>
      </c>
      <c r="G51" s="424" t="s">
        <v>1310</v>
      </c>
      <c r="H51" s="424" t="s">
        <v>41</v>
      </c>
      <c r="I51" s="424" t="s">
        <v>242</v>
      </c>
      <c r="J51" s="424" t="s">
        <v>43</v>
      </c>
      <c r="K51" s="424" t="s">
        <v>43</v>
      </c>
      <c r="L51" s="424" t="s">
        <v>43</v>
      </c>
      <c r="M51" s="424" t="s">
        <v>44</v>
      </c>
      <c r="N51" s="424">
        <v>25.566510000000001</v>
      </c>
      <c r="O51" s="424">
        <v>96.269199999999998</v>
      </c>
      <c r="P51" s="424" t="s">
        <v>573</v>
      </c>
      <c r="Q51" s="424" t="s">
        <v>592</v>
      </c>
      <c r="R51" s="436">
        <v>19</v>
      </c>
      <c r="S51" s="429">
        <v>106</v>
      </c>
      <c r="T51" s="441"/>
      <c r="U51" s="430"/>
      <c r="V51" s="424" t="s">
        <v>255</v>
      </c>
      <c r="W51" s="424"/>
      <c r="X51" s="427"/>
    </row>
    <row r="52" spans="1:24" s="68" customFormat="1" ht="14.25" customHeight="1">
      <c r="A52" s="429" t="s">
        <v>37</v>
      </c>
      <c r="B52" s="432" t="s">
        <v>148</v>
      </c>
      <c r="C52" s="433" t="s">
        <v>256</v>
      </c>
      <c r="D52" s="427" t="s">
        <v>2987</v>
      </c>
      <c r="E52" s="424" t="s">
        <v>1228</v>
      </c>
      <c r="F52" s="424" t="s">
        <v>1446</v>
      </c>
      <c r="G52" s="424" t="s">
        <v>1447</v>
      </c>
      <c r="H52" s="424" t="s">
        <v>41</v>
      </c>
      <c r="I52" s="424" t="s">
        <v>242</v>
      </c>
      <c r="J52" s="424" t="s">
        <v>43</v>
      </c>
      <c r="K52" s="426" t="s">
        <v>43</v>
      </c>
      <c r="L52" s="426" t="s">
        <v>43</v>
      </c>
      <c r="M52" s="424" t="s">
        <v>44</v>
      </c>
      <c r="N52" s="424">
        <v>25.61842</v>
      </c>
      <c r="O52" s="424">
        <v>96.316400000000002</v>
      </c>
      <c r="P52" s="424" t="s">
        <v>573</v>
      </c>
      <c r="Q52" s="424" t="s">
        <v>592</v>
      </c>
      <c r="R52" s="436">
        <v>10</v>
      </c>
      <c r="S52" s="429">
        <v>56</v>
      </c>
      <c r="T52" s="441"/>
      <c r="U52" s="430"/>
      <c r="V52" s="424" t="s">
        <v>256</v>
      </c>
      <c r="W52" s="424"/>
      <c r="X52" s="427"/>
    </row>
    <row r="53" spans="1:24" s="68" customFormat="1" ht="14.25" customHeight="1">
      <c r="A53" s="424" t="s">
        <v>37</v>
      </c>
      <c r="B53" s="424" t="s">
        <v>148</v>
      </c>
      <c r="C53" s="424" t="s">
        <v>1591</v>
      </c>
      <c r="D53" s="387"/>
      <c r="E53" s="424"/>
      <c r="F53" s="424"/>
      <c r="G53" s="424"/>
      <c r="H53" s="424"/>
      <c r="I53" s="424"/>
      <c r="J53" s="424" t="s">
        <v>1099</v>
      </c>
      <c r="K53" s="424" t="s">
        <v>43</v>
      </c>
      <c r="L53" s="424" t="s">
        <v>588</v>
      </c>
      <c r="M53" s="424" t="s">
        <v>44</v>
      </c>
      <c r="N53" s="424"/>
      <c r="O53" s="424"/>
      <c r="P53" s="424" t="s">
        <v>573</v>
      </c>
      <c r="Q53" s="424"/>
      <c r="R53" s="428"/>
      <c r="S53" s="428"/>
      <c r="T53" s="441">
        <v>43297</v>
      </c>
      <c r="U53" s="430"/>
      <c r="V53" s="424"/>
      <c r="W53" s="424"/>
      <c r="X53" s="387"/>
    </row>
    <row r="54" spans="1:24" s="68" customFormat="1" ht="14.25" customHeight="1">
      <c r="A54" s="424" t="s">
        <v>37</v>
      </c>
      <c r="B54" s="424" t="s">
        <v>148</v>
      </c>
      <c r="C54" s="424" t="s">
        <v>257</v>
      </c>
      <c r="D54" s="427" t="s">
        <v>2987</v>
      </c>
      <c r="E54" s="424" t="s">
        <v>1224</v>
      </c>
      <c r="F54" s="424" t="s">
        <v>1446</v>
      </c>
      <c r="G54" s="424" t="s">
        <v>1447</v>
      </c>
      <c r="H54" s="424" t="s">
        <v>41</v>
      </c>
      <c r="I54" s="424" t="s">
        <v>242</v>
      </c>
      <c r="J54" s="424" t="s">
        <v>43</v>
      </c>
      <c r="K54" s="424" t="s">
        <v>43</v>
      </c>
      <c r="L54" s="424" t="s">
        <v>588</v>
      </c>
      <c r="M54" s="424" t="s">
        <v>44</v>
      </c>
      <c r="N54" s="424">
        <v>25.6145</v>
      </c>
      <c r="O54" s="424">
        <v>96.319829999999996</v>
      </c>
      <c r="P54" s="424" t="s">
        <v>573</v>
      </c>
      <c r="Q54" s="424" t="s">
        <v>592</v>
      </c>
      <c r="R54" s="436">
        <v>3</v>
      </c>
      <c r="S54" s="429">
        <v>14</v>
      </c>
      <c r="T54" s="441"/>
      <c r="U54" s="430"/>
      <c r="V54" s="424" t="s">
        <v>257</v>
      </c>
      <c r="W54" s="424"/>
      <c r="X54" s="427"/>
    </row>
    <row r="55" spans="1:24" s="68" customFormat="1" ht="14.25" customHeight="1">
      <c r="A55" s="424" t="s">
        <v>37</v>
      </c>
      <c r="B55" s="424" t="s">
        <v>148</v>
      </c>
      <c r="C55" s="424" t="s">
        <v>788</v>
      </c>
      <c r="D55" s="387" t="s">
        <v>1300</v>
      </c>
      <c r="E55" s="424" t="s">
        <v>1235</v>
      </c>
      <c r="F55" s="424" t="s">
        <v>1352</v>
      </c>
      <c r="G55" s="424" t="s">
        <v>1352</v>
      </c>
      <c r="H55" s="424"/>
      <c r="I55" s="424">
        <v>0</v>
      </c>
      <c r="J55" s="424" t="s">
        <v>43</v>
      </c>
      <c r="K55" s="424" t="s">
        <v>43</v>
      </c>
      <c r="L55" s="424" t="s">
        <v>572</v>
      </c>
      <c r="M55" s="424" t="s">
        <v>44</v>
      </c>
      <c r="N55" s="424">
        <v>25.658670000000001</v>
      </c>
      <c r="O55" s="424">
        <v>96.354159999999993</v>
      </c>
      <c r="P55" s="424" t="s">
        <v>573</v>
      </c>
      <c r="Q55" s="424"/>
      <c r="R55" s="428">
        <v>0</v>
      </c>
      <c r="S55" s="428">
        <v>0</v>
      </c>
      <c r="T55" s="441"/>
      <c r="U55" s="430"/>
      <c r="V55" s="424" t="s">
        <v>788</v>
      </c>
      <c r="W55" s="424" t="s">
        <v>1632</v>
      </c>
      <c r="X55" s="387"/>
    </row>
    <row r="56" spans="1:24" s="68" customFormat="1" ht="14.25" customHeight="1">
      <c r="A56" s="424" t="s">
        <v>37</v>
      </c>
      <c r="B56" s="424" t="s">
        <v>148</v>
      </c>
      <c r="C56" s="424" t="s">
        <v>190</v>
      </c>
      <c r="D56" s="427" t="s">
        <v>2987</v>
      </c>
      <c r="E56" s="426" t="s">
        <v>1246</v>
      </c>
      <c r="F56" s="424" t="s">
        <v>1359</v>
      </c>
      <c r="G56" s="424" t="s">
        <v>1360</v>
      </c>
      <c r="H56" s="424" t="s">
        <v>41</v>
      </c>
      <c r="I56" s="424" t="s">
        <v>1035</v>
      </c>
      <c r="J56" s="424" t="s">
        <v>43</v>
      </c>
      <c r="K56" s="424" t="s">
        <v>43</v>
      </c>
      <c r="L56" s="424" t="s">
        <v>43</v>
      </c>
      <c r="M56" s="424" t="s">
        <v>44</v>
      </c>
      <c r="N56" s="424">
        <v>25.920006000000001</v>
      </c>
      <c r="O56" s="424">
        <v>96.662092000000001</v>
      </c>
      <c r="P56" s="424" t="s">
        <v>573</v>
      </c>
      <c r="Q56" s="424" t="s">
        <v>574</v>
      </c>
      <c r="R56" s="436">
        <v>24</v>
      </c>
      <c r="S56" s="429">
        <v>104</v>
      </c>
      <c r="T56" s="441"/>
      <c r="U56" s="430"/>
      <c r="V56" s="424"/>
      <c r="W56" s="424"/>
      <c r="X56" s="427"/>
    </row>
    <row r="57" spans="1:24" s="68" customFormat="1" ht="14.25" customHeight="1">
      <c r="A57" s="424" t="s">
        <v>37</v>
      </c>
      <c r="B57" s="424" t="s">
        <v>148</v>
      </c>
      <c r="C57" s="424" t="s">
        <v>258</v>
      </c>
      <c r="D57" s="427" t="s">
        <v>2987</v>
      </c>
      <c r="E57" s="424" t="s">
        <v>1227</v>
      </c>
      <c r="F57" s="424" t="s">
        <v>1444</v>
      </c>
      <c r="G57" s="424" t="s">
        <v>1444</v>
      </c>
      <c r="H57" s="424" t="s">
        <v>41</v>
      </c>
      <c r="I57" s="424" t="s">
        <v>242</v>
      </c>
      <c r="J57" s="424" t="s">
        <v>43</v>
      </c>
      <c r="K57" s="424" t="s">
        <v>43</v>
      </c>
      <c r="L57" s="424" t="s">
        <v>588</v>
      </c>
      <c r="M57" s="424" t="s">
        <v>44</v>
      </c>
      <c r="N57" s="424">
        <v>25.617998</v>
      </c>
      <c r="O57" s="424">
        <v>96.339590000000001</v>
      </c>
      <c r="P57" s="424" t="s">
        <v>573</v>
      </c>
      <c r="Q57" s="424" t="s">
        <v>592</v>
      </c>
      <c r="R57" s="436">
        <v>7</v>
      </c>
      <c r="S57" s="429">
        <v>24</v>
      </c>
      <c r="T57" s="441"/>
      <c r="U57" s="430"/>
      <c r="V57" s="424" t="s">
        <v>258</v>
      </c>
      <c r="W57" s="424"/>
      <c r="X57" s="427"/>
    </row>
    <row r="58" spans="1:24" s="68" customFormat="1" ht="14.25" customHeight="1">
      <c r="A58" s="426" t="s">
        <v>37</v>
      </c>
      <c r="B58" s="426" t="s">
        <v>148</v>
      </c>
      <c r="C58" s="426" t="s">
        <v>231</v>
      </c>
      <c r="D58" s="427" t="s">
        <v>2987</v>
      </c>
      <c r="E58" s="424" t="s">
        <v>1223</v>
      </c>
      <c r="F58" s="424" t="s">
        <v>1444</v>
      </c>
      <c r="G58" s="424" t="s">
        <v>1444</v>
      </c>
      <c r="H58" s="424" t="s">
        <v>41</v>
      </c>
      <c r="I58" s="424" t="s">
        <v>1035</v>
      </c>
      <c r="J58" s="424" t="s">
        <v>43</v>
      </c>
      <c r="K58" s="424" t="s">
        <v>43</v>
      </c>
      <c r="L58" s="424" t="s">
        <v>43</v>
      </c>
      <c r="M58" s="424" t="s">
        <v>44</v>
      </c>
      <c r="N58" s="424">
        <v>25.613894999999999</v>
      </c>
      <c r="O58" s="424">
        <v>96.341352999999998</v>
      </c>
      <c r="P58" s="424" t="s">
        <v>573</v>
      </c>
      <c r="Q58" s="424" t="s">
        <v>592</v>
      </c>
      <c r="R58" s="436">
        <v>47</v>
      </c>
      <c r="S58" s="429">
        <v>228</v>
      </c>
      <c r="T58" s="441"/>
      <c r="U58" s="430"/>
      <c r="V58" s="424" t="s">
        <v>231</v>
      </c>
      <c r="W58" s="424"/>
      <c r="X58" s="427"/>
    </row>
    <row r="59" spans="1:24" s="68" customFormat="1" ht="14.25" customHeight="1">
      <c r="A59" s="424" t="s">
        <v>37</v>
      </c>
      <c r="B59" s="426" t="s">
        <v>148</v>
      </c>
      <c r="C59" s="426" t="s">
        <v>259</v>
      </c>
      <c r="D59" s="427" t="s">
        <v>2987</v>
      </c>
      <c r="E59" s="424" t="s">
        <v>1215</v>
      </c>
      <c r="F59" s="424" t="s">
        <v>1309</v>
      </c>
      <c r="G59" s="424" t="s">
        <v>1310</v>
      </c>
      <c r="H59" s="424" t="s">
        <v>41</v>
      </c>
      <c r="I59" s="424" t="s">
        <v>242</v>
      </c>
      <c r="J59" s="424" t="s">
        <v>43</v>
      </c>
      <c r="K59" s="424" t="s">
        <v>43</v>
      </c>
      <c r="L59" s="424" t="s">
        <v>588</v>
      </c>
      <c r="M59" s="424" t="s">
        <v>44</v>
      </c>
      <c r="N59" s="424">
        <v>25.56551</v>
      </c>
      <c r="O59" s="424">
        <v>96.279200000000003</v>
      </c>
      <c r="P59" s="424" t="s">
        <v>573</v>
      </c>
      <c r="Q59" s="424" t="s">
        <v>592</v>
      </c>
      <c r="R59" s="436">
        <v>16</v>
      </c>
      <c r="S59" s="429">
        <v>72</v>
      </c>
      <c r="T59" s="441"/>
      <c r="U59" s="430"/>
      <c r="V59" s="424" t="s">
        <v>259</v>
      </c>
      <c r="W59" s="360"/>
      <c r="X59" s="427"/>
    </row>
    <row r="60" spans="1:24" s="68" customFormat="1" ht="14.25" customHeight="1">
      <c r="A60" s="433" t="s">
        <v>37</v>
      </c>
      <c r="B60" s="432" t="s">
        <v>148</v>
      </c>
      <c r="C60" s="433" t="s">
        <v>3003</v>
      </c>
      <c r="D60" s="427" t="s">
        <v>2987</v>
      </c>
      <c r="E60" s="433" t="s">
        <v>3025</v>
      </c>
      <c r="F60" s="424" t="s">
        <v>1309</v>
      </c>
      <c r="G60" s="424" t="s">
        <v>3055</v>
      </c>
      <c r="H60" s="424"/>
      <c r="I60" s="424" t="s">
        <v>2747</v>
      </c>
      <c r="J60" s="424" t="s">
        <v>43</v>
      </c>
      <c r="K60" s="424" t="s">
        <v>43</v>
      </c>
      <c r="L60" s="424" t="s">
        <v>588</v>
      </c>
      <c r="M60" s="424" t="s">
        <v>44</v>
      </c>
      <c r="N60" s="424"/>
      <c r="O60" s="426" t="s">
        <v>3058</v>
      </c>
      <c r="P60" s="424" t="s">
        <v>573</v>
      </c>
      <c r="Q60" s="424" t="s">
        <v>3059</v>
      </c>
      <c r="R60" s="436">
        <v>12</v>
      </c>
      <c r="S60" s="429">
        <v>54</v>
      </c>
      <c r="T60" s="441">
        <v>45009</v>
      </c>
      <c r="U60" s="430" t="s">
        <v>3060</v>
      </c>
      <c r="V60" s="424"/>
      <c r="W60" s="428" t="s">
        <v>3069</v>
      </c>
      <c r="X60" s="427"/>
    </row>
    <row r="61" spans="1:24" s="68" customFormat="1" ht="14.25" customHeight="1">
      <c r="A61" s="424" t="s">
        <v>37</v>
      </c>
      <c r="B61" s="426" t="s">
        <v>148</v>
      </c>
      <c r="C61" s="426" t="s">
        <v>260</v>
      </c>
      <c r="D61" s="387" t="s">
        <v>1300</v>
      </c>
      <c r="E61" s="424" t="s">
        <v>1236</v>
      </c>
      <c r="F61" s="424" t="s">
        <v>1309</v>
      </c>
      <c r="G61" s="424" t="s">
        <v>1310</v>
      </c>
      <c r="H61" s="424" t="s">
        <v>41</v>
      </c>
      <c r="I61" s="424" t="s">
        <v>141</v>
      </c>
      <c r="J61" s="424" t="s">
        <v>43</v>
      </c>
      <c r="K61" s="426" t="s">
        <v>43</v>
      </c>
      <c r="L61" s="426" t="s">
        <v>572</v>
      </c>
      <c r="M61" s="424" t="s">
        <v>44</v>
      </c>
      <c r="N61" s="424">
        <v>25.668399999999998</v>
      </c>
      <c r="O61" s="424">
        <v>96.353030000000004</v>
      </c>
      <c r="P61" s="424" t="s">
        <v>573</v>
      </c>
      <c r="Q61" s="424" t="s">
        <v>592</v>
      </c>
      <c r="R61" s="428"/>
      <c r="S61" s="428"/>
      <c r="T61" s="441"/>
      <c r="U61" s="430"/>
      <c r="V61" s="424" t="s">
        <v>260</v>
      </c>
      <c r="W61" s="424" t="s">
        <v>2084</v>
      </c>
      <c r="X61" s="387"/>
    </row>
    <row r="62" spans="1:24" s="68" customFormat="1" ht="14.25" customHeight="1">
      <c r="A62" s="426" t="s">
        <v>37</v>
      </c>
      <c r="B62" s="426" t="s">
        <v>148</v>
      </c>
      <c r="C62" s="426" t="s">
        <v>188</v>
      </c>
      <c r="D62" s="427" t="s">
        <v>2987</v>
      </c>
      <c r="E62" s="424" t="s">
        <v>1247</v>
      </c>
      <c r="F62" s="424" t="s">
        <v>1359</v>
      </c>
      <c r="G62" s="424" t="s">
        <v>1360</v>
      </c>
      <c r="H62" s="424" t="s">
        <v>41</v>
      </c>
      <c r="I62" s="424" t="s">
        <v>2117</v>
      </c>
      <c r="J62" s="424" t="s">
        <v>43</v>
      </c>
      <c r="K62" s="426" t="s">
        <v>43</v>
      </c>
      <c r="L62" s="424" t="s">
        <v>43</v>
      </c>
      <c r="M62" s="424" t="s">
        <v>44</v>
      </c>
      <c r="N62" s="424">
        <v>25.920006000000001</v>
      </c>
      <c r="O62" s="424">
        <v>96.662092000000001</v>
      </c>
      <c r="P62" s="424" t="s">
        <v>573</v>
      </c>
      <c r="Q62" s="424" t="s">
        <v>574</v>
      </c>
      <c r="R62" s="436">
        <v>24</v>
      </c>
      <c r="S62" s="429">
        <v>110</v>
      </c>
      <c r="T62" s="441"/>
      <c r="U62" s="430"/>
      <c r="V62" s="424"/>
      <c r="W62" s="424"/>
      <c r="X62" s="427"/>
    </row>
    <row r="63" spans="1:24" s="68" customFormat="1" ht="14.25" customHeight="1">
      <c r="A63" s="424" t="s">
        <v>37</v>
      </c>
      <c r="B63" s="424" t="s">
        <v>148</v>
      </c>
      <c r="C63" s="426" t="s">
        <v>189</v>
      </c>
      <c r="D63" s="387" t="s">
        <v>2603</v>
      </c>
      <c r="E63" s="424" t="s">
        <v>1248</v>
      </c>
      <c r="F63" s="424" t="s">
        <v>1359</v>
      </c>
      <c r="G63" s="424" t="s">
        <v>1360</v>
      </c>
      <c r="H63" s="424" t="s">
        <v>41</v>
      </c>
      <c r="I63" s="424" t="s">
        <v>1619</v>
      </c>
      <c r="J63" s="424" t="s">
        <v>43</v>
      </c>
      <c r="K63" s="426" t="s">
        <v>43</v>
      </c>
      <c r="L63" s="426" t="s">
        <v>572</v>
      </c>
      <c r="M63" s="424" t="s">
        <v>44</v>
      </c>
      <c r="N63" s="424">
        <v>25.920006000000001</v>
      </c>
      <c r="O63" s="424">
        <v>96.662092000000001</v>
      </c>
      <c r="P63" s="424" t="s">
        <v>573</v>
      </c>
      <c r="Q63" s="424" t="s">
        <v>574</v>
      </c>
      <c r="R63" s="428"/>
      <c r="S63" s="429"/>
      <c r="T63" s="441"/>
      <c r="U63" s="430" t="s">
        <v>2135</v>
      </c>
      <c r="V63" s="424"/>
      <c r="W63" s="424"/>
      <c r="X63" s="387"/>
    </row>
    <row r="64" spans="1:24" s="68" customFormat="1" ht="14.25" customHeight="1">
      <c r="A64" s="424" t="s">
        <v>37</v>
      </c>
      <c r="B64" s="426" t="s">
        <v>148</v>
      </c>
      <c r="C64" s="426" t="s">
        <v>191</v>
      </c>
      <c r="D64" s="387"/>
      <c r="E64" s="424"/>
      <c r="F64" s="424"/>
      <c r="G64" s="424"/>
      <c r="H64" s="424"/>
      <c r="I64" s="424"/>
      <c r="J64" s="424" t="s">
        <v>1099</v>
      </c>
      <c r="K64" s="424" t="s">
        <v>43</v>
      </c>
      <c r="L64" s="424" t="s">
        <v>43</v>
      </c>
      <c r="M64" s="424" t="s">
        <v>44</v>
      </c>
      <c r="N64" s="424"/>
      <c r="O64" s="424"/>
      <c r="P64" s="424" t="s">
        <v>573</v>
      </c>
      <c r="Q64" s="424" t="s">
        <v>574</v>
      </c>
      <c r="R64" s="428"/>
      <c r="S64" s="429"/>
      <c r="T64" s="441">
        <v>42824</v>
      </c>
      <c r="U64" s="430"/>
      <c r="V64" s="424"/>
      <c r="W64" s="360"/>
      <c r="X64" s="387"/>
    </row>
    <row r="65" spans="1:24" s="68" customFormat="1" ht="14.25" customHeight="1">
      <c r="A65" s="424" t="s">
        <v>37</v>
      </c>
      <c r="B65" s="424" t="s">
        <v>148</v>
      </c>
      <c r="C65" s="424" t="s">
        <v>2886</v>
      </c>
      <c r="D65" s="427" t="s">
        <v>2987</v>
      </c>
      <c r="E65" s="424" t="s">
        <v>1233</v>
      </c>
      <c r="F65" s="424" t="s">
        <v>1352</v>
      </c>
      <c r="G65" s="424" t="s">
        <v>1352</v>
      </c>
      <c r="H65" s="424" t="s">
        <v>41</v>
      </c>
      <c r="I65" s="424" t="s">
        <v>1035</v>
      </c>
      <c r="J65" s="424" t="s">
        <v>43</v>
      </c>
      <c r="K65" s="424" t="s">
        <v>43</v>
      </c>
      <c r="L65" s="424" t="s">
        <v>43</v>
      </c>
      <c r="M65" s="424" t="s">
        <v>44</v>
      </c>
      <c r="N65" s="424">
        <v>25.656009999999998</v>
      </c>
      <c r="O65" s="424">
        <v>96.361609999999999</v>
      </c>
      <c r="P65" s="424" t="s">
        <v>573</v>
      </c>
      <c r="Q65" s="424" t="s">
        <v>592</v>
      </c>
      <c r="R65" s="436">
        <v>91</v>
      </c>
      <c r="S65" s="429">
        <v>456</v>
      </c>
      <c r="T65" s="441"/>
      <c r="U65" s="430"/>
      <c r="V65" s="424" t="s">
        <v>230</v>
      </c>
      <c r="W65" s="360"/>
      <c r="X65" s="427"/>
    </row>
    <row r="66" spans="1:24" s="68" customFormat="1" ht="14.25" customHeight="1">
      <c r="A66" s="424" t="s">
        <v>37</v>
      </c>
      <c r="B66" s="426" t="s">
        <v>148</v>
      </c>
      <c r="C66" s="426" t="s">
        <v>797</v>
      </c>
      <c r="D66" s="387" t="s">
        <v>1300</v>
      </c>
      <c r="E66" s="426" t="s">
        <v>1249</v>
      </c>
      <c r="F66" s="424" t="s">
        <v>1359</v>
      </c>
      <c r="G66" s="424" t="s">
        <v>1360</v>
      </c>
      <c r="H66" s="424"/>
      <c r="I66" s="424">
        <v>0</v>
      </c>
      <c r="J66" s="424" t="s">
        <v>43</v>
      </c>
      <c r="K66" s="424" t="s">
        <v>43</v>
      </c>
      <c r="L66" s="424" t="s">
        <v>572</v>
      </c>
      <c r="M66" s="424" t="s">
        <v>44</v>
      </c>
      <c r="N66" s="424">
        <v>25.920006000000001</v>
      </c>
      <c r="O66" s="424">
        <v>96.662092000000001</v>
      </c>
      <c r="P66" s="424" t="s">
        <v>573</v>
      </c>
      <c r="Q66" s="424" t="s">
        <v>574</v>
      </c>
      <c r="R66" s="428">
        <v>0</v>
      </c>
      <c r="S66" s="429">
        <v>0</v>
      </c>
      <c r="T66" s="441"/>
      <c r="U66" s="430"/>
      <c r="V66" s="424"/>
      <c r="W66" s="360" t="s">
        <v>1627</v>
      </c>
      <c r="X66" s="387"/>
    </row>
    <row r="67" spans="1:24" s="68" customFormat="1" ht="14.25" customHeight="1">
      <c r="A67" s="424" t="s">
        <v>37</v>
      </c>
      <c r="B67" s="426" t="s">
        <v>148</v>
      </c>
      <c r="C67" s="426" t="s">
        <v>794</v>
      </c>
      <c r="D67" s="387" t="s">
        <v>1300</v>
      </c>
      <c r="E67" s="424" t="s">
        <v>1242</v>
      </c>
      <c r="F67" s="424" t="s">
        <v>1359</v>
      </c>
      <c r="G67" s="424" t="s">
        <v>1359</v>
      </c>
      <c r="H67" s="424"/>
      <c r="I67" s="424">
        <v>0</v>
      </c>
      <c r="J67" s="424" t="s">
        <v>43</v>
      </c>
      <c r="K67" s="424" t="s">
        <v>43</v>
      </c>
      <c r="L67" s="424" t="s">
        <v>572</v>
      </c>
      <c r="M67" s="424" t="s">
        <v>44</v>
      </c>
      <c r="N67" s="424">
        <v>25.806999999999999</v>
      </c>
      <c r="O67" s="424">
        <v>96.637</v>
      </c>
      <c r="P67" s="424" t="s">
        <v>573</v>
      </c>
      <c r="Q67" s="424" t="s">
        <v>574</v>
      </c>
      <c r="R67" s="428">
        <v>0</v>
      </c>
      <c r="S67" s="429">
        <v>0</v>
      </c>
      <c r="T67" s="441">
        <v>42983</v>
      </c>
      <c r="U67" s="430" t="s">
        <v>795</v>
      </c>
      <c r="V67" s="424"/>
      <c r="W67" s="424" t="s">
        <v>1633</v>
      </c>
      <c r="X67" s="387"/>
    </row>
    <row r="68" spans="1:24" s="68" customFormat="1" ht="14.25" customHeight="1">
      <c r="A68" s="424" t="s">
        <v>37</v>
      </c>
      <c r="B68" s="426" t="s">
        <v>148</v>
      </c>
      <c r="C68" s="426" t="s">
        <v>784</v>
      </c>
      <c r="D68" s="387" t="s">
        <v>1300</v>
      </c>
      <c r="E68" s="424" t="s">
        <v>1218</v>
      </c>
      <c r="F68" s="424" t="s">
        <v>1309</v>
      </c>
      <c r="G68" s="424" t="s">
        <v>1309</v>
      </c>
      <c r="H68" s="424" t="s">
        <v>41</v>
      </c>
      <c r="I68" s="424" t="s">
        <v>1035</v>
      </c>
      <c r="J68" s="424" t="s">
        <v>43</v>
      </c>
      <c r="K68" s="424" t="s">
        <v>43</v>
      </c>
      <c r="L68" s="424" t="s">
        <v>572</v>
      </c>
      <c r="M68" s="424" t="s">
        <v>44</v>
      </c>
      <c r="N68" s="424">
        <v>25.57921</v>
      </c>
      <c r="O68" s="424">
        <v>96.288250000000005</v>
      </c>
      <c r="P68" s="424" t="s">
        <v>573</v>
      </c>
      <c r="Q68" s="424"/>
      <c r="R68" s="428">
        <v>0</v>
      </c>
      <c r="S68" s="428">
        <v>0</v>
      </c>
      <c r="T68" s="441"/>
      <c r="U68" s="430"/>
      <c r="V68" s="424" t="s">
        <v>784</v>
      </c>
      <c r="W68" s="424" t="s">
        <v>1634</v>
      </c>
      <c r="X68" s="387"/>
    </row>
    <row r="69" spans="1:24" s="68" customFormat="1" ht="14.25" customHeight="1">
      <c r="A69" s="424" t="s">
        <v>37</v>
      </c>
      <c r="B69" s="426" t="s">
        <v>148</v>
      </c>
      <c r="C69" s="426" t="s">
        <v>261</v>
      </c>
      <c r="D69" s="427" t="s">
        <v>2987</v>
      </c>
      <c r="E69" s="424" t="s">
        <v>1217</v>
      </c>
      <c r="F69" s="424" t="s">
        <v>1309</v>
      </c>
      <c r="G69" s="424" t="s">
        <v>1443</v>
      </c>
      <c r="H69" s="424" t="s">
        <v>41</v>
      </c>
      <c r="I69" s="424" t="s">
        <v>2117</v>
      </c>
      <c r="J69" s="424" t="s">
        <v>43</v>
      </c>
      <c r="K69" s="424" t="s">
        <v>43</v>
      </c>
      <c r="L69" s="424" t="s">
        <v>43</v>
      </c>
      <c r="M69" s="424" t="s">
        <v>44</v>
      </c>
      <c r="N69" s="424">
        <v>25.577559999999998</v>
      </c>
      <c r="O69" s="424">
        <v>96.286680000000004</v>
      </c>
      <c r="P69" s="424" t="s">
        <v>573</v>
      </c>
      <c r="Q69" s="424" t="s">
        <v>592</v>
      </c>
      <c r="R69" s="436">
        <v>25</v>
      </c>
      <c r="S69" s="429">
        <v>133</v>
      </c>
      <c r="T69" s="441"/>
      <c r="U69" s="430"/>
      <c r="V69" s="424" t="s">
        <v>261</v>
      </c>
      <c r="W69" s="424"/>
      <c r="X69" s="427"/>
    </row>
    <row r="70" spans="1:24" s="68" customFormat="1" ht="14.25" customHeight="1">
      <c r="A70" s="429" t="s">
        <v>37</v>
      </c>
      <c r="B70" s="432" t="s">
        <v>148</v>
      </c>
      <c r="C70" s="433" t="s">
        <v>262</v>
      </c>
      <c r="D70" s="427" t="s">
        <v>2987</v>
      </c>
      <c r="E70" s="424" t="s">
        <v>1220</v>
      </c>
      <c r="F70" s="424" t="s">
        <v>1444</v>
      </c>
      <c r="G70" s="424" t="s">
        <v>1444</v>
      </c>
      <c r="H70" s="424" t="s">
        <v>41</v>
      </c>
      <c r="I70" s="424" t="s">
        <v>2117</v>
      </c>
      <c r="J70" s="424" t="s">
        <v>43</v>
      </c>
      <c r="K70" s="424" t="s">
        <v>43</v>
      </c>
      <c r="L70" s="424" t="s">
        <v>43</v>
      </c>
      <c r="M70" s="424" t="s">
        <v>44</v>
      </c>
      <c r="N70" s="424">
        <v>25.599250000000001</v>
      </c>
      <c r="O70" s="424">
        <v>96.306910999999999</v>
      </c>
      <c r="P70" s="424" t="s">
        <v>573</v>
      </c>
      <c r="Q70" s="424" t="s">
        <v>592</v>
      </c>
      <c r="R70" s="436">
        <v>16</v>
      </c>
      <c r="S70" s="429">
        <v>65</v>
      </c>
      <c r="T70" s="441"/>
      <c r="U70" s="436"/>
      <c r="V70" s="424" t="s">
        <v>262</v>
      </c>
      <c r="W70" s="428"/>
      <c r="X70" s="427"/>
    </row>
    <row r="71" spans="1:24" s="68" customFormat="1" ht="14.25" customHeight="1">
      <c r="A71" s="424" t="s">
        <v>37</v>
      </c>
      <c r="B71" s="424" t="s">
        <v>587</v>
      </c>
      <c r="C71" s="424" t="s">
        <v>2658</v>
      </c>
      <c r="D71" s="427" t="s">
        <v>2987</v>
      </c>
      <c r="E71" s="424" t="s">
        <v>2667</v>
      </c>
      <c r="F71" s="424" t="s">
        <v>2668</v>
      </c>
      <c r="G71" s="424" t="s">
        <v>2669</v>
      </c>
      <c r="H71" s="424" t="s">
        <v>41</v>
      </c>
      <c r="I71" s="424" t="s">
        <v>2670</v>
      </c>
      <c r="J71" s="424" t="s">
        <v>43</v>
      </c>
      <c r="K71" s="424" t="s">
        <v>43</v>
      </c>
      <c r="L71" s="424" t="s">
        <v>43</v>
      </c>
      <c r="M71" s="424" t="s">
        <v>590</v>
      </c>
      <c r="N71" s="424">
        <v>26.007408000000002</v>
      </c>
      <c r="O71" s="424">
        <v>97.823777000000007</v>
      </c>
      <c r="P71" s="424"/>
      <c r="Q71" s="424" t="s">
        <v>2665</v>
      </c>
      <c r="R71" s="436">
        <v>120</v>
      </c>
      <c r="S71" s="429">
        <v>566</v>
      </c>
      <c r="T71" s="441">
        <v>44544</v>
      </c>
      <c r="U71" s="430"/>
      <c r="V71" s="424"/>
      <c r="W71" s="424"/>
      <c r="X71" s="427"/>
    </row>
    <row r="72" spans="1:24" s="68" customFormat="1" ht="14.25" customHeight="1">
      <c r="A72" s="429" t="s">
        <v>37</v>
      </c>
      <c r="B72" s="432" t="s">
        <v>587</v>
      </c>
      <c r="C72" s="433" t="s">
        <v>2242</v>
      </c>
      <c r="D72" s="427"/>
      <c r="E72" s="424"/>
      <c r="F72" s="424"/>
      <c r="G72" s="424"/>
      <c r="H72" s="424"/>
      <c r="I72" s="424"/>
      <c r="J72" s="424" t="s">
        <v>607</v>
      </c>
      <c r="K72" s="424" t="s">
        <v>607</v>
      </c>
      <c r="L72" s="424" t="s">
        <v>826</v>
      </c>
      <c r="M72" s="424" t="s">
        <v>590</v>
      </c>
      <c r="N72" s="424"/>
      <c r="O72" s="424"/>
      <c r="P72" s="424"/>
      <c r="Q72" s="424" t="s">
        <v>2237</v>
      </c>
      <c r="R72" s="436"/>
      <c r="S72" s="429"/>
      <c r="T72" s="441">
        <v>43851</v>
      </c>
      <c r="U72" s="436"/>
      <c r="V72" s="424"/>
      <c r="W72" s="428"/>
      <c r="X72" s="427"/>
    </row>
    <row r="73" spans="1:24" s="68" customFormat="1" ht="14.25" customHeight="1">
      <c r="A73" s="424" t="s">
        <v>37</v>
      </c>
      <c r="B73" s="424" t="s">
        <v>587</v>
      </c>
      <c r="C73" s="424" t="s">
        <v>586</v>
      </c>
      <c r="D73" s="387" t="s">
        <v>1300</v>
      </c>
      <c r="E73" s="426" t="s">
        <v>1039</v>
      </c>
      <c r="F73" s="424">
        <v>0</v>
      </c>
      <c r="G73" s="424">
        <v>0</v>
      </c>
      <c r="H73" s="424"/>
      <c r="I73" s="424">
        <v>0</v>
      </c>
      <c r="J73" s="424" t="s">
        <v>43</v>
      </c>
      <c r="K73" s="424" t="s">
        <v>43</v>
      </c>
      <c r="L73" s="424" t="s">
        <v>572</v>
      </c>
      <c r="M73" s="424" t="s">
        <v>44</v>
      </c>
      <c r="N73" s="424"/>
      <c r="O73" s="424"/>
      <c r="P73" s="424" t="s">
        <v>573</v>
      </c>
      <c r="Q73" s="424"/>
      <c r="R73" s="428">
        <v>0</v>
      </c>
      <c r="S73" s="429">
        <v>0</v>
      </c>
      <c r="T73" s="441"/>
      <c r="U73" s="430"/>
      <c r="V73" s="424" t="s">
        <v>586</v>
      </c>
      <c r="W73" s="360" t="s">
        <v>1635</v>
      </c>
      <c r="X73" s="387"/>
    </row>
    <row r="74" spans="1:24" s="68" customFormat="1" ht="14.25" customHeight="1">
      <c r="A74" s="433" t="s">
        <v>37</v>
      </c>
      <c r="B74" s="432" t="s">
        <v>587</v>
      </c>
      <c r="C74" s="433" t="s">
        <v>2996</v>
      </c>
      <c r="D74" s="427" t="s">
        <v>2987</v>
      </c>
      <c r="E74" s="433" t="s">
        <v>3018</v>
      </c>
      <c r="F74" s="424"/>
      <c r="G74" s="424" t="s">
        <v>3052</v>
      </c>
      <c r="H74" s="424"/>
      <c r="I74" s="424" t="s">
        <v>2747</v>
      </c>
      <c r="J74" s="424" t="s">
        <v>43</v>
      </c>
      <c r="K74" s="424" t="s">
        <v>43</v>
      </c>
      <c r="L74" s="424" t="s">
        <v>588</v>
      </c>
      <c r="M74" s="424" t="s">
        <v>590</v>
      </c>
      <c r="N74" s="424"/>
      <c r="O74" s="424" t="s">
        <v>3058</v>
      </c>
      <c r="P74" s="424" t="s">
        <v>573</v>
      </c>
      <c r="Q74" s="424" t="s">
        <v>3059</v>
      </c>
      <c r="R74" s="436">
        <v>42</v>
      </c>
      <c r="S74" s="429">
        <v>112</v>
      </c>
      <c r="T74" s="441">
        <v>45009</v>
      </c>
      <c r="U74" s="430" t="s">
        <v>3060</v>
      </c>
      <c r="V74" s="424"/>
      <c r="W74" s="428" t="s">
        <v>3065</v>
      </c>
      <c r="X74" s="427"/>
    </row>
    <row r="75" spans="1:24" s="68" customFormat="1" ht="14.25" customHeight="1">
      <c r="A75" s="424" t="s">
        <v>37</v>
      </c>
      <c r="B75" s="424" t="s">
        <v>587</v>
      </c>
      <c r="C75" s="424" t="s">
        <v>2243</v>
      </c>
      <c r="D75" s="387"/>
      <c r="E75" s="424"/>
      <c r="F75" s="424"/>
      <c r="G75" s="424"/>
      <c r="H75" s="424"/>
      <c r="I75" s="424"/>
      <c r="J75" s="424" t="s">
        <v>607</v>
      </c>
      <c r="K75" s="424" t="s">
        <v>607</v>
      </c>
      <c r="L75" s="424" t="s">
        <v>826</v>
      </c>
      <c r="M75" s="424" t="s">
        <v>590</v>
      </c>
      <c r="N75" s="424"/>
      <c r="O75" s="424"/>
      <c r="P75" s="424"/>
      <c r="Q75" s="424" t="s">
        <v>2237</v>
      </c>
      <c r="R75" s="428"/>
      <c r="S75" s="429"/>
      <c r="T75" s="441">
        <v>43851</v>
      </c>
      <c r="U75" s="430"/>
      <c r="V75" s="424"/>
      <c r="W75" s="360"/>
      <c r="X75" s="387"/>
    </row>
    <row r="76" spans="1:24" s="68" customFormat="1" ht="14.25" customHeight="1">
      <c r="A76" s="426" t="s">
        <v>37</v>
      </c>
      <c r="B76" s="426" t="s">
        <v>801</v>
      </c>
      <c r="C76" s="426" t="s">
        <v>800</v>
      </c>
      <c r="D76" s="427" t="s">
        <v>1300</v>
      </c>
      <c r="E76" s="435" t="s">
        <v>1253</v>
      </c>
      <c r="F76" s="435" t="s">
        <v>1361</v>
      </c>
      <c r="G76" s="435" t="s">
        <v>800</v>
      </c>
      <c r="H76" s="435"/>
      <c r="I76" s="435">
        <v>0</v>
      </c>
      <c r="J76" s="424" t="s">
        <v>43</v>
      </c>
      <c r="K76" s="426" t="s">
        <v>43</v>
      </c>
      <c r="L76" s="426" t="s">
        <v>572</v>
      </c>
      <c r="M76" s="424" t="s">
        <v>44</v>
      </c>
      <c r="N76" s="424">
        <v>26.890058</v>
      </c>
      <c r="O76" s="424">
        <v>98.144502500000002</v>
      </c>
      <c r="P76" s="424" t="s">
        <v>573</v>
      </c>
      <c r="Q76" s="424"/>
      <c r="R76" s="436">
        <v>0</v>
      </c>
      <c r="S76" s="429">
        <v>0</v>
      </c>
      <c r="T76" s="441"/>
      <c r="U76" s="430"/>
      <c r="V76" s="424" t="s">
        <v>800</v>
      </c>
      <c r="W76" s="424" t="s">
        <v>1636</v>
      </c>
      <c r="X76" s="427"/>
    </row>
    <row r="77" spans="1:24" s="68" customFormat="1" ht="14.25" customHeight="1">
      <c r="A77" s="426" t="s">
        <v>37</v>
      </c>
      <c r="B77" s="426" t="s">
        <v>806</v>
      </c>
      <c r="C77" s="426" t="s">
        <v>805</v>
      </c>
      <c r="D77" s="427" t="s">
        <v>1300</v>
      </c>
      <c r="E77" s="435" t="s">
        <v>1256</v>
      </c>
      <c r="F77" s="435">
        <v>0</v>
      </c>
      <c r="G77" s="435">
        <v>0</v>
      </c>
      <c r="H77" s="435"/>
      <c r="I77" s="435">
        <v>0</v>
      </c>
      <c r="J77" s="424" t="s">
        <v>43</v>
      </c>
      <c r="K77" s="426" t="s">
        <v>43</v>
      </c>
      <c r="L77" s="426" t="s">
        <v>572</v>
      </c>
      <c r="M77" s="426" t="s">
        <v>44</v>
      </c>
      <c r="N77" s="426">
        <v>27.274059999999999</v>
      </c>
      <c r="O77" s="426">
        <v>97.586470000000006</v>
      </c>
      <c r="P77" s="424" t="s">
        <v>573</v>
      </c>
      <c r="Q77" s="426"/>
      <c r="R77" s="437">
        <v>0</v>
      </c>
      <c r="S77" s="433">
        <v>0</v>
      </c>
      <c r="T77" s="442"/>
      <c r="U77" s="434"/>
      <c r="V77" s="426" t="s">
        <v>807</v>
      </c>
      <c r="W77" s="424" t="s">
        <v>1637</v>
      </c>
      <c r="X77" s="427"/>
    </row>
    <row r="78" spans="1:24" s="68" customFormat="1" ht="14.25" customHeight="1">
      <c r="A78" s="424" t="s">
        <v>37</v>
      </c>
      <c r="B78" s="424" t="s">
        <v>1025</v>
      </c>
      <c r="C78" s="424" t="s">
        <v>1472</v>
      </c>
      <c r="D78" s="387"/>
      <c r="E78" s="424"/>
      <c r="F78" s="424"/>
      <c r="G78" s="424"/>
      <c r="H78" s="424"/>
      <c r="I78" s="424"/>
      <c r="J78" s="424" t="s">
        <v>1099</v>
      </c>
      <c r="K78" s="424" t="s">
        <v>43</v>
      </c>
      <c r="L78" s="424" t="s">
        <v>43</v>
      </c>
      <c r="M78" s="424"/>
      <c r="N78" s="424"/>
      <c r="O78" s="424"/>
      <c r="P78" s="424" t="s">
        <v>573</v>
      </c>
      <c r="Q78" s="424"/>
      <c r="R78" s="428"/>
      <c r="S78" s="429"/>
      <c r="T78" s="441"/>
      <c r="U78" s="430"/>
      <c r="V78" s="424"/>
      <c r="W78" s="424"/>
      <c r="X78" s="387"/>
    </row>
    <row r="79" spans="1:24" s="68" customFormat="1" ht="14.25" customHeight="1">
      <c r="A79" s="424" t="s">
        <v>37</v>
      </c>
      <c r="B79" s="424" t="s">
        <v>1025</v>
      </c>
      <c r="C79" s="424" t="s">
        <v>1026</v>
      </c>
      <c r="D79" s="387"/>
      <c r="E79" s="424"/>
      <c r="F79" s="424"/>
      <c r="G79" s="424"/>
      <c r="H79" s="424"/>
      <c r="I79" s="424"/>
      <c r="J79" s="424" t="s">
        <v>1099</v>
      </c>
      <c r="K79" s="424" t="s">
        <v>43</v>
      </c>
      <c r="L79" s="424" t="s">
        <v>43</v>
      </c>
      <c r="M79" s="424"/>
      <c r="N79" s="424"/>
      <c r="O79" s="424"/>
      <c r="P79" s="424" t="s">
        <v>573</v>
      </c>
      <c r="Q79" s="424"/>
      <c r="R79" s="428"/>
      <c r="S79" s="429"/>
      <c r="T79" s="441"/>
      <c r="U79" s="430"/>
      <c r="V79" s="424"/>
      <c r="W79" s="360"/>
      <c r="X79" s="387"/>
    </row>
    <row r="80" spans="1:24" s="68" customFormat="1" ht="14.25" customHeight="1">
      <c r="A80" s="424" t="s">
        <v>37</v>
      </c>
      <c r="B80" s="424" t="s">
        <v>38</v>
      </c>
      <c r="C80" s="424" t="s">
        <v>577</v>
      </c>
      <c r="D80" s="387" t="s">
        <v>1300</v>
      </c>
      <c r="E80" s="424" t="s">
        <v>1030</v>
      </c>
      <c r="F80" s="424">
        <v>0</v>
      </c>
      <c r="G80" s="424">
        <v>0</v>
      </c>
      <c r="H80" s="424"/>
      <c r="I80" s="424">
        <v>0</v>
      </c>
      <c r="J80" s="424" t="s">
        <v>43</v>
      </c>
      <c r="K80" s="424" t="s">
        <v>43</v>
      </c>
      <c r="L80" s="424" t="s">
        <v>572</v>
      </c>
      <c r="M80" s="424" t="s">
        <v>44</v>
      </c>
      <c r="N80" s="424"/>
      <c r="O80" s="424"/>
      <c r="P80" s="424" t="s">
        <v>573</v>
      </c>
      <c r="Q80" s="424"/>
      <c r="R80" s="428">
        <v>0</v>
      </c>
      <c r="S80" s="429">
        <v>0</v>
      </c>
      <c r="T80" s="441"/>
      <c r="U80" s="430"/>
      <c r="V80" s="424" t="s">
        <v>577</v>
      </c>
      <c r="W80" s="424" t="s">
        <v>1638</v>
      </c>
      <c r="X80" s="387"/>
    </row>
    <row r="81" spans="1:24" s="68" customFormat="1" ht="14.25" customHeight="1">
      <c r="A81" s="424" t="s">
        <v>37</v>
      </c>
      <c r="B81" s="424" t="s">
        <v>38</v>
      </c>
      <c r="C81" s="424" t="s">
        <v>578</v>
      </c>
      <c r="D81" s="387" t="s">
        <v>1300</v>
      </c>
      <c r="E81" s="424" t="s">
        <v>1031</v>
      </c>
      <c r="F81" s="424">
        <v>0</v>
      </c>
      <c r="G81" s="424">
        <v>0</v>
      </c>
      <c r="H81" s="424"/>
      <c r="I81" s="424">
        <v>0</v>
      </c>
      <c r="J81" s="424" t="s">
        <v>43</v>
      </c>
      <c r="K81" s="424" t="s">
        <v>43</v>
      </c>
      <c r="L81" s="424" t="s">
        <v>572</v>
      </c>
      <c r="M81" s="424" t="s">
        <v>44</v>
      </c>
      <c r="N81" s="424"/>
      <c r="O81" s="424"/>
      <c r="P81" s="424" t="s">
        <v>573</v>
      </c>
      <c r="Q81" s="424"/>
      <c r="R81" s="428">
        <v>0</v>
      </c>
      <c r="S81" s="428">
        <v>0</v>
      </c>
      <c r="T81" s="441"/>
      <c r="U81" s="430"/>
      <c r="V81" s="424" t="s">
        <v>578</v>
      </c>
      <c r="W81" s="424" t="s">
        <v>1639</v>
      </c>
      <c r="X81" s="387"/>
    </row>
    <row r="82" spans="1:24" s="68" customFormat="1" ht="14.25" customHeight="1">
      <c r="A82" s="424" t="s">
        <v>37</v>
      </c>
      <c r="B82" s="424" t="s">
        <v>38</v>
      </c>
      <c r="C82" s="424" t="s">
        <v>579</v>
      </c>
      <c r="D82" s="387" t="s">
        <v>1300</v>
      </c>
      <c r="E82" s="424" t="s">
        <v>1032</v>
      </c>
      <c r="F82" s="424">
        <v>0</v>
      </c>
      <c r="G82" s="424">
        <v>0</v>
      </c>
      <c r="H82" s="424"/>
      <c r="I82" s="424">
        <v>0</v>
      </c>
      <c r="J82" s="424" t="s">
        <v>43</v>
      </c>
      <c r="K82" s="424" t="s">
        <v>43</v>
      </c>
      <c r="L82" s="424" t="s">
        <v>572</v>
      </c>
      <c r="M82" s="424" t="s">
        <v>44</v>
      </c>
      <c r="N82" s="424"/>
      <c r="O82" s="424"/>
      <c r="P82" s="424" t="s">
        <v>573</v>
      </c>
      <c r="Q82" s="424"/>
      <c r="R82" s="428">
        <v>0</v>
      </c>
      <c r="S82" s="429">
        <v>0</v>
      </c>
      <c r="T82" s="441"/>
      <c r="U82" s="430"/>
      <c r="V82" s="424" t="s">
        <v>579</v>
      </c>
      <c r="W82" s="424" t="s">
        <v>1638</v>
      </c>
      <c r="X82" s="387"/>
    </row>
    <row r="83" spans="1:24" s="68" customFormat="1" ht="14.25" customHeight="1">
      <c r="A83" s="424" t="s">
        <v>37</v>
      </c>
      <c r="B83" s="424" t="s">
        <v>38</v>
      </c>
      <c r="C83" s="424" t="s">
        <v>1490</v>
      </c>
      <c r="D83" s="427" t="s">
        <v>2987</v>
      </c>
      <c r="E83" s="424" t="s">
        <v>1101</v>
      </c>
      <c r="F83" s="424" t="s">
        <v>1329</v>
      </c>
      <c r="G83" s="424" t="s">
        <v>1329</v>
      </c>
      <c r="H83" s="424" t="s">
        <v>41</v>
      </c>
      <c r="I83" s="424" t="s">
        <v>42</v>
      </c>
      <c r="J83" s="424" t="s">
        <v>43</v>
      </c>
      <c r="K83" s="424" t="s">
        <v>43</v>
      </c>
      <c r="L83" s="424" t="s">
        <v>43</v>
      </c>
      <c r="M83" s="424" t="s">
        <v>590</v>
      </c>
      <c r="N83" s="424">
        <v>24.002433</v>
      </c>
      <c r="O83" s="424">
        <v>97.609832999999995</v>
      </c>
      <c r="P83" s="424" t="s">
        <v>573</v>
      </c>
      <c r="Q83" s="424" t="s">
        <v>574</v>
      </c>
      <c r="R83" s="436">
        <v>396</v>
      </c>
      <c r="S83" s="429">
        <v>1933</v>
      </c>
      <c r="T83" s="441"/>
      <c r="U83" s="430"/>
      <c r="V83" s="424"/>
      <c r="W83" s="360"/>
      <c r="X83" s="427"/>
    </row>
    <row r="84" spans="1:24" s="68" customFormat="1" ht="14.25" customHeight="1">
      <c r="A84" s="424" t="s">
        <v>37</v>
      </c>
      <c r="B84" s="424" t="s">
        <v>38</v>
      </c>
      <c r="C84" s="424" t="s">
        <v>1473</v>
      </c>
      <c r="D84" s="387"/>
      <c r="E84" s="424"/>
      <c r="F84" s="424"/>
      <c r="G84" s="424"/>
      <c r="H84" s="424"/>
      <c r="I84" s="424"/>
      <c r="J84" s="424" t="s">
        <v>1099</v>
      </c>
      <c r="K84" s="424" t="s">
        <v>43</v>
      </c>
      <c r="L84" s="424" t="s">
        <v>815</v>
      </c>
      <c r="M84" s="424" t="s">
        <v>590</v>
      </c>
      <c r="N84" s="424"/>
      <c r="O84" s="424"/>
      <c r="P84" s="424" t="s">
        <v>573</v>
      </c>
      <c r="Q84" s="424"/>
      <c r="R84" s="428"/>
      <c r="S84" s="429"/>
      <c r="T84" s="441"/>
      <c r="U84" s="430"/>
      <c r="V84" s="424" t="s">
        <v>824</v>
      </c>
      <c r="W84" s="424"/>
      <c r="X84" s="387"/>
    </row>
    <row r="85" spans="1:24" s="68" customFormat="1" ht="14.25" customHeight="1">
      <c r="A85" s="424" t="s">
        <v>37</v>
      </c>
      <c r="B85" s="424" t="s">
        <v>38</v>
      </c>
      <c r="C85" s="424" t="s">
        <v>1491</v>
      </c>
      <c r="D85" s="387" t="s">
        <v>1300</v>
      </c>
      <c r="E85" s="424" t="s">
        <v>1100</v>
      </c>
      <c r="F85" s="424" t="s">
        <v>1329</v>
      </c>
      <c r="G85" s="424" t="s">
        <v>1329</v>
      </c>
      <c r="H85" s="424" t="s">
        <v>41</v>
      </c>
      <c r="I85" s="424" t="s">
        <v>42</v>
      </c>
      <c r="J85" s="424" t="s">
        <v>43</v>
      </c>
      <c r="K85" s="424" t="s">
        <v>43</v>
      </c>
      <c r="L85" s="424" t="s">
        <v>572</v>
      </c>
      <c r="M85" s="424" t="s">
        <v>590</v>
      </c>
      <c r="N85" s="424">
        <v>24.000250000000001</v>
      </c>
      <c r="O85" s="424">
        <v>97.608249999999998</v>
      </c>
      <c r="P85" s="424" t="s">
        <v>573</v>
      </c>
      <c r="Q85" s="424"/>
      <c r="R85" s="428">
        <v>0</v>
      </c>
      <c r="S85" s="428">
        <v>0</v>
      </c>
      <c r="T85" s="441"/>
      <c r="U85" s="430"/>
      <c r="V85" s="424" t="s">
        <v>718</v>
      </c>
      <c r="W85" s="424" t="s">
        <v>1640</v>
      </c>
      <c r="X85" s="387"/>
    </row>
    <row r="86" spans="1:24" s="68" customFormat="1" ht="14.25" customHeight="1">
      <c r="A86" s="424" t="s">
        <v>37</v>
      </c>
      <c r="B86" s="424" t="s">
        <v>38</v>
      </c>
      <c r="C86" s="424" t="s">
        <v>712</v>
      </c>
      <c r="D86" s="387" t="s">
        <v>1300</v>
      </c>
      <c r="E86" s="424" t="s">
        <v>1093</v>
      </c>
      <c r="F86" s="424" t="s">
        <v>1323</v>
      </c>
      <c r="G86" s="424">
        <v>0</v>
      </c>
      <c r="H86" s="424" t="s">
        <v>41</v>
      </c>
      <c r="I86" s="424" t="s">
        <v>42</v>
      </c>
      <c r="J86" s="424" t="s">
        <v>43</v>
      </c>
      <c r="K86" s="424" t="s">
        <v>43</v>
      </c>
      <c r="L86" s="424" t="s">
        <v>572</v>
      </c>
      <c r="M86" s="424" t="s">
        <v>590</v>
      </c>
      <c r="N86" s="424">
        <v>23.867713999999999</v>
      </c>
      <c r="O86" s="424">
        <v>97.601243999999994</v>
      </c>
      <c r="P86" s="424" t="s">
        <v>573</v>
      </c>
      <c r="Q86" s="424"/>
      <c r="R86" s="428">
        <v>0</v>
      </c>
      <c r="S86" s="429">
        <v>0</v>
      </c>
      <c r="T86" s="441"/>
      <c r="U86" s="430"/>
      <c r="V86" s="424" t="s">
        <v>712</v>
      </c>
      <c r="W86" s="360" t="s">
        <v>1641</v>
      </c>
      <c r="X86" s="387"/>
    </row>
    <row r="87" spans="1:24" s="68" customFormat="1" ht="14.25" customHeight="1">
      <c r="A87" s="424" t="s">
        <v>37</v>
      </c>
      <c r="B87" s="424" t="s">
        <v>38</v>
      </c>
      <c r="C87" s="424" t="s">
        <v>294</v>
      </c>
      <c r="D87" s="427" t="s">
        <v>2987</v>
      </c>
      <c r="E87" s="424" t="s">
        <v>1105</v>
      </c>
      <c r="F87" s="424"/>
      <c r="G87" s="424"/>
      <c r="H87" s="424" t="s">
        <v>41</v>
      </c>
      <c r="I87" s="424" t="s">
        <v>42</v>
      </c>
      <c r="J87" s="424" t="s">
        <v>43</v>
      </c>
      <c r="K87" s="424" t="s">
        <v>43</v>
      </c>
      <c r="L87" s="424" t="s">
        <v>43</v>
      </c>
      <c r="M87" s="424" t="s">
        <v>590</v>
      </c>
      <c r="N87" s="424">
        <v>24.056132999999999</v>
      </c>
      <c r="O87" s="424">
        <v>97.625617000000005</v>
      </c>
      <c r="P87" s="424" t="s">
        <v>573</v>
      </c>
      <c r="Q87" s="424" t="s">
        <v>574</v>
      </c>
      <c r="R87" s="436">
        <v>541</v>
      </c>
      <c r="S87" s="429">
        <v>2507</v>
      </c>
      <c r="T87" s="441"/>
      <c r="U87" s="430"/>
      <c r="V87" s="424"/>
      <c r="W87" s="360"/>
      <c r="X87" s="427"/>
    </row>
    <row r="88" spans="1:24" s="68" customFormat="1" ht="14.25" customHeight="1">
      <c r="A88" s="424" t="s">
        <v>37</v>
      </c>
      <c r="B88" s="424" t="s">
        <v>38</v>
      </c>
      <c r="C88" s="424" t="s">
        <v>713</v>
      </c>
      <c r="D88" s="387" t="s">
        <v>1300</v>
      </c>
      <c r="E88" s="424" t="s">
        <v>1094</v>
      </c>
      <c r="F88" s="424" t="s">
        <v>1324</v>
      </c>
      <c r="G88" s="424">
        <v>0</v>
      </c>
      <c r="H88" s="424" t="s">
        <v>41</v>
      </c>
      <c r="I88" s="424" t="s">
        <v>42</v>
      </c>
      <c r="J88" s="424" t="s">
        <v>43</v>
      </c>
      <c r="K88" s="424" t="s">
        <v>43</v>
      </c>
      <c r="L88" s="424" t="s">
        <v>572</v>
      </c>
      <c r="M88" s="424" t="s">
        <v>590</v>
      </c>
      <c r="N88" s="424">
        <v>23.9055</v>
      </c>
      <c r="O88" s="424">
        <v>97.585667000000001</v>
      </c>
      <c r="P88" s="424" t="s">
        <v>573</v>
      </c>
      <c r="Q88" s="424"/>
      <c r="R88" s="428">
        <v>0</v>
      </c>
      <c r="S88" s="428">
        <v>0</v>
      </c>
      <c r="T88" s="441"/>
      <c r="U88" s="430"/>
      <c r="V88" s="424" t="s">
        <v>713</v>
      </c>
      <c r="W88" s="424" t="s">
        <v>1642</v>
      </c>
      <c r="X88" s="387"/>
    </row>
    <row r="89" spans="1:24" s="68" customFormat="1" ht="14.25" customHeight="1">
      <c r="A89" s="424" t="s">
        <v>37</v>
      </c>
      <c r="B89" s="424" t="s">
        <v>38</v>
      </c>
      <c r="C89" s="424" t="s">
        <v>183</v>
      </c>
      <c r="D89" s="427" t="s">
        <v>2987</v>
      </c>
      <c r="E89" s="424" t="s">
        <v>1096</v>
      </c>
      <c r="F89" s="424" t="s">
        <v>183</v>
      </c>
      <c r="G89" s="424" t="s">
        <v>183</v>
      </c>
      <c r="H89" s="424" t="s">
        <v>41</v>
      </c>
      <c r="I89" s="424" t="s">
        <v>2116</v>
      </c>
      <c r="J89" s="424" t="s">
        <v>43</v>
      </c>
      <c r="K89" s="424" t="s">
        <v>43</v>
      </c>
      <c r="L89" s="424" t="s">
        <v>43</v>
      </c>
      <c r="M89" s="424" t="s">
        <v>44</v>
      </c>
      <c r="N89" s="424">
        <v>23.972453000000002</v>
      </c>
      <c r="O89" s="424">
        <v>97.225881000000001</v>
      </c>
      <c r="P89" s="424" t="s">
        <v>573</v>
      </c>
      <c r="Q89" s="424" t="s">
        <v>592</v>
      </c>
      <c r="R89" s="436">
        <v>365</v>
      </c>
      <c r="S89" s="429">
        <v>1718</v>
      </c>
      <c r="T89" s="441"/>
      <c r="U89" s="430"/>
      <c r="V89" s="424" t="s">
        <v>183</v>
      </c>
      <c r="W89" s="424" t="s">
        <v>1737</v>
      </c>
      <c r="X89" s="427"/>
    </row>
    <row r="90" spans="1:24" s="68" customFormat="1" ht="14.25" customHeight="1">
      <c r="A90" s="424" t="s">
        <v>37</v>
      </c>
      <c r="B90" s="424" t="s">
        <v>38</v>
      </c>
      <c r="C90" s="424" t="s">
        <v>39</v>
      </c>
      <c r="D90" s="427" t="s">
        <v>2987</v>
      </c>
      <c r="E90" s="424" t="s">
        <v>1097</v>
      </c>
      <c r="F90" s="424" t="s">
        <v>183</v>
      </c>
      <c r="G90" s="424" t="s">
        <v>183</v>
      </c>
      <c r="H90" s="424" t="s">
        <v>41</v>
      </c>
      <c r="I90" s="424" t="s">
        <v>42</v>
      </c>
      <c r="J90" s="424" t="s">
        <v>43</v>
      </c>
      <c r="K90" s="424" t="s">
        <v>43</v>
      </c>
      <c r="L90" s="424" t="s">
        <v>43</v>
      </c>
      <c r="M90" s="424" t="s">
        <v>44</v>
      </c>
      <c r="N90" s="424">
        <v>23.976571</v>
      </c>
      <c r="O90" s="424">
        <v>97.227057000000002</v>
      </c>
      <c r="P90" s="424" t="s">
        <v>573</v>
      </c>
      <c r="Q90" s="424" t="s">
        <v>592</v>
      </c>
      <c r="R90" s="436">
        <v>139</v>
      </c>
      <c r="S90" s="429">
        <v>672</v>
      </c>
      <c r="T90" s="441"/>
      <c r="U90" s="430"/>
      <c r="V90" s="424" t="s">
        <v>39</v>
      </c>
      <c r="W90" s="424"/>
      <c r="X90" s="427"/>
    </row>
    <row r="91" spans="1:24" s="68" customFormat="1" ht="14.25" customHeight="1">
      <c r="A91" s="424" t="s">
        <v>37</v>
      </c>
      <c r="B91" s="424" t="s">
        <v>38</v>
      </c>
      <c r="C91" s="424" t="s">
        <v>716</v>
      </c>
      <c r="D91" s="387"/>
      <c r="E91" s="424"/>
      <c r="F91" s="424"/>
      <c r="G91" s="424"/>
      <c r="H91" s="424"/>
      <c r="I91" s="424"/>
      <c r="J91" s="424" t="s">
        <v>1099</v>
      </c>
      <c r="K91" s="424" t="s">
        <v>43</v>
      </c>
      <c r="L91" s="424" t="s">
        <v>43</v>
      </c>
      <c r="M91" s="424" t="s">
        <v>44</v>
      </c>
      <c r="N91" s="424">
        <v>23.989049999999999</v>
      </c>
      <c r="O91" s="424">
        <v>97.225311000000005</v>
      </c>
      <c r="P91" s="424" t="s">
        <v>573</v>
      </c>
      <c r="Q91" s="424" t="s">
        <v>574</v>
      </c>
      <c r="R91" s="428"/>
      <c r="S91" s="429"/>
      <c r="T91" s="441">
        <v>42849</v>
      </c>
      <c r="U91" s="430" t="s">
        <v>717</v>
      </c>
      <c r="V91" s="424"/>
      <c r="W91" s="424"/>
      <c r="X91" s="387"/>
    </row>
    <row r="92" spans="1:24" s="68" customFormat="1" ht="14.25" customHeight="1">
      <c r="A92" s="424" t="s">
        <v>37</v>
      </c>
      <c r="B92" s="424" t="s">
        <v>38</v>
      </c>
      <c r="C92" s="424" t="s">
        <v>726</v>
      </c>
      <c r="D92" s="387" t="s">
        <v>1300</v>
      </c>
      <c r="E92" s="424" t="s">
        <v>1110</v>
      </c>
      <c r="F92" s="424" t="s">
        <v>1330</v>
      </c>
      <c r="G92" s="424" t="s">
        <v>1331</v>
      </c>
      <c r="H92" s="424"/>
      <c r="I92" s="424">
        <v>0</v>
      </c>
      <c r="J92" s="424" t="s">
        <v>43</v>
      </c>
      <c r="K92" s="424" t="s">
        <v>43</v>
      </c>
      <c r="L92" s="424" t="s">
        <v>572</v>
      </c>
      <c r="M92" s="424" t="s">
        <v>44</v>
      </c>
      <c r="N92" s="424">
        <v>24.181640000000002</v>
      </c>
      <c r="O92" s="424">
        <v>97.710989999999995</v>
      </c>
      <c r="P92" s="424" t="s">
        <v>573</v>
      </c>
      <c r="Q92" s="424" t="s">
        <v>592</v>
      </c>
      <c r="R92" s="428">
        <v>0</v>
      </c>
      <c r="S92" s="428">
        <v>0</v>
      </c>
      <c r="T92" s="441"/>
      <c r="U92" s="430" t="s">
        <v>727</v>
      </c>
      <c r="V92" s="424" t="s">
        <v>726</v>
      </c>
      <c r="W92" s="424" t="s">
        <v>1643</v>
      </c>
      <c r="X92" s="387"/>
    </row>
    <row r="93" spans="1:24" s="68" customFormat="1" ht="14.25" customHeight="1">
      <c r="A93" s="424" t="s">
        <v>37</v>
      </c>
      <c r="B93" s="424" t="s">
        <v>38</v>
      </c>
      <c r="C93" s="424" t="s">
        <v>728</v>
      </c>
      <c r="D93" s="387" t="s">
        <v>1300</v>
      </c>
      <c r="E93" s="424" t="s">
        <v>1111</v>
      </c>
      <c r="F93" s="424" t="s">
        <v>1330</v>
      </c>
      <c r="G93" s="424" t="s">
        <v>1331</v>
      </c>
      <c r="H93" s="424"/>
      <c r="I93" s="424">
        <v>0</v>
      </c>
      <c r="J93" s="424" t="s">
        <v>43</v>
      </c>
      <c r="K93" s="424" t="s">
        <v>43</v>
      </c>
      <c r="L93" s="424" t="s">
        <v>572</v>
      </c>
      <c r="M93" s="424" t="s">
        <v>44</v>
      </c>
      <c r="N93" s="424">
        <v>24.181640000000002</v>
      </c>
      <c r="O93" s="424">
        <v>97.710989999999995</v>
      </c>
      <c r="P93" s="424" t="s">
        <v>573</v>
      </c>
      <c r="Q93" s="424"/>
      <c r="R93" s="428">
        <v>0</v>
      </c>
      <c r="S93" s="429">
        <v>0</v>
      </c>
      <c r="T93" s="441"/>
      <c r="U93" s="430"/>
      <c r="V93" s="424" t="s">
        <v>728</v>
      </c>
      <c r="W93" s="424" t="s">
        <v>1643</v>
      </c>
      <c r="X93" s="387"/>
    </row>
    <row r="94" spans="1:24" s="68" customFormat="1" ht="14.25" customHeight="1">
      <c r="A94" s="424" t="s">
        <v>37</v>
      </c>
      <c r="B94" s="424" t="s">
        <v>38</v>
      </c>
      <c r="C94" s="424" t="s">
        <v>298</v>
      </c>
      <c r="D94" s="427" t="s">
        <v>2987</v>
      </c>
      <c r="E94" s="424" t="s">
        <v>1087</v>
      </c>
      <c r="F94" s="424" t="s">
        <v>1314</v>
      </c>
      <c r="G94" s="424" t="s">
        <v>1314</v>
      </c>
      <c r="H94" s="424" t="s">
        <v>41</v>
      </c>
      <c r="I94" s="424" t="s">
        <v>2118</v>
      </c>
      <c r="J94" s="424" t="s">
        <v>43</v>
      </c>
      <c r="K94" s="424" t="s">
        <v>43</v>
      </c>
      <c r="L94" s="424" t="s">
        <v>43</v>
      </c>
      <c r="M94" s="424" t="s">
        <v>44</v>
      </c>
      <c r="N94" s="424">
        <v>23.83013</v>
      </c>
      <c r="O94" s="424">
        <v>97.589979999999997</v>
      </c>
      <c r="P94" s="424" t="s">
        <v>573</v>
      </c>
      <c r="Q94" s="424" t="s">
        <v>592</v>
      </c>
      <c r="R94" s="436">
        <v>136</v>
      </c>
      <c r="S94" s="429">
        <v>631</v>
      </c>
      <c r="T94" s="441"/>
      <c r="U94" s="430" t="s">
        <v>2610</v>
      </c>
      <c r="V94" s="424" t="s">
        <v>298</v>
      </c>
      <c r="W94" s="424"/>
      <c r="X94" s="427"/>
    </row>
    <row r="95" spans="1:24" s="68" customFormat="1" ht="14.25" customHeight="1">
      <c r="A95" s="424" t="s">
        <v>37</v>
      </c>
      <c r="B95" s="424" t="s">
        <v>38</v>
      </c>
      <c r="C95" s="424" t="s">
        <v>840</v>
      </c>
      <c r="D95" s="387" t="s">
        <v>2256</v>
      </c>
      <c r="E95" s="424"/>
      <c r="F95" s="424"/>
      <c r="G95" s="424"/>
      <c r="H95" s="424"/>
      <c r="I95" s="424"/>
      <c r="J95" s="424" t="s">
        <v>43</v>
      </c>
      <c r="K95" s="424" t="s">
        <v>43</v>
      </c>
      <c r="L95" s="424" t="s">
        <v>43</v>
      </c>
      <c r="M95" s="424" t="s">
        <v>44</v>
      </c>
      <c r="N95" s="424"/>
      <c r="O95" s="424"/>
      <c r="P95" s="424" t="s">
        <v>573</v>
      </c>
      <c r="Q95" s="424"/>
      <c r="R95" s="428"/>
      <c r="S95" s="428"/>
      <c r="T95" s="441"/>
      <c r="U95" s="430"/>
      <c r="V95" s="424"/>
      <c r="W95" s="424"/>
      <c r="X95" s="387"/>
    </row>
    <row r="96" spans="1:24" s="68" customFormat="1" ht="14.25" customHeight="1">
      <c r="A96" s="424" t="s">
        <v>37</v>
      </c>
      <c r="B96" s="424" t="s">
        <v>38</v>
      </c>
      <c r="C96" s="424" t="s">
        <v>300</v>
      </c>
      <c r="D96" s="427" t="s">
        <v>2987</v>
      </c>
      <c r="E96" s="424" t="s">
        <v>1086</v>
      </c>
      <c r="F96" s="424" t="s">
        <v>1314</v>
      </c>
      <c r="G96" s="424" t="s">
        <v>1314</v>
      </c>
      <c r="H96" s="424" t="s">
        <v>41</v>
      </c>
      <c r="I96" s="424" t="s">
        <v>2118</v>
      </c>
      <c r="J96" s="424" t="s">
        <v>43</v>
      </c>
      <c r="K96" s="424" t="s">
        <v>43</v>
      </c>
      <c r="L96" s="424" t="s">
        <v>43</v>
      </c>
      <c r="M96" s="424" t="s">
        <v>44</v>
      </c>
      <c r="N96" s="424">
        <v>23.829599000000002</v>
      </c>
      <c r="O96" s="424">
        <v>97.590767</v>
      </c>
      <c r="P96" s="424" t="s">
        <v>573</v>
      </c>
      <c r="Q96" s="424" t="s">
        <v>592</v>
      </c>
      <c r="R96" s="436">
        <v>152</v>
      </c>
      <c r="S96" s="429">
        <v>661</v>
      </c>
      <c r="T96" s="441"/>
      <c r="U96" s="430" t="s">
        <v>2610</v>
      </c>
      <c r="V96" s="424" t="s">
        <v>707</v>
      </c>
      <c r="W96" s="424"/>
      <c r="X96" s="427"/>
    </row>
    <row r="97" spans="1:24" s="68" customFormat="1" ht="14.25" customHeight="1">
      <c r="A97" s="424" t="s">
        <v>37</v>
      </c>
      <c r="B97" s="424" t="s">
        <v>38</v>
      </c>
      <c r="C97" s="424" t="s">
        <v>301</v>
      </c>
      <c r="D97" s="427" t="s">
        <v>2987</v>
      </c>
      <c r="E97" s="424" t="s">
        <v>1089</v>
      </c>
      <c r="F97" s="424" t="s">
        <v>1314</v>
      </c>
      <c r="G97" s="424" t="s">
        <v>1314</v>
      </c>
      <c r="H97" s="424" t="s">
        <v>41</v>
      </c>
      <c r="I97" s="424" t="s">
        <v>42</v>
      </c>
      <c r="J97" s="424" t="s">
        <v>43</v>
      </c>
      <c r="K97" s="424" t="s">
        <v>43</v>
      </c>
      <c r="L97" s="424" t="s">
        <v>43</v>
      </c>
      <c r="M97" s="424" t="s">
        <v>44</v>
      </c>
      <c r="N97" s="424">
        <v>23.835319999999999</v>
      </c>
      <c r="O97" s="424">
        <v>97.578490000000002</v>
      </c>
      <c r="P97" s="424" t="s">
        <v>573</v>
      </c>
      <c r="Q97" s="424" t="s">
        <v>592</v>
      </c>
      <c r="R97" s="436">
        <v>625</v>
      </c>
      <c r="S97" s="429">
        <v>3399</v>
      </c>
      <c r="T97" s="441"/>
      <c r="U97" s="430" t="s">
        <v>2610</v>
      </c>
      <c r="V97" s="424" t="s">
        <v>301</v>
      </c>
      <c r="W97" s="424"/>
      <c r="X97" s="427"/>
    </row>
    <row r="98" spans="1:24" s="68" customFormat="1" ht="14.25" customHeight="1">
      <c r="A98" s="424" t="s">
        <v>37</v>
      </c>
      <c r="B98" s="424" t="s">
        <v>38</v>
      </c>
      <c r="C98" s="424" t="s">
        <v>302</v>
      </c>
      <c r="D98" s="427" t="s">
        <v>2987</v>
      </c>
      <c r="E98" s="424" t="s">
        <v>1088</v>
      </c>
      <c r="F98" s="424" t="s">
        <v>1314</v>
      </c>
      <c r="G98" s="424" t="s">
        <v>1314</v>
      </c>
      <c r="H98" s="424" t="s">
        <v>41</v>
      </c>
      <c r="I98" s="424" t="s">
        <v>42</v>
      </c>
      <c r="J98" s="424" t="s">
        <v>43</v>
      </c>
      <c r="K98" s="424" t="s">
        <v>43</v>
      </c>
      <c r="L98" s="424" t="s">
        <v>43</v>
      </c>
      <c r="M98" s="424" t="s">
        <v>44</v>
      </c>
      <c r="N98" s="424">
        <v>23.833477999999999</v>
      </c>
      <c r="O98" s="424">
        <v>97.578367</v>
      </c>
      <c r="P98" s="424" t="s">
        <v>573</v>
      </c>
      <c r="Q98" s="424" t="s">
        <v>592</v>
      </c>
      <c r="R98" s="436">
        <v>141</v>
      </c>
      <c r="S98" s="429">
        <v>832</v>
      </c>
      <c r="T98" s="441"/>
      <c r="U98" s="430" t="s">
        <v>2610</v>
      </c>
      <c r="V98" s="424" t="s">
        <v>708</v>
      </c>
      <c r="W98" s="424"/>
      <c r="X98" s="427"/>
    </row>
    <row r="99" spans="1:24" s="68" customFormat="1" ht="14.25" customHeight="1">
      <c r="A99" s="424" t="s">
        <v>37</v>
      </c>
      <c r="B99" s="424" t="s">
        <v>38</v>
      </c>
      <c r="C99" s="424" t="s">
        <v>841</v>
      </c>
      <c r="D99" s="387"/>
      <c r="E99" s="424"/>
      <c r="F99" s="424"/>
      <c r="G99" s="424"/>
      <c r="H99" s="424"/>
      <c r="I99" s="424"/>
      <c r="J99" s="424" t="s">
        <v>1099</v>
      </c>
      <c r="K99" s="424" t="s">
        <v>43</v>
      </c>
      <c r="L99" s="424" t="s">
        <v>826</v>
      </c>
      <c r="M99" s="424" t="s">
        <v>44</v>
      </c>
      <c r="N99" s="424"/>
      <c r="O99" s="424"/>
      <c r="P99" s="424" t="s">
        <v>573</v>
      </c>
      <c r="Q99" s="424" t="s">
        <v>592</v>
      </c>
      <c r="R99" s="428"/>
      <c r="S99" s="428"/>
      <c r="T99" s="441"/>
      <c r="U99" s="430" t="s">
        <v>823</v>
      </c>
      <c r="V99" s="424" t="s">
        <v>841</v>
      </c>
      <c r="W99" s="424"/>
      <c r="X99" s="387"/>
    </row>
    <row r="100" spans="1:24" s="68" customFormat="1" ht="14.25" customHeight="1">
      <c r="A100" s="424" t="s">
        <v>37</v>
      </c>
      <c r="B100" s="424" t="s">
        <v>38</v>
      </c>
      <c r="C100" s="424" t="s">
        <v>2889</v>
      </c>
      <c r="D100" s="427" t="s">
        <v>2987</v>
      </c>
      <c r="E100" s="424" t="s">
        <v>1083</v>
      </c>
      <c r="F100" s="424" t="s">
        <v>1314</v>
      </c>
      <c r="G100" s="424" t="s">
        <v>1314</v>
      </c>
      <c r="H100" s="424"/>
      <c r="I100" s="424" t="s">
        <v>1619</v>
      </c>
      <c r="J100" s="424" t="s">
        <v>43</v>
      </c>
      <c r="K100" s="424" t="s">
        <v>43</v>
      </c>
      <c r="L100" s="424" t="s">
        <v>2591</v>
      </c>
      <c r="M100" s="424" t="s">
        <v>44</v>
      </c>
      <c r="N100" s="424">
        <v>23.827870999999998</v>
      </c>
      <c r="O100" s="424">
        <v>97.588291999999996</v>
      </c>
      <c r="P100" s="424" t="s">
        <v>585</v>
      </c>
      <c r="Q100" s="424" t="s">
        <v>574</v>
      </c>
      <c r="R100" s="436">
        <v>120</v>
      </c>
      <c r="S100" s="429">
        <v>664</v>
      </c>
      <c r="T100" s="441"/>
      <c r="U100" s="430" t="s">
        <v>2610</v>
      </c>
      <c r="V100" s="424" t="s">
        <v>706</v>
      </c>
      <c r="W100" s="424"/>
      <c r="X100" s="427"/>
    </row>
    <row r="101" spans="1:24" s="68" customFormat="1" ht="14.25" customHeight="1">
      <c r="A101" s="424" t="s">
        <v>37</v>
      </c>
      <c r="B101" s="424" t="s">
        <v>38</v>
      </c>
      <c r="C101" s="424" t="s">
        <v>193</v>
      </c>
      <c r="D101" s="427" t="s">
        <v>2987</v>
      </c>
      <c r="E101" s="424" t="s">
        <v>1109</v>
      </c>
      <c r="F101" s="424" t="s">
        <v>1382</v>
      </c>
      <c r="G101" s="424" t="s">
        <v>1383</v>
      </c>
      <c r="H101" s="424" t="s">
        <v>41</v>
      </c>
      <c r="I101" s="424" t="s">
        <v>2116</v>
      </c>
      <c r="J101" s="424" t="s">
        <v>43</v>
      </c>
      <c r="K101" s="424" t="s">
        <v>43</v>
      </c>
      <c r="L101" s="424" t="s">
        <v>43</v>
      </c>
      <c r="M101" s="424" t="s">
        <v>44</v>
      </c>
      <c r="N101" s="424">
        <v>24.129059999999999</v>
      </c>
      <c r="O101" s="424">
        <v>97.291820000000001</v>
      </c>
      <c r="P101" s="424" t="s">
        <v>573</v>
      </c>
      <c r="Q101" s="424" t="s">
        <v>592</v>
      </c>
      <c r="R101" s="436">
        <v>180</v>
      </c>
      <c r="S101" s="429">
        <v>826</v>
      </c>
      <c r="T101" s="441"/>
      <c r="U101" s="430"/>
      <c r="V101" s="424" t="s">
        <v>193</v>
      </c>
      <c r="W101" s="424"/>
      <c r="X101" s="427"/>
    </row>
    <row r="102" spans="1:24" s="68" customFormat="1" ht="14.25" customHeight="1">
      <c r="A102" s="424" t="s">
        <v>37</v>
      </c>
      <c r="B102" s="424" t="s">
        <v>38</v>
      </c>
      <c r="C102" s="424" t="s">
        <v>2890</v>
      </c>
      <c r="D102" s="427" t="s">
        <v>2987</v>
      </c>
      <c r="E102" s="424" t="s">
        <v>1108</v>
      </c>
      <c r="F102" s="424"/>
      <c r="G102" s="424"/>
      <c r="H102" s="424"/>
      <c r="I102" s="424" t="s">
        <v>1619</v>
      </c>
      <c r="J102" s="424" t="s">
        <v>43</v>
      </c>
      <c r="K102" s="424" t="s">
        <v>43</v>
      </c>
      <c r="L102" s="424" t="s">
        <v>2591</v>
      </c>
      <c r="M102" s="424" t="s">
        <v>44</v>
      </c>
      <c r="N102" s="424">
        <v>24.118618999999999</v>
      </c>
      <c r="O102" s="424">
        <v>97.298055000000005</v>
      </c>
      <c r="P102" s="424" t="s">
        <v>585</v>
      </c>
      <c r="Q102" s="424" t="s">
        <v>574</v>
      </c>
      <c r="R102" s="436">
        <v>67</v>
      </c>
      <c r="S102" s="429">
        <v>325</v>
      </c>
      <c r="T102" s="441"/>
      <c r="U102" s="430" t="s">
        <v>724</v>
      </c>
      <c r="V102" s="424" t="s">
        <v>725</v>
      </c>
      <c r="W102" s="424"/>
      <c r="X102" s="427"/>
    </row>
    <row r="103" spans="1:24" s="68" customFormat="1" ht="14.25" customHeight="1">
      <c r="A103" s="424" t="s">
        <v>37</v>
      </c>
      <c r="B103" s="424" t="s">
        <v>38</v>
      </c>
      <c r="C103" s="424" t="s">
        <v>729</v>
      </c>
      <c r="D103" s="387" t="s">
        <v>1300</v>
      </c>
      <c r="E103" s="424" t="s">
        <v>1118</v>
      </c>
      <c r="F103" s="424" t="s">
        <v>1332</v>
      </c>
      <c r="G103" s="424">
        <v>0</v>
      </c>
      <c r="H103" s="424"/>
      <c r="I103" s="424">
        <v>0</v>
      </c>
      <c r="J103" s="424" t="s">
        <v>43</v>
      </c>
      <c r="K103" s="424" t="s">
        <v>43</v>
      </c>
      <c r="L103" s="424" t="s">
        <v>572</v>
      </c>
      <c r="M103" s="424" t="s">
        <v>590</v>
      </c>
      <c r="N103" s="424">
        <v>24.20645</v>
      </c>
      <c r="O103" s="424">
        <v>96.808850000000007</v>
      </c>
      <c r="P103" s="424" t="s">
        <v>573</v>
      </c>
      <c r="Q103" s="424"/>
      <c r="R103" s="428">
        <v>0</v>
      </c>
      <c r="S103" s="429">
        <v>0</v>
      </c>
      <c r="T103" s="441"/>
      <c r="U103" s="430"/>
      <c r="V103" s="424" t="s">
        <v>729</v>
      </c>
      <c r="W103" s="424" t="s">
        <v>1621</v>
      </c>
      <c r="X103" s="387"/>
    </row>
    <row r="104" spans="1:24" s="68" customFormat="1" ht="14.25" customHeight="1">
      <c r="A104" s="424" t="s">
        <v>37</v>
      </c>
      <c r="B104" s="424" t="s">
        <v>38</v>
      </c>
      <c r="C104" s="424" t="s">
        <v>589</v>
      </c>
      <c r="D104" s="387" t="s">
        <v>1300</v>
      </c>
      <c r="E104" s="424" t="s">
        <v>1043</v>
      </c>
      <c r="F104" s="424" t="s">
        <v>1314</v>
      </c>
      <c r="G104" s="424">
        <v>0</v>
      </c>
      <c r="H104" s="424"/>
      <c r="I104" s="424">
        <v>0</v>
      </c>
      <c r="J104" s="424" t="s">
        <v>43</v>
      </c>
      <c r="K104" s="424" t="s">
        <v>43</v>
      </c>
      <c r="L104" s="424" t="s">
        <v>572</v>
      </c>
      <c r="M104" s="424" t="s">
        <v>590</v>
      </c>
      <c r="N104" s="424"/>
      <c r="O104" s="424"/>
      <c r="P104" s="424" t="s">
        <v>573</v>
      </c>
      <c r="Q104" s="424"/>
      <c r="R104" s="428">
        <v>0</v>
      </c>
      <c r="S104" s="429">
        <v>0</v>
      </c>
      <c r="T104" s="441"/>
      <c r="U104" s="430"/>
      <c r="V104" s="424" t="s">
        <v>589</v>
      </c>
      <c r="W104" s="424" t="s">
        <v>1644</v>
      </c>
      <c r="X104" s="387"/>
    </row>
    <row r="105" spans="1:24" s="68" customFormat="1" ht="14.25" customHeight="1">
      <c r="A105" s="424" t="s">
        <v>37</v>
      </c>
      <c r="B105" s="424" t="s">
        <v>38</v>
      </c>
      <c r="C105" s="424" t="s">
        <v>704</v>
      </c>
      <c r="D105" s="387" t="s">
        <v>1300</v>
      </c>
      <c r="E105" s="424" t="s">
        <v>1080</v>
      </c>
      <c r="F105" s="424" t="s">
        <v>1316</v>
      </c>
      <c r="G105" s="424">
        <v>0</v>
      </c>
      <c r="H105" s="424"/>
      <c r="I105" s="424">
        <v>0</v>
      </c>
      <c r="J105" s="424" t="s">
        <v>43</v>
      </c>
      <c r="K105" s="424" t="s">
        <v>43</v>
      </c>
      <c r="L105" s="424" t="s">
        <v>572</v>
      </c>
      <c r="M105" s="424" t="s">
        <v>590</v>
      </c>
      <c r="N105" s="424">
        <v>23.75817</v>
      </c>
      <c r="O105" s="424">
        <v>97.132339999999999</v>
      </c>
      <c r="P105" s="424" t="s">
        <v>573</v>
      </c>
      <c r="Q105" s="424"/>
      <c r="R105" s="428">
        <v>0</v>
      </c>
      <c r="S105" s="429">
        <v>0</v>
      </c>
      <c r="T105" s="441"/>
      <c r="U105" s="430"/>
      <c r="V105" s="424" t="s">
        <v>704</v>
      </c>
      <c r="W105" s="424" t="s">
        <v>1621</v>
      </c>
      <c r="X105" s="387"/>
    </row>
    <row r="106" spans="1:24" s="68" customFormat="1" ht="14.25" customHeight="1">
      <c r="A106" s="424" t="s">
        <v>37</v>
      </c>
      <c r="B106" s="426" t="s">
        <v>38</v>
      </c>
      <c r="C106" s="426" t="s">
        <v>593</v>
      </c>
      <c r="D106" s="387" t="s">
        <v>1300</v>
      </c>
      <c r="E106" s="424" t="s">
        <v>1046</v>
      </c>
      <c r="F106" s="424" t="s">
        <v>1316</v>
      </c>
      <c r="G106" s="424">
        <v>0</v>
      </c>
      <c r="H106" s="424"/>
      <c r="I106" s="424">
        <v>0</v>
      </c>
      <c r="J106" s="424" t="s">
        <v>43</v>
      </c>
      <c r="K106" s="424" t="s">
        <v>43</v>
      </c>
      <c r="L106" s="424" t="s">
        <v>572</v>
      </c>
      <c r="M106" s="424" t="s">
        <v>590</v>
      </c>
      <c r="N106" s="424"/>
      <c r="O106" s="424"/>
      <c r="P106" s="424" t="s">
        <v>573</v>
      </c>
      <c r="Q106" s="424"/>
      <c r="R106" s="428">
        <v>0</v>
      </c>
      <c r="S106" s="429">
        <v>0</v>
      </c>
      <c r="T106" s="441"/>
      <c r="U106" s="430"/>
      <c r="V106" s="424" t="s">
        <v>593</v>
      </c>
      <c r="W106" s="424" t="s">
        <v>1621</v>
      </c>
      <c r="X106" s="387"/>
    </row>
    <row r="107" spans="1:24" s="68" customFormat="1" ht="14.25" customHeight="1">
      <c r="A107" s="424" t="s">
        <v>37</v>
      </c>
      <c r="B107" s="426" t="s">
        <v>38</v>
      </c>
      <c r="C107" s="426" t="s">
        <v>705</v>
      </c>
      <c r="D107" s="387" t="s">
        <v>1300</v>
      </c>
      <c r="E107" s="424" t="s">
        <v>1081</v>
      </c>
      <c r="F107" s="424" t="s">
        <v>1316</v>
      </c>
      <c r="G107" s="424">
        <v>0</v>
      </c>
      <c r="H107" s="424"/>
      <c r="I107" s="424">
        <v>0</v>
      </c>
      <c r="J107" s="424" t="s">
        <v>43</v>
      </c>
      <c r="K107" s="424" t="s">
        <v>43</v>
      </c>
      <c r="L107" s="424" t="s">
        <v>572</v>
      </c>
      <c r="M107" s="424" t="s">
        <v>590</v>
      </c>
      <c r="N107" s="424">
        <v>23.75817</v>
      </c>
      <c r="O107" s="424">
        <v>97.132339999999999</v>
      </c>
      <c r="P107" s="424" t="s">
        <v>573</v>
      </c>
      <c r="Q107" s="424"/>
      <c r="R107" s="428">
        <v>0</v>
      </c>
      <c r="S107" s="429">
        <v>0</v>
      </c>
      <c r="T107" s="441"/>
      <c r="U107" s="430"/>
      <c r="V107" s="424" t="s">
        <v>705</v>
      </c>
      <c r="W107" s="424" t="s">
        <v>1645</v>
      </c>
      <c r="X107" s="387"/>
    </row>
    <row r="108" spans="1:24" s="68" customFormat="1" ht="14.25" customHeight="1">
      <c r="A108" s="429" t="s">
        <v>37</v>
      </c>
      <c r="B108" s="432" t="s">
        <v>38</v>
      </c>
      <c r="C108" s="433" t="s">
        <v>601</v>
      </c>
      <c r="D108" s="387" t="s">
        <v>1300</v>
      </c>
      <c r="E108" s="424" t="s">
        <v>1051</v>
      </c>
      <c r="F108" s="424">
        <v>0</v>
      </c>
      <c r="G108" s="424">
        <v>0</v>
      </c>
      <c r="H108" s="424"/>
      <c r="I108" s="424">
        <v>0</v>
      </c>
      <c r="J108" s="424" t="s">
        <v>43</v>
      </c>
      <c r="K108" s="424" t="s">
        <v>43</v>
      </c>
      <c r="L108" s="424" t="s">
        <v>572</v>
      </c>
      <c r="M108" s="424" t="s">
        <v>44</v>
      </c>
      <c r="N108" s="424"/>
      <c r="O108" s="424"/>
      <c r="P108" s="424" t="s">
        <v>573</v>
      </c>
      <c r="Q108" s="424"/>
      <c r="R108" s="428">
        <v>0</v>
      </c>
      <c r="S108" s="428">
        <v>0</v>
      </c>
      <c r="T108" s="441"/>
      <c r="U108" s="430"/>
      <c r="V108" s="428"/>
      <c r="W108" s="428" t="s">
        <v>1646</v>
      </c>
      <c r="X108" s="387"/>
    </row>
    <row r="109" spans="1:24" s="68" customFormat="1" ht="14.25" customHeight="1">
      <c r="A109" s="429" t="s">
        <v>37</v>
      </c>
      <c r="B109" s="432" t="s">
        <v>38</v>
      </c>
      <c r="C109" s="433" t="s">
        <v>139</v>
      </c>
      <c r="D109" s="427"/>
      <c r="E109" s="424"/>
      <c r="F109" s="424"/>
      <c r="G109" s="424"/>
      <c r="H109" s="424"/>
      <c r="I109" s="424"/>
      <c r="J109" s="424" t="s">
        <v>1099</v>
      </c>
      <c r="K109" s="424" t="s">
        <v>43</v>
      </c>
      <c r="L109" s="424" t="s">
        <v>43</v>
      </c>
      <c r="M109" s="424" t="s">
        <v>44</v>
      </c>
      <c r="N109" s="424"/>
      <c r="O109" s="424"/>
      <c r="P109" s="424" t="s">
        <v>573</v>
      </c>
      <c r="Q109" s="424" t="s">
        <v>592</v>
      </c>
      <c r="R109" s="436"/>
      <c r="S109" s="429"/>
      <c r="T109" s="441">
        <v>42747</v>
      </c>
      <c r="U109" s="436" t="s">
        <v>823</v>
      </c>
      <c r="V109" s="424"/>
      <c r="W109" s="428"/>
      <c r="X109" s="427"/>
    </row>
    <row r="110" spans="1:24" s="68" customFormat="1" ht="14.25" customHeight="1">
      <c r="A110" s="433" t="s">
        <v>37</v>
      </c>
      <c r="B110" s="432" t="s">
        <v>38</v>
      </c>
      <c r="C110" s="426" t="s">
        <v>2584</v>
      </c>
      <c r="D110" s="427" t="s">
        <v>2987</v>
      </c>
      <c r="E110" s="424" t="s">
        <v>2577</v>
      </c>
      <c r="F110" s="424" t="s">
        <v>2593</v>
      </c>
      <c r="G110" s="424" t="s">
        <v>2593</v>
      </c>
      <c r="H110" s="424"/>
      <c r="I110" s="424"/>
      <c r="J110" s="424" t="s">
        <v>620</v>
      </c>
      <c r="K110" s="424" t="s">
        <v>620</v>
      </c>
      <c r="L110" s="424" t="s">
        <v>2881</v>
      </c>
      <c r="M110" s="424" t="s">
        <v>44</v>
      </c>
      <c r="N110" s="424">
        <v>24.109690000000001</v>
      </c>
      <c r="O110" s="424">
        <v>97.241101</v>
      </c>
      <c r="P110" s="426"/>
      <c r="Q110" s="424" t="s">
        <v>2592</v>
      </c>
      <c r="R110" s="436">
        <v>86</v>
      </c>
      <c r="S110" s="429">
        <v>450</v>
      </c>
      <c r="T110" s="441">
        <v>44166</v>
      </c>
      <c r="U110" s="430"/>
      <c r="V110" s="424"/>
      <c r="W110" s="360"/>
      <c r="X110" s="427"/>
    </row>
    <row r="111" spans="1:24" s="68" customFormat="1" ht="14.25" customHeight="1">
      <c r="A111" s="424" t="s">
        <v>37</v>
      </c>
      <c r="B111" s="424" t="s">
        <v>38</v>
      </c>
      <c r="C111" s="424" t="s">
        <v>2202</v>
      </c>
      <c r="D111" s="387"/>
      <c r="E111" s="424"/>
      <c r="F111" s="424"/>
      <c r="G111" s="424"/>
      <c r="H111" s="424"/>
      <c r="I111" s="424"/>
      <c r="J111" s="424" t="s">
        <v>1099</v>
      </c>
      <c r="K111" s="424" t="s">
        <v>43</v>
      </c>
      <c r="L111" s="424" t="s">
        <v>826</v>
      </c>
      <c r="M111" s="424" t="s">
        <v>44</v>
      </c>
      <c r="N111" s="424"/>
      <c r="O111" s="424"/>
      <c r="P111" s="424" t="s">
        <v>573</v>
      </c>
      <c r="Q111" s="424" t="s">
        <v>2173</v>
      </c>
      <c r="R111" s="428"/>
      <c r="S111" s="428"/>
      <c r="T111" s="441">
        <v>43749</v>
      </c>
      <c r="U111" s="430"/>
      <c r="V111" s="424"/>
      <c r="W111" s="424"/>
      <c r="X111" s="387"/>
    </row>
    <row r="112" spans="1:24" s="68" customFormat="1" ht="14.25" customHeight="1">
      <c r="A112" s="433" t="s">
        <v>37</v>
      </c>
      <c r="B112" s="432" t="s">
        <v>152</v>
      </c>
      <c r="C112" s="433" t="s">
        <v>1546</v>
      </c>
      <c r="D112" s="427" t="s">
        <v>2987</v>
      </c>
      <c r="E112" s="424" t="s">
        <v>1552</v>
      </c>
      <c r="F112" s="424"/>
      <c r="G112" s="424"/>
      <c r="H112" s="424"/>
      <c r="I112" s="424" t="s">
        <v>1619</v>
      </c>
      <c r="J112" s="424" t="s">
        <v>43</v>
      </c>
      <c r="K112" s="426" t="s">
        <v>43</v>
      </c>
      <c r="L112" s="426" t="s">
        <v>588</v>
      </c>
      <c r="M112" s="424" t="s">
        <v>44</v>
      </c>
      <c r="N112" s="424">
        <v>25.30274</v>
      </c>
      <c r="O112" s="424">
        <v>96.940380000000005</v>
      </c>
      <c r="P112" s="424" t="s">
        <v>573</v>
      </c>
      <c r="Q112" s="424" t="s">
        <v>1530</v>
      </c>
      <c r="R112" s="436">
        <v>5</v>
      </c>
      <c r="S112" s="429">
        <v>32</v>
      </c>
      <c r="T112" s="441">
        <v>43276</v>
      </c>
      <c r="U112" s="430" t="s">
        <v>1578</v>
      </c>
      <c r="V112" s="424"/>
      <c r="W112" s="424" t="s">
        <v>1738</v>
      </c>
      <c r="X112" s="427"/>
    </row>
    <row r="113" spans="1:24" s="68" customFormat="1" ht="14.25" customHeight="1">
      <c r="A113" s="433" t="s">
        <v>37</v>
      </c>
      <c r="B113" s="432" t="s">
        <v>152</v>
      </c>
      <c r="C113" s="426" t="s">
        <v>153</v>
      </c>
      <c r="D113" s="427" t="s">
        <v>2987</v>
      </c>
      <c r="E113" s="424" t="s">
        <v>1173</v>
      </c>
      <c r="F113" s="424" t="s">
        <v>1365</v>
      </c>
      <c r="G113" s="424" t="s">
        <v>1417</v>
      </c>
      <c r="H113" s="424" t="s">
        <v>41</v>
      </c>
      <c r="I113" s="424" t="s">
        <v>2117</v>
      </c>
      <c r="J113" s="424" t="s">
        <v>43</v>
      </c>
      <c r="K113" s="424" t="s">
        <v>43</v>
      </c>
      <c r="L113" s="426" t="s">
        <v>43</v>
      </c>
      <c r="M113" s="424" t="s">
        <v>44</v>
      </c>
      <c r="N113" s="424">
        <v>25.305669999999999</v>
      </c>
      <c r="O113" s="424">
        <v>96.922619999999995</v>
      </c>
      <c r="P113" s="426" t="s">
        <v>573</v>
      </c>
      <c r="Q113" s="424" t="s">
        <v>592</v>
      </c>
      <c r="R113" s="436">
        <v>13</v>
      </c>
      <c r="S113" s="429">
        <v>77</v>
      </c>
      <c r="T113" s="441"/>
      <c r="U113" s="430"/>
      <c r="V113" s="424" t="s">
        <v>153</v>
      </c>
      <c r="W113" s="360"/>
      <c r="X113" s="427"/>
    </row>
    <row r="114" spans="1:24" s="68" customFormat="1" ht="14.25" customHeight="1">
      <c r="A114" s="433" t="s">
        <v>37</v>
      </c>
      <c r="B114" s="432" t="s">
        <v>152</v>
      </c>
      <c r="C114" s="426" t="s">
        <v>1575</v>
      </c>
      <c r="D114" s="427"/>
      <c r="E114" s="424"/>
      <c r="F114" s="424"/>
      <c r="G114" s="424"/>
      <c r="H114" s="424"/>
      <c r="I114" s="424"/>
      <c r="J114" s="424" t="s">
        <v>1099</v>
      </c>
      <c r="K114" s="424" t="s">
        <v>43</v>
      </c>
      <c r="L114" s="424" t="s">
        <v>588</v>
      </c>
      <c r="M114" s="424"/>
      <c r="N114" s="424"/>
      <c r="O114" s="424"/>
      <c r="P114" s="424" t="s">
        <v>573</v>
      </c>
      <c r="Q114" s="424" t="s">
        <v>1530</v>
      </c>
      <c r="R114" s="436"/>
      <c r="S114" s="429"/>
      <c r="T114" s="441">
        <v>43285</v>
      </c>
      <c r="U114" s="430" t="s">
        <v>1580</v>
      </c>
      <c r="V114" s="424"/>
      <c r="W114" s="424"/>
      <c r="X114" s="427"/>
    </row>
    <row r="115" spans="1:24" s="68" customFormat="1" ht="14.25" customHeight="1">
      <c r="A115" s="424" t="s">
        <v>37</v>
      </c>
      <c r="B115" s="424" t="s">
        <v>152</v>
      </c>
      <c r="C115" s="424" t="s">
        <v>1533</v>
      </c>
      <c r="D115" s="387"/>
      <c r="E115" s="424"/>
      <c r="F115" s="424"/>
      <c r="G115" s="424"/>
      <c r="H115" s="424"/>
      <c r="I115" s="424"/>
      <c r="J115" s="424" t="s">
        <v>1099</v>
      </c>
      <c r="K115" s="424" t="s">
        <v>43</v>
      </c>
      <c r="L115" s="424" t="s">
        <v>43</v>
      </c>
      <c r="M115" s="424" t="s">
        <v>44</v>
      </c>
      <c r="N115" s="424"/>
      <c r="O115" s="424"/>
      <c r="P115" s="424" t="s">
        <v>573</v>
      </c>
      <c r="Q115" s="424" t="s">
        <v>1530</v>
      </c>
      <c r="R115" s="428"/>
      <c r="S115" s="428"/>
      <c r="T115" s="441">
        <v>43270</v>
      </c>
      <c r="U115" s="430"/>
      <c r="V115" s="424"/>
      <c r="W115" s="424"/>
      <c r="X115" s="387"/>
    </row>
    <row r="116" spans="1:24" s="68" customFormat="1" ht="14.25" customHeight="1">
      <c r="A116" s="424" t="s">
        <v>37</v>
      </c>
      <c r="B116" s="424" t="s">
        <v>152</v>
      </c>
      <c r="C116" s="424" t="s">
        <v>1532</v>
      </c>
      <c r="D116" s="387"/>
      <c r="E116" s="424"/>
      <c r="F116" s="424"/>
      <c r="G116" s="424"/>
      <c r="H116" s="424"/>
      <c r="I116" s="424"/>
      <c r="J116" s="424" t="s">
        <v>1099</v>
      </c>
      <c r="K116" s="424" t="s">
        <v>43</v>
      </c>
      <c r="L116" s="424" t="s">
        <v>43</v>
      </c>
      <c r="M116" s="424" t="s">
        <v>44</v>
      </c>
      <c r="N116" s="424"/>
      <c r="O116" s="424"/>
      <c r="P116" s="424" t="s">
        <v>573</v>
      </c>
      <c r="Q116" s="424" t="s">
        <v>1530</v>
      </c>
      <c r="R116" s="428"/>
      <c r="S116" s="429"/>
      <c r="T116" s="441">
        <v>43270</v>
      </c>
      <c r="U116" s="430"/>
      <c r="V116" s="424"/>
      <c r="W116" s="360"/>
      <c r="X116" s="387"/>
    </row>
    <row r="117" spans="1:24" s="68" customFormat="1" ht="14.25" customHeight="1">
      <c r="A117" s="433" t="s">
        <v>37</v>
      </c>
      <c r="B117" s="432" t="s">
        <v>152</v>
      </c>
      <c r="C117" s="426" t="s">
        <v>1613</v>
      </c>
      <c r="D117" s="427" t="s">
        <v>2987</v>
      </c>
      <c r="E117" s="424" t="s">
        <v>1169</v>
      </c>
      <c r="F117" s="424"/>
      <c r="G117" s="424"/>
      <c r="H117" s="424" t="s">
        <v>41</v>
      </c>
      <c r="I117" s="424" t="s">
        <v>2117</v>
      </c>
      <c r="J117" s="424" t="s">
        <v>43</v>
      </c>
      <c r="K117" s="424" t="s">
        <v>43</v>
      </c>
      <c r="L117" s="426" t="s">
        <v>43</v>
      </c>
      <c r="M117" s="424" t="s">
        <v>44</v>
      </c>
      <c r="N117" s="424">
        <v>25.296579999999999</v>
      </c>
      <c r="O117" s="424">
        <v>96.942279999999997</v>
      </c>
      <c r="P117" s="426" t="s">
        <v>573</v>
      </c>
      <c r="Q117" s="424" t="s">
        <v>592</v>
      </c>
      <c r="R117" s="436">
        <v>16</v>
      </c>
      <c r="S117" s="429">
        <v>74</v>
      </c>
      <c r="T117" s="441"/>
      <c r="U117" s="434"/>
      <c r="V117" s="424" t="s">
        <v>154</v>
      </c>
      <c r="W117" s="360"/>
      <c r="X117" s="427"/>
    </row>
    <row r="118" spans="1:24" s="68" customFormat="1" ht="14.25" customHeight="1">
      <c r="A118" s="429" t="s">
        <v>37</v>
      </c>
      <c r="B118" s="432" t="s">
        <v>152</v>
      </c>
      <c r="C118" s="433" t="s">
        <v>240</v>
      </c>
      <c r="D118" s="427" t="s">
        <v>2256</v>
      </c>
      <c r="E118" s="424" t="s">
        <v>1170</v>
      </c>
      <c r="F118" s="424" t="s">
        <v>1414</v>
      </c>
      <c r="G118" s="424" t="s">
        <v>1415</v>
      </c>
      <c r="H118" s="424"/>
      <c r="I118" s="424">
        <v>0</v>
      </c>
      <c r="J118" s="424" t="s">
        <v>43</v>
      </c>
      <c r="K118" s="424" t="s">
        <v>43</v>
      </c>
      <c r="L118" s="424" t="s">
        <v>43</v>
      </c>
      <c r="M118" s="424" t="s">
        <v>44</v>
      </c>
      <c r="N118" s="424">
        <v>25.299679999999999</v>
      </c>
      <c r="O118" s="424">
        <v>96.942279999999997</v>
      </c>
      <c r="P118" s="424" t="s">
        <v>573</v>
      </c>
      <c r="Q118" s="424" t="s">
        <v>592</v>
      </c>
      <c r="R118" s="436"/>
      <c r="S118" s="429"/>
      <c r="T118" s="441">
        <v>42836</v>
      </c>
      <c r="U118" s="430" t="s">
        <v>2121</v>
      </c>
      <c r="V118" s="424" t="s">
        <v>240</v>
      </c>
      <c r="W118" s="424" t="s">
        <v>1647</v>
      </c>
      <c r="X118" s="427"/>
    </row>
    <row r="119" spans="1:24" s="68" customFormat="1" ht="14.25" customHeight="1">
      <c r="A119" s="433" t="s">
        <v>37</v>
      </c>
      <c r="B119" s="432" t="s">
        <v>152</v>
      </c>
      <c r="C119" s="426" t="s">
        <v>2607</v>
      </c>
      <c r="D119" s="387"/>
      <c r="E119" s="424"/>
      <c r="F119" s="424"/>
      <c r="G119" s="424"/>
      <c r="H119" s="424"/>
      <c r="I119" s="424"/>
      <c r="J119" s="424" t="s">
        <v>1099</v>
      </c>
      <c r="K119" s="424" t="s">
        <v>43</v>
      </c>
      <c r="L119" s="424" t="s">
        <v>588</v>
      </c>
      <c r="M119" s="424" t="s">
        <v>44</v>
      </c>
      <c r="N119" s="424"/>
      <c r="O119" s="424"/>
      <c r="P119" s="426" t="s">
        <v>573</v>
      </c>
      <c r="Q119" s="424"/>
      <c r="R119" s="428"/>
      <c r="S119" s="428"/>
      <c r="T119" s="441">
        <v>43298</v>
      </c>
      <c r="U119" s="434"/>
      <c r="V119" s="424"/>
      <c r="W119" s="360"/>
      <c r="X119" s="387"/>
    </row>
    <row r="120" spans="1:24" s="68" customFormat="1" ht="14.25" customHeight="1">
      <c r="A120" s="424" t="s">
        <v>37</v>
      </c>
      <c r="B120" s="424" t="s">
        <v>152</v>
      </c>
      <c r="C120" s="424" t="s">
        <v>848</v>
      </c>
      <c r="D120" s="387" t="s">
        <v>1300</v>
      </c>
      <c r="E120" s="424" t="s">
        <v>1559</v>
      </c>
      <c r="F120" s="424" t="s">
        <v>1365</v>
      </c>
      <c r="G120" s="424" t="s">
        <v>848</v>
      </c>
      <c r="H120" s="424"/>
      <c r="I120" s="424">
        <v>0</v>
      </c>
      <c r="J120" s="424" t="s">
        <v>43</v>
      </c>
      <c r="K120" s="424" t="s">
        <v>43</v>
      </c>
      <c r="L120" s="424" t="s">
        <v>572</v>
      </c>
      <c r="M120" s="424" t="s">
        <v>44</v>
      </c>
      <c r="N120" s="424"/>
      <c r="O120" s="424"/>
      <c r="P120" s="424" t="s">
        <v>573</v>
      </c>
      <c r="Q120" s="424" t="s">
        <v>667</v>
      </c>
      <c r="R120" s="428"/>
      <c r="S120" s="428"/>
      <c r="T120" s="441"/>
      <c r="U120" s="430" t="s">
        <v>849</v>
      </c>
      <c r="V120" s="424"/>
      <c r="W120" s="424" t="s">
        <v>1648</v>
      </c>
      <c r="X120" s="387"/>
    </row>
    <row r="121" spans="1:24" s="68" customFormat="1" ht="14.25" customHeight="1">
      <c r="A121" s="424" t="s">
        <v>37</v>
      </c>
      <c r="B121" s="426" t="s">
        <v>152</v>
      </c>
      <c r="C121" s="426" t="s">
        <v>1612</v>
      </c>
      <c r="D121" s="427" t="s">
        <v>2987</v>
      </c>
      <c r="E121" s="424" t="s">
        <v>1551</v>
      </c>
      <c r="F121" s="424"/>
      <c r="G121" s="424"/>
      <c r="H121" s="424"/>
      <c r="I121" s="424" t="s">
        <v>2117</v>
      </c>
      <c r="J121" s="424" t="s">
        <v>43</v>
      </c>
      <c r="K121" s="424" t="s">
        <v>43</v>
      </c>
      <c r="L121" s="424" t="s">
        <v>43</v>
      </c>
      <c r="M121" s="424" t="s">
        <v>44</v>
      </c>
      <c r="N121" s="424">
        <v>25.2226</v>
      </c>
      <c r="O121" s="424">
        <v>97.012299999999996</v>
      </c>
      <c r="P121" s="424" t="s">
        <v>573</v>
      </c>
      <c r="Q121" s="424" t="s">
        <v>1530</v>
      </c>
      <c r="R121" s="436">
        <v>110</v>
      </c>
      <c r="S121" s="429">
        <v>590</v>
      </c>
      <c r="T121" s="441">
        <v>43276</v>
      </c>
      <c r="U121" s="430" t="s">
        <v>1579</v>
      </c>
      <c r="V121" s="426" t="s">
        <v>1612</v>
      </c>
      <c r="W121" s="360" t="s">
        <v>1740</v>
      </c>
      <c r="X121" s="427"/>
    </row>
    <row r="122" spans="1:24" s="68" customFormat="1" ht="14.25" customHeight="1">
      <c r="A122" s="424" t="s">
        <v>37</v>
      </c>
      <c r="B122" s="426" t="s">
        <v>152</v>
      </c>
      <c r="C122" s="426" t="s">
        <v>155</v>
      </c>
      <c r="D122" s="427" t="s">
        <v>2987</v>
      </c>
      <c r="E122" s="424" t="s">
        <v>1171</v>
      </c>
      <c r="F122" s="424" t="s">
        <v>1365</v>
      </c>
      <c r="G122" s="424" t="s">
        <v>1416</v>
      </c>
      <c r="H122" s="424" t="s">
        <v>41</v>
      </c>
      <c r="I122" s="424" t="s">
        <v>2117</v>
      </c>
      <c r="J122" s="424" t="s">
        <v>43</v>
      </c>
      <c r="K122" s="424" t="s">
        <v>43</v>
      </c>
      <c r="L122" s="424" t="s">
        <v>43</v>
      </c>
      <c r="M122" s="424" t="s">
        <v>44</v>
      </c>
      <c r="N122" s="424">
        <v>25.30442</v>
      </c>
      <c r="O122" s="424">
        <v>96.948740000000001</v>
      </c>
      <c r="P122" s="424" t="s">
        <v>573</v>
      </c>
      <c r="Q122" s="424" t="s">
        <v>592</v>
      </c>
      <c r="R122" s="436">
        <v>10</v>
      </c>
      <c r="S122" s="429">
        <v>48</v>
      </c>
      <c r="T122" s="441"/>
      <c r="U122" s="430"/>
      <c r="V122" s="424" t="s">
        <v>155</v>
      </c>
      <c r="W122" s="424"/>
      <c r="X122" s="427"/>
    </row>
    <row r="123" spans="1:24" s="68" customFormat="1" ht="14.25" customHeight="1">
      <c r="A123" s="424" t="s">
        <v>37</v>
      </c>
      <c r="B123" s="424" t="s">
        <v>152</v>
      </c>
      <c r="C123" s="424" t="s">
        <v>768</v>
      </c>
      <c r="D123" s="387" t="s">
        <v>1300</v>
      </c>
      <c r="E123" s="424" t="s">
        <v>1166</v>
      </c>
      <c r="F123" s="424" t="s">
        <v>1347</v>
      </c>
      <c r="G123" s="424" t="s">
        <v>1347</v>
      </c>
      <c r="H123" s="424"/>
      <c r="I123" s="424">
        <v>0</v>
      </c>
      <c r="J123" s="424" t="s">
        <v>43</v>
      </c>
      <c r="K123" s="424" t="s">
        <v>43</v>
      </c>
      <c r="L123" s="424" t="s">
        <v>572</v>
      </c>
      <c r="M123" s="424" t="s">
        <v>44</v>
      </c>
      <c r="N123" s="424">
        <v>25.225000000000001</v>
      </c>
      <c r="O123" s="424">
        <v>96.793999999999997</v>
      </c>
      <c r="P123" s="424" t="s">
        <v>585</v>
      </c>
      <c r="Q123" s="424" t="s">
        <v>592</v>
      </c>
      <c r="R123" s="428">
        <v>0</v>
      </c>
      <c r="S123" s="428">
        <v>0</v>
      </c>
      <c r="T123" s="441">
        <v>42983</v>
      </c>
      <c r="U123" s="430" t="s">
        <v>769</v>
      </c>
      <c r="V123" s="424" t="s">
        <v>770</v>
      </c>
      <c r="W123" s="424" t="s">
        <v>1649</v>
      </c>
      <c r="X123" s="387"/>
    </row>
    <row r="124" spans="1:24" s="68" customFormat="1" ht="14.25" customHeight="1">
      <c r="A124" s="424" t="s">
        <v>37</v>
      </c>
      <c r="B124" s="424" t="s">
        <v>152</v>
      </c>
      <c r="C124" s="424" t="s">
        <v>156</v>
      </c>
      <c r="D124" s="427" t="s">
        <v>2987</v>
      </c>
      <c r="E124" s="424" t="s">
        <v>1167</v>
      </c>
      <c r="F124" s="424" t="s">
        <v>1347</v>
      </c>
      <c r="G124" s="424" t="s">
        <v>1347</v>
      </c>
      <c r="H124" s="424" t="s">
        <v>41</v>
      </c>
      <c r="I124" s="424" t="s">
        <v>2117</v>
      </c>
      <c r="J124" s="424" t="s">
        <v>43</v>
      </c>
      <c r="K124" s="424" t="s">
        <v>43</v>
      </c>
      <c r="L124" s="424" t="s">
        <v>43</v>
      </c>
      <c r="M124" s="424" t="s">
        <v>44</v>
      </c>
      <c r="N124" s="424">
        <v>25.225000000000001</v>
      </c>
      <c r="O124" s="424">
        <v>96.793999999999997</v>
      </c>
      <c r="P124" s="424" t="s">
        <v>573</v>
      </c>
      <c r="Q124" s="424" t="s">
        <v>592</v>
      </c>
      <c r="R124" s="436">
        <v>26</v>
      </c>
      <c r="S124" s="429">
        <v>137</v>
      </c>
      <c r="T124" s="441"/>
      <c r="U124" s="430"/>
      <c r="V124" s="424" t="s">
        <v>156</v>
      </c>
      <c r="W124" s="424"/>
      <c r="X124" s="427"/>
    </row>
    <row r="125" spans="1:24" s="68" customFormat="1" ht="14.25" customHeight="1">
      <c r="A125" s="424" t="s">
        <v>37</v>
      </c>
      <c r="B125" s="424" t="s">
        <v>152</v>
      </c>
      <c r="C125" s="424" t="s">
        <v>2893</v>
      </c>
      <c r="D125" s="427" t="s">
        <v>2987</v>
      </c>
      <c r="E125" s="424" t="s">
        <v>1549</v>
      </c>
      <c r="F125" s="424"/>
      <c r="G125" s="424"/>
      <c r="H125" s="424"/>
      <c r="I125" s="424" t="s">
        <v>1035</v>
      </c>
      <c r="J125" s="424" t="s">
        <v>43</v>
      </c>
      <c r="K125" s="424" t="s">
        <v>43</v>
      </c>
      <c r="L125" s="424" t="s">
        <v>43</v>
      </c>
      <c r="M125" s="424" t="s">
        <v>44</v>
      </c>
      <c r="N125" s="424">
        <v>25.383058999999999</v>
      </c>
      <c r="O125" s="424">
        <v>97.014313000000001</v>
      </c>
      <c r="P125" s="424" t="s">
        <v>573</v>
      </c>
      <c r="Q125" s="424" t="s">
        <v>1530</v>
      </c>
      <c r="R125" s="436">
        <v>48</v>
      </c>
      <c r="S125" s="429">
        <v>275</v>
      </c>
      <c r="T125" s="441">
        <v>43276</v>
      </c>
      <c r="U125" s="430" t="s">
        <v>1579</v>
      </c>
      <c r="V125" s="424" t="s">
        <v>1544</v>
      </c>
      <c r="W125" s="424" t="s">
        <v>1739</v>
      </c>
      <c r="X125" s="427"/>
    </row>
    <row r="126" spans="1:24" s="68" customFormat="1" ht="14.25" customHeight="1">
      <c r="A126" s="433" t="s">
        <v>37</v>
      </c>
      <c r="B126" s="432" t="s">
        <v>152</v>
      </c>
      <c r="C126" s="426" t="s">
        <v>2894</v>
      </c>
      <c r="D126" s="427" t="s">
        <v>2987</v>
      </c>
      <c r="E126" s="424" t="s">
        <v>1550</v>
      </c>
      <c r="F126" s="424"/>
      <c r="G126" s="424"/>
      <c r="H126" s="424"/>
      <c r="I126" s="424" t="s">
        <v>1035</v>
      </c>
      <c r="J126" s="424" t="s">
        <v>43</v>
      </c>
      <c r="K126" s="424" t="s">
        <v>43</v>
      </c>
      <c r="L126" s="424" t="s">
        <v>43</v>
      </c>
      <c r="M126" s="424" t="s">
        <v>44</v>
      </c>
      <c r="N126" s="424">
        <v>25.383058999999999</v>
      </c>
      <c r="O126" s="424">
        <v>97.014313000000001</v>
      </c>
      <c r="P126" s="424" t="s">
        <v>573</v>
      </c>
      <c r="Q126" s="424" t="s">
        <v>1530</v>
      </c>
      <c r="R126" s="436">
        <v>83</v>
      </c>
      <c r="S126" s="429">
        <v>430</v>
      </c>
      <c r="T126" s="441">
        <v>43276</v>
      </c>
      <c r="U126" s="430" t="s">
        <v>1712</v>
      </c>
      <c r="V126" s="426" t="s">
        <v>1545</v>
      </c>
      <c r="W126" s="424" t="s">
        <v>1739</v>
      </c>
      <c r="X126" s="427"/>
    </row>
    <row r="127" spans="1:24" s="68" customFormat="1" ht="14.25" customHeight="1">
      <c r="A127" s="424" t="s">
        <v>37</v>
      </c>
      <c r="B127" s="424" t="s">
        <v>157</v>
      </c>
      <c r="C127" s="424" t="s">
        <v>2891</v>
      </c>
      <c r="D127" s="427" t="s">
        <v>2987</v>
      </c>
      <c r="E127" s="424" t="s">
        <v>1159</v>
      </c>
      <c r="F127" s="424" t="s">
        <v>1463</v>
      </c>
      <c r="G127" s="424" t="s">
        <v>1464</v>
      </c>
      <c r="H127" s="424"/>
      <c r="I127" s="424" t="s">
        <v>1619</v>
      </c>
      <c r="J127" s="424" t="s">
        <v>43</v>
      </c>
      <c r="K127" s="424" t="s">
        <v>43</v>
      </c>
      <c r="L127" s="424" t="s">
        <v>2591</v>
      </c>
      <c r="M127" s="424" t="s">
        <v>44</v>
      </c>
      <c r="N127" s="424">
        <v>24.996279999999999</v>
      </c>
      <c r="O127" s="424">
        <v>96.52534</v>
      </c>
      <c r="P127" s="424" t="s">
        <v>585</v>
      </c>
      <c r="Q127" s="424" t="s">
        <v>574</v>
      </c>
      <c r="R127" s="436">
        <v>14</v>
      </c>
      <c r="S127" s="429">
        <v>68</v>
      </c>
      <c r="T127" s="441"/>
      <c r="U127" s="430" t="s">
        <v>759</v>
      </c>
      <c r="V127" s="424" t="s">
        <v>762</v>
      </c>
      <c r="W127" s="424"/>
      <c r="X127" s="427"/>
    </row>
    <row r="128" spans="1:24" s="68" customFormat="1" ht="14.25" customHeight="1">
      <c r="A128" s="424" t="s">
        <v>37</v>
      </c>
      <c r="B128" s="424" t="s">
        <v>157</v>
      </c>
      <c r="C128" s="424" t="s">
        <v>2892</v>
      </c>
      <c r="D128" s="427" t="s">
        <v>2987</v>
      </c>
      <c r="E128" s="424" t="s">
        <v>1156</v>
      </c>
      <c r="F128" s="424" t="s">
        <v>1406</v>
      </c>
      <c r="G128" s="424">
        <v>0</v>
      </c>
      <c r="H128" s="424"/>
      <c r="I128" s="424" t="s">
        <v>1619</v>
      </c>
      <c r="J128" s="424" t="s">
        <v>43</v>
      </c>
      <c r="K128" s="424" t="s">
        <v>43</v>
      </c>
      <c r="L128" s="424" t="s">
        <v>2591</v>
      </c>
      <c r="M128" s="424" t="s">
        <v>44</v>
      </c>
      <c r="N128" s="424">
        <v>24.764959999999999</v>
      </c>
      <c r="O128" s="424">
        <v>96.366919999999993</v>
      </c>
      <c r="P128" s="424" t="s">
        <v>585</v>
      </c>
      <c r="Q128" s="424" t="s">
        <v>574</v>
      </c>
      <c r="R128" s="436">
        <v>17</v>
      </c>
      <c r="S128" s="429">
        <v>67</v>
      </c>
      <c r="T128" s="441"/>
      <c r="U128" s="430" t="s">
        <v>759</v>
      </c>
      <c r="V128" s="424" t="s">
        <v>758</v>
      </c>
      <c r="W128" s="424"/>
      <c r="X128" s="427"/>
    </row>
    <row r="129" spans="1:24" s="68" customFormat="1" ht="14.25" customHeight="1">
      <c r="A129" s="424" t="s">
        <v>37</v>
      </c>
      <c r="B129" s="424" t="s">
        <v>157</v>
      </c>
      <c r="C129" s="424" t="s">
        <v>157</v>
      </c>
      <c r="D129" s="387" t="s">
        <v>1299</v>
      </c>
      <c r="E129" s="424"/>
      <c r="F129" s="424"/>
      <c r="G129" s="424"/>
      <c r="H129" s="424"/>
      <c r="I129" s="424"/>
      <c r="J129" s="424" t="s">
        <v>607</v>
      </c>
      <c r="K129" s="424" t="s">
        <v>607</v>
      </c>
      <c r="L129" s="424" t="s">
        <v>607</v>
      </c>
      <c r="M129" s="424"/>
      <c r="N129" s="424"/>
      <c r="O129" s="424"/>
      <c r="P129" s="424" t="s">
        <v>608</v>
      </c>
      <c r="Q129" s="424"/>
      <c r="R129" s="428"/>
      <c r="S129" s="428"/>
      <c r="T129" s="441"/>
      <c r="U129" s="430"/>
      <c r="V129" s="424" t="s">
        <v>157</v>
      </c>
      <c r="W129" s="360"/>
      <c r="X129" s="387"/>
    </row>
    <row r="130" spans="1:24" s="68" customFormat="1" ht="14.25" customHeight="1">
      <c r="A130" s="433" t="s">
        <v>37</v>
      </c>
      <c r="B130" s="432" t="s">
        <v>157</v>
      </c>
      <c r="C130" s="433" t="s">
        <v>3009</v>
      </c>
      <c r="D130" s="427" t="s">
        <v>2987</v>
      </c>
      <c r="E130" s="429" t="s">
        <v>3031</v>
      </c>
      <c r="F130" s="424"/>
      <c r="G130" s="424"/>
      <c r="H130" s="424"/>
      <c r="I130" s="424" t="s">
        <v>3074</v>
      </c>
      <c r="J130" s="424" t="s">
        <v>43</v>
      </c>
      <c r="K130" s="424" t="s">
        <v>43</v>
      </c>
      <c r="L130" s="424" t="s">
        <v>3057</v>
      </c>
      <c r="M130" s="424" t="s">
        <v>44</v>
      </c>
      <c r="N130" s="424"/>
      <c r="O130" s="424" t="s">
        <v>3058</v>
      </c>
      <c r="P130" s="424" t="s">
        <v>585</v>
      </c>
      <c r="Q130" s="424" t="s">
        <v>3059</v>
      </c>
      <c r="R130" s="436">
        <v>542</v>
      </c>
      <c r="S130" s="429">
        <v>2399</v>
      </c>
      <c r="T130" s="441">
        <v>45009</v>
      </c>
      <c r="U130" s="430" t="s">
        <v>3060</v>
      </c>
      <c r="V130" s="426"/>
      <c r="W130" s="428" t="s">
        <v>3072</v>
      </c>
      <c r="X130" s="427"/>
    </row>
    <row r="131" spans="1:24" s="68" customFormat="1" ht="14.25" customHeight="1">
      <c r="A131" s="424" t="s">
        <v>37</v>
      </c>
      <c r="B131" s="426" t="s">
        <v>157</v>
      </c>
      <c r="C131" s="426" t="s">
        <v>763</v>
      </c>
      <c r="D131" s="387" t="s">
        <v>1300</v>
      </c>
      <c r="E131" s="424" t="s">
        <v>1160</v>
      </c>
      <c r="F131" s="424" t="s">
        <v>1344</v>
      </c>
      <c r="G131" s="424" t="s">
        <v>1344</v>
      </c>
      <c r="H131" s="424" t="s">
        <v>41</v>
      </c>
      <c r="I131" s="424" t="s">
        <v>141</v>
      </c>
      <c r="J131" s="424" t="s">
        <v>43</v>
      </c>
      <c r="K131" s="424" t="s">
        <v>43</v>
      </c>
      <c r="L131" s="424" t="s">
        <v>572</v>
      </c>
      <c r="M131" s="424" t="s">
        <v>44</v>
      </c>
      <c r="N131" s="424">
        <v>24.998349999999999</v>
      </c>
      <c r="O131" s="424">
        <v>96.364949999999993</v>
      </c>
      <c r="P131" s="424" t="s">
        <v>573</v>
      </c>
      <c r="Q131" s="424"/>
      <c r="R131" s="428">
        <v>0</v>
      </c>
      <c r="S131" s="428">
        <v>0</v>
      </c>
      <c r="T131" s="441"/>
      <c r="U131" s="430"/>
      <c r="V131" s="424" t="s">
        <v>763</v>
      </c>
      <c r="W131" s="424" t="s">
        <v>1650</v>
      </c>
      <c r="X131" s="387"/>
    </row>
    <row r="132" spans="1:24" s="68" customFormat="1" ht="14.25" customHeight="1">
      <c r="A132" s="429" t="s">
        <v>37</v>
      </c>
      <c r="B132" s="432" t="s">
        <v>157</v>
      </c>
      <c r="C132" s="433" t="s">
        <v>158</v>
      </c>
      <c r="D132" s="427" t="s">
        <v>2987</v>
      </c>
      <c r="E132" s="424" t="s">
        <v>1161</v>
      </c>
      <c r="F132" s="424"/>
      <c r="G132" s="424"/>
      <c r="H132" s="424" t="s">
        <v>41</v>
      </c>
      <c r="I132" s="424" t="s">
        <v>2117</v>
      </c>
      <c r="J132" s="424" t="s">
        <v>43</v>
      </c>
      <c r="K132" s="426" t="s">
        <v>43</v>
      </c>
      <c r="L132" s="426" t="s">
        <v>43</v>
      </c>
      <c r="M132" s="424" t="s">
        <v>44</v>
      </c>
      <c r="N132" s="424">
        <v>24.998349999999999</v>
      </c>
      <c r="O132" s="424">
        <v>96.364949999999993</v>
      </c>
      <c r="P132" s="424" t="s">
        <v>573</v>
      </c>
      <c r="Q132" s="424" t="s">
        <v>592</v>
      </c>
      <c r="R132" s="436">
        <v>28</v>
      </c>
      <c r="S132" s="429">
        <v>131</v>
      </c>
      <c r="T132" s="441"/>
      <c r="U132" s="430"/>
      <c r="V132" s="424" t="s">
        <v>764</v>
      </c>
      <c r="W132" s="424" t="s">
        <v>1741</v>
      </c>
      <c r="X132" s="427"/>
    </row>
    <row r="133" spans="1:24" s="68" customFormat="1" ht="14.25" customHeight="1">
      <c r="A133" s="424" t="s">
        <v>37</v>
      </c>
      <c r="B133" s="424" t="s">
        <v>157</v>
      </c>
      <c r="C133" s="424" t="s">
        <v>239</v>
      </c>
      <c r="D133" s="427" t="s">
        <v>2850</v>
      </c>
      <c r="E133" s="424" t="s">
        <v>1155</v>
      </c>
      <c r="F133" s="424" t="s">
        <v>1406</v>
      </c>
      <c r="G133" s="424" t="s">
        <v>1407</v>
      </c>
      <c r="H133" s="424" t="s">
        <v>41</v>
      </c>
      <c r="I133" s="424" t="s">
        <v>1035</v>
      </c>
      <c r="J133" s="424" t="s">
        <v>43</v>
      </c>
      <c r="K133" s="424" t="s">
        <v>43</v>
      </c>
      <c r="L133" s="424" t="s">
        <v>572</v>
      </c>
      <c r="M133" s="424" t="s">
        <v>44</v>
      </c>
      <c r="N133" s="424">
        <v>24.764800000000001</v>
      </c>
      <c r="O133" s="424">
        <v>96.367059999999995</v>
      </c>
      <c r="P133" s="424" t="s">
        <v>573</v>
      </c>
      <c r="Q133" s="424" t="s">
        <v>592</v>
      </c>
      <c r="R133" s="436"/>
      <c r="S133" s="429"/>
      <c r="T133" s="441"/>
      <c r="U133" s="430"/>
      <c r="V133" s="424" t="s">
        <v>239</v>
      </c>
      <c r="W133" s="424"/>
      <c r="X133" s="427"/>
    </row>
    <row r="134" spans="1:24" s="68" customFormat="1" ht="14.25" customHeight="1">
      <c r="A134" s="433" t="s">
        <v>37</v>
      </c>
      <c r="B134" s="432" t="s">
        <v>157</v>
      </c>
      <c r="C134" s="433" t="s">
        <v>3004</v>
      </c>
      <c r="D134" s="427" t="s">
        <v>2987</v>
      </c>
      <c r="E134" s="429" t="s">
        <v>3026</v>
      </c>
      <c r="F134" s="424" t="s">
        <v>3043</v>
      </c>
      <c r="G134" s="424" t="s">
        <v>3056</v>
      </c>
      <c r="H134" s="424"/>
      <c r="I134" s="424" t="s">
        <v>3074</v>
      </c>
      <c r="J134" s="424" t="s">
        <v>43</v>
      </c>
      <c r="K134" s="424" t="s">
        <v>43</v>
      </c>
      <c r="L134" s="424" t="s">
        <v>588</v>
      </c>
      <c r="M134" s="424" t="s">
        <v>590</v>
      </c>
      <c r="N134" s="424"/>
      <c r="O134" s="424" t="s">
        <v>3058</v>
      </c>
      <c r="P134" s="424" t="s">
        <v>573</v>
      </c>
      <c r="Q134" s="424" t="s">
        <v>3059</v>
      </c>
      <c r="R134" s="436">
        <v>92</v>
      </c>
      <c r="S134" s="429">
        <v>479</v>
      </c>
      <c r="T134" s="441">
        <v>45009</v>
      </c>
      <c r="U134" s="430" t="s">
        <v>3060</v>
      </c>
      <c r="V134" s="424"/>
      <c r="W134" s="428" t="s">
        <v>3070</v>
      </c>
      <c r="X134" s="427"/>
    </row>
    <row r="135" spans="1:24" s="68" customFormat="1" ht="14.25" customHeight="1">
      <c r="A135" s="424" t="s">
        <v>37</v>
      </c>
      <c r="B135" s="424" t="s">
        <v>1593</v>
      </c>
      <c r="C135" s="424" t="s">
        <v>1598</v>
      </c>
      <c r="D135" s="387"/>
      <c r="E135" s="424"/>
      <c r="F135" s="424"/>
      <c r="G135" s="424"/>
      <c r="H135" s="424"/>
      <c r="I135" s="424"/>
      <c r="J135" s="424" t="s">
        <v>1099</v>
      </c>
      <c r="K135" s="424" t="s">
        <v>43</v>
      </c>
      <c r="L135" s="424" t="s">
        <v>588</v>
      </c>
      <c r="M135" s="424" t="s">
        <v>590</v>
      </c>
      <c r="N135" s="424"/>
      <c r="O135" s="424"/>
      <c r="P135" s="424" t="s">
        <v>573</v>
      </c>
      <c r="Q135" s="424"/>
      <c r="R135" s="428"/>
      <c r="S135" s="429"/>
      <c r="T135" s="441">
        <v>43298</v>
      </c>
      <c r="U135" s="430"/>
      <c r="V135" s="424"/>
      <c r="W135" s="360"/>
      <c r="X135" s="387"/>
    </row>
    <row r="136" spans="1:24" s="68" customFormat="1" ht="14.25" customHeight="1">
      <c r="A136" s="424" t="s">
        <v>37</v>
      </c>
      <c r="B136" s="424" t="s">
        <v>205</v>
      </c>
      <c r="C136" s="424" t="s">
        <v>206</v>
      </c>
      <c r="D136" s="387"/>
      <c r="E136" s="424"/>
      <c r="F136" s="424"/>
      <c r="G136" s="424"/>
      <c r="H136" s="424"/>
      <c r="I136" s="424"/>
      <c r="J136" s="424" t="s">
        <v>1099</v>
      </c>
      <c r="K136" s="424" t="s">
        <v>43</v>
      </c>
      <c r="L136" s="424" t="s">
        <v>43</v>
      </c>
      <c r="M136" s="424" t="s">
        <v>44</v>
      </c>
      <c r="N136" s="424"/>
      <c r="O136" s="424"/>
      <c r="P136" s="424" t="s">
        <v>573</v>
      </c>
      <c r="Q136" s="424" t="s">
        <v>592</v>
      </c>
      <c r="R136" s="428"/>
      <c r="S136" s="428"/>
      <c r="T136" s="441"/>
      <c r="U136" s="430" t="s">
        <v>818</v>
      </c>
      <c r="V136" s="424" t="s">
        <v>206</v>
      </c>
      <c r="W136" s="424"/>
      <c r="X136" s="387"/>
    </row>
    <row r="137" spans="1:24" s="68" customFormat="1" ht="14.25" customHeight="1">
      <c r="A137" s="424" t="s">
        <v>37</v>
      </c>
      <c r="B137" s="426" t="s">
        <v>205</v>
      </c>
      <c r="C137" s="479" t="s">
        <v>749</v>
      </c>
      <c r="D137" s="387" t="s">
        <v>1300</v>
      </c>
      <c r="E137" s="424" t="s">
        <v>1147</v>
      </c>
      <c r="F137" s="424" t="s">
        <v>1337</v>
      </c>
      <c r="G137" s="424" t="s">
        <v>1338</v>
      </c>
      <c r="H137" s="424"/>
      <c r="I137" s="424">
        <v>0</v>
      </c>
      <c r="J137" s="424" t="s">
        <v>43</v>
      </c>
      <c r="K137" s="424" t="s">
        <v>43</v>
      </c>
      <c r="L137" s="424" t="s">
        <v>572</v>
      </c>
      <c r="M137" s="424" t="s">
        <v>44</v>
      </c>
      <c r="N137" s="424">
        <v>24.613976000000001</v>
      </c>
      <c r="O137" s="424">
        <v>97.461271999999994</v>
      </c>
      <c r="P137" s="424" t="s">
        <v>573</v>
      </c>
      <c r="Q137" s="424" t="s">
        <v>574</v>
      </c>
      <c r="R137" s="428">
        <v>0</v>
      </c>
      <c r="S137" s="428">
        <v>0</v>
      </c>
      <c r="T137" s="441">
        <v>42983</v>
      </c>
      <c r="U137" s="478" t="s">
        <v>750</v>
      </c>
      <c r="V137" s="424" t="s">
        <v>749</v>
      </c>
      <c r="W137" s="424" t="s">
        <v>1651</v>
      </c>
      <c r="X137" s="387"/>
    </row>
    <row r="138" spans="1:24" s="68" customFormat="1" ht="14.25" customHeight="1">
      <c r="A138" s="424" t="s">
        <v>37</v>
      </c>
      <c r="B138" s="424" t="s">
        <v>205</v>
      </c>
      <c r="C138" s="424" t="s">
        <v>232</v>
      </c>
      <c r="D138" s="427" t="s">
        <v>2987</v>
      </c>
      <c r="E138" s="424" t="s">
        <v>1145</v>
      </c>
      <c r="F138" s="424" t="s">
        <v>1402</v>
      </c>
      <c r="G138" s="424" t="s">
        <v>1403</v>
      </c>
      <c r="H138" s="424" t="s">
        <v>41</v>
      </c>
      <c r="I138" s="424" t="s">
        <v>1035</v>
      </c>
      <c r="J138" s="424" t="s">
        <v>43</v>
      </c>
      <c r="K138" s="424" t="s">
        <v>43</v>
      </c>
      <c r="L138" s="424" t="s">
        <v>43</v>
      </c>
      <c r="M138" s="424" t="s">
        <v>590</v>
      </c>
      <c r="N138" s="424">
        <v>24.461033</v>
      </c>
      <c r="O138" s="424">
        <v>97.537099999999995</v>
      </c>
      <c r="P138" s="17" t="s">
        <v>573</v>
      </c>
      <c r="Q138" s="424" t="s">
        <v>592</v>
      </c>
      <c r="R138" s="436">
        <v>72</v>
      </c>
      <c r="S138" s="429">
        <v>404</v>
      </c>
      <c r="T138" s="441"/>
      <c r="U138" s="430"/>
      <c r="V138" s="424" t="s">
        <v>232</v>
      </c>
      <c r="W138" s="424"/>
      <c r="X138" s="427"/>
    </row>
    <row r="139" spans="1:24" s="68" customFormat="1" ht="14.25" customHeight="1">
      <c r="A139" s="429" t="s">
        <v>37</v>
      </c>
      <c r="B139" s="432" t="s">
        <v>205</v>
      </c>
      <c r="C139" s="367" t="s">
        <v>2170</v>
      </c>
      <c r="D139" s="427" t="s">
        <v>2717</v>
      </c>
      <c r="E139" s="424" t="s">
        <v>2171</v>
      </c>
      <c r="F139" s="424" t="s">
        <v>205</v>
      </c>
      <c r="G139" s="424" t="s">
        <v>2172</v>
      </c>
      <c r="H139" s="424"/>
      <c r="I139" s="424" t="s">
        <v>1619</v>
      </c>
      <c r="J139" s="424" t="s">
        <v>43</v>
      </c>
      <c r="K139" s="424" t="s">
        <v>43</v>
      </c>
      <c r="L139" s="424" t="s">
        <v>572</v>
      </c>
      <c r="M139" s="424" t="s">
        <v>44</v>
      </c>
      <c r="N139" s="424">
        <v>24.613662999999999</v>
      </c>
      <c r="O139" s="424">
        <v>97.461727999999994</v>
      </c>
      <c r="P139" s="424" t="s">
        <v>573</v>
      </c>
      <c r="Q139" s="424" t="s">
        <v>2173</v>
      </c>
      <c r="R139" s="436">
        <v>0</v>
      </c>
      <c r="S139" s="429">
        <v>24</v>
      </c>
      <c r="T139" s="441">
        <v>43717</v>
      </c>
      <c r="U139" s="436"/>
      <c r="V139" s="424"/>
      <c r="W139" s="428" t="s">
        <v>2174</v>
      </c>
      <c r="X139" s="427"/>
    </row>
    <row r="140" spans="1:24" s="68" customFormat="1" ht="14.25" customHeight="1">
      <c r="A140" s="424" t="s">
        <v>37</v>
      </c>
      <c r="B140" s="424" t="s">
        <v>205</v>
      </c>
      <c r="C140" s="424" t="s">
        <v>217</v>
      </c>
      <c r="D140" s="427" t="s">
        <v>2987</v>
      </c>
      <c r="E140" s="424" t="s">
        <v>1149</v>
      </c>
      <c r="F140" s="424" t="s">
        <v>1404</v>
      </c>
      <c r="G140" s="424" t="s">
        <v>1405</v>
      </c>
      <c r="H140" s="424" t="s">
        <v>41</v>
      </c>
      <c r="I140" s="424" t="s">
        <v>1035</v>
      </c>
      <c r="J140" s="424" t="s">
        <v>43</v>
      </c>
      <c r="K140" s="424" t="s">
        <v>43</v>
      </c>
      <c r="L140" s="424" t="s">
        <v>43</v>
      </c>
      <c r="M140" s="424" t="s">
        <v>590</v>
      </c>
      <c r="N140" s="424">
        <v>24.661905999999998</v>
      </c>
      <c r="O140" s="424">
        <v>97.573126000000002</v>
      </c>
      <c r="P140" s="17" t="s">
        <v>573</v>
      </c>
      <c r="Q140" s="424" t="s">
        <v>592</v>
      </c>
      <c r="R140" s="436">
        <v>676</v>
      </c>
      <c r="S140" s="429">
        <v>3507</v>
      </c>
      <c r="T140" s="441"/>
      <c r="U140" s="430"/>
      <c r="V140" s="424" t="s">
        <v>217</v>
      </c>
      <c r="W140" s="424"/>
      <c r="X140" s="427"/>
    </row>
    <row r="141" spans="1:24" s="68" customFormat="1" ht="14.25" customHeight="1">
      <c r="A141" s="424" t="s">
        <v>37</v>
      </c>
      <c r="B141" s="424" t="s">
        <v>205</v>
      </c>
      <c r="C141" s="424" t="s">
        <v>2158</v>
      </c>
      <c r="D141" s="387"/>
      <c r="E141" s="424"/>
      <c r="F141" s="424"/>
      <c r="G141" s="424"/>
      <c r="H141" s="424"/>
      <c r="I141" s="424"/>
      <c r="J141" s="424" t="s">
        <v>1099</v>
      </c>
      <c r="K141" s="424" t="s">
        <v>43</v>
      </c>
      <c r="L141" s="424" t="s">
        <v>43</v>
      </c>
      <c r="M141" s="424" t="s">
        <v>44</v>
      </c>
      <c r="N141" s="424"/>
      <c r="O141" s="424"/>
      <c r="P141" s="424" t="s">
        <v>573</v>
      </c>
      <c r="Q141" s="424" t="s">
        <v>2156</v>
      </c>
      <c r="R141" s="428"/>
      <c r="S141" s="429"/>
      <c r="T141" s="441">
        <v>42554</v>
      </c>
      <c r="U141" s="430"/>
      <c r="V141" s="424"/>
      <c r="W141" s="424"/>
      <c r="X141" s="387"/>
    </row>
    <row r="142" spans="1:24" s="68" customFormat="1" ht="14.25" customHeight="1">
      <c r="A142" s="424" t="s">
        <v>37</v>
      </c>
      <c r="B142" s="424" t="s">
        <v>205</v>
      </c>
      <c r="C142" s="424" t="s">
        <v>290</v>
      </c>
      <c r="D142" s="427" t="s">
        <v>2987</v>
      </c>
      <c r="E142" s="424" t="s">
        <v>1150</v>
      </c>
      <c r="F142" s="424" t="s">
        <v>1404</v>
      </c>
      <c r="G142" s="424" t="s">
        <v>1405</v>
      </c>
      <c r="H142" s="424" t="s">
        <v>41</v>
      </c>
      <c r="I142" s="424" t="s">
        <v>1035</v>
      </c>
      <c r="J142" s="424" t="s">
        <v>43</v>
      </c>
      <c r="K142" s="424" t="s">
        <v>43</v>
      </c>
      <c r="L142" s="424" t="s">
        <v>43</v>
      </c>
      <c r="M142" s="424" t="s">
        <v>590</v>
      </c>
      <c r="N142" s="424">
        <v>24.688338999999999</v>
      </c>
      <c r="O142" s="424">
        <v>97.568331999999998</v>
      </c>
      <c r="P142" s="424" t="s">
        <v>573</v>
      </c>
      <c r="Q142" s="424" t="s">
        <v>592</v>
      </c>
      <c r="R142" s="436">
        <v>1592</v>
      </c>
      <c r="S142" s="429">
        <v>8213</v>
      </c>
      <c r="T142" s="441"/>
      <c r="U142" s="430"/>
      <c r="V142" s="424" t="s">
        <v>290</v>
      </c>
      <c r="W142" s="424"/>
      <c r="X142" s="427"/>
    </row>
    <row r="143" spans="1:24" s="68" customFormat="1" ht="14.25" customHeight="1">
      <c r="A143" s="424" t="s">
        <v>37</v>
      </c>
      <c r="B143" s="424" t="s">
        <v>205</v>
      </c>
      <c r="C143" s="424" t="s">
        <v>207</v>
      </c>
      <c r="D143" s="387"/>
      <c r="E143" s="424"/>
      <c r="F143" s="424"/>
      <c r="G143" s="424"/>
      <c r="H143" s="424"/>
      <c r="I143" s="424"/>
      <c r="J143" s="424" t="s">
        <v>1099</v>
      </c>
      <c r="K143" s="424" t="s">
        <v>43</v>
      </c>
      <c r="L143" s="424" t="s">
        <v>43</v>
      </c>
      <c r="M143" s="424" t="s">
        <v>44</v>
      </c>
      <c r="N143" s="424"/>
      <c r="O143" s="424"/>
      <c r="P143" s="424" t="s">
        <v>573</v>
      </c>
      <c r="Q143" s="424" t="s">
        <v>592</v>
      </c>
      <c r="R143" s="428"/>
      <c r="S143" s="428"/>
      <c r="T143" s="441"/>
      <c r="U143" s="430" t="s">
        <v>818</v>
      </c>
      <c r="V143" s="424" t="s">
        <v>207</v>
      </c>
      <c r="W143" s="424"/>
      <c r="X143" s="387"/>
    </row>
    <row r="144" spans="1:24" s="68" customFormat="1" ht="14.25" customHeight="1">
      <c r="A144" s="424" t="s">
        <v>37</v>
      </c>
      <c r="B144" s="424" t="s">
        <v>205</v>
      </c>
      <c r="C144" s="424" t="s">
        <v>209</v>
      </c>
      <c r="D144" s="387"/>
      <c r="E144" s="424"/>
      <c r="F144" s="424"/>
      <c r="G144" s="424"/>
      <c r="H144" s="424"/>
      <c r="I144" s="424"/>
      <c r="J144" s="424" t="s">
        <v>1099</v>
      </c>
      <c r="K144" s="424" t="s">
        <v>43</v>
      </c>
      <c r="L144" s="424" t="s">
        <v>43</v>
      </c>
      <c r="M144" s="424" t="s">
        <v>44</v>
      </c>
      <c r="N144" s="424"/>
      <c r="O144" s="424"/>
      <c r="P144" s="424" t="s">
        <v>573</v>
      </c>
      <c r="Q144" s="424" t="s">
        <v>592</v>
      </c>
      <c r="R144" s="428"/>
      <c r="S144" s="429"/>
      <c r="T144" s="441"/>
      <c r="U144" s="430" t="s">
        <v>818</v>
      </c>
      <c r="V144" s="424" t="s">
        <v>209</v>
      </c>
      <c r="W144" s="424"/>
      <c r="X144" s="387"/>
    </row>
    <row r="145" spans="1:24" s="68" customFormat="1" ht="14.25" customHeight="1">
      <c r="A145" s="424" t="s">
        <v>37</v>
      </c>
      <c r="B145" s="424" t="s">
        <v>205</v>
      </c>
      <c r="C145" s="424" t="s">
        <v>740</v>
      </c>
      <c r="D145" s="387" t="s">
        <v>2603</v>
      </c>
      <c r="E145" s="424" t="s">
        <v>1140</v>
      </c>
      <c r="F145" s="424" t="s">
        <v>1461</v>
      </c>
      <c r="G145" s="424" t="s">
        <v>1462</v>
      </c>
      <c r="H145" s="424"/>
      <c r="I145" s="424" t="s">
        <v>1619</v>
      </c>
      <c r="J145" s="424" t="s">
        <v>43</v>
      </c>
      <c r="K145" s="424" t="s">
        <v>43</v>
      </c>
      <c r="L145" s="424" t="s">
        <v>572</v>
      </c>
      <c r="M145" s="424" t="s">
        <v>44</v>
      </c>
      <c r="N145" s="424">
        <v>24.377054000000001</v>
      </c>
      <c r="O145" s="424">
        <v>97.343406999999999</v>
      </c>
      <c r="P145" s="424" t="s">
        <v>585</v>
      </c>
      <c r="Q145" s="424" t="s">
        <v>574</v>
      </c>
      <c r="R145" s="428"/>
      <c r="S145" s="428"/>
      <c r="T145" s="441"/>
      <c r="U145" s="430" t="s">
        <v>741</v>
      </c>
      <c r="V145" s="424" t="s">
        <v>740</v>
      </c>
      <c r="W145" s="424"/>
      <c r="X145" s="387"/>
    </row>
    <row r="146" spans="1:24" s="68" customFormat="1" ht="14.25" customHeight="1">
      <c r="A146" s="424" t="s">
        <v>37</v>
      </c>
      <c r="B146" s="424" t="s">
        <v>205</v>
      </c>
      <c r="C146" s="424" t="s">
        <v>289</v>
      </c>
      <c r="D146" s="387"/>
      <c r="E146" s="424"/>
      <c r="F146" s="424"/>
      <c r="G146" s="424"/>
      <c r="H146" s="424"/>
      <c r="I146" s="424"/>
      <c r="J146" s="424" t="s">
        <v>1099</v>
      </c>
      <c r="K146" s="424" t="s">
        <v>43</v>
      </c>
      <c r="L146" s="424" t="s">
        <v>826</v>
      </c>
      <c r="M146" s="424" t="s">
        <v>590</v>
      </c>
      <c r="N146" s="424"/>
      <c r="O146" s="424"/>
      <c r="P146" s="424" t="s">
        <v>573</v>
      </c>
      <c r="Q146" s="424" t="s">
        <v>574</v>
      </c>
      <c r="R146" s="428"/>
      <c r="S146" s="428"/>
      <c r="T146" s="441">
        <v>42849</v>
      </c>
      <c r="U146" s="430"/>
      <c r="V146" s="424"/>
      <c r="W146" s="424"/>
      <c r="X146" s="387"/>
    </row>
    <row r="147" spans="1:24" s="365" customFormat="1" ht="14.25" customHeight="1">
      <c r="A147" s="424" t="s">
        <v>37</v>
      </c>
      <c r="B147" s="424" t="s">
        <v>205</v>
      </c>
      <c r="C147" s="424" t="s">
        <v>281</v>
      </c>
      <c r="D147" s="427" t="s">
        <v>2987</v>
      </c>
      <c r="E147" s="424" t="s">
        <v>1115</v>
      </c>
      <c r="F147" s="424" t="s">
        <v>1385</v>
      </c>
      <c r="G147" s="424" t="s">
        <v>1387</v>
      </c>
      <c r="H147" s="424" t="s">
        <v>41</v>
      </c>
      <c r="I147" s="424" t="s">
        <v>2116</v>
      </c>
      <c r="J147" s="424" t="s">
        <v>43</v>
      </c>
      <c r="K147" s="424" t="s">
        <v>43</v>
      </c>
      <c r="L147" s="424" t="s">
        <v>43</v>
      </c>
      <c r="M147" s="424" t="s">
        <v>44</v>
      </c>
      <c r="N147" s="424">
        <v>24.200972</v>
      </c>
      <c r="O147" s="424">
        <v>97.718582999999995</v>
      </c>
      <c r="P147" s="424" t="s">
        <v>573</v>
      </c>
      <c r="Q147" s="424" t="s">
        <v>592</v>
      </c>
      <c r="R147" s="436">
        <v>43</v>
      </c>
      <c r="S147" s="429">
        <v>255</v>
      </c>
      <c r="T147" s="441"/>
      <c r="U147" s="430"/>
      <c r="V147" s="424" t="s">
        <v>281</v>
      </c>
      <c r="W147" s="424"/>
      <c r="X147" s="427"/>
    </row>
    <row r="148" spans="1:24" s="68" customFormat="1" ht="14.25" customHeight="1">
      <c r="A148" s="424" t="s">
        <v>37</v>
      </c>
      <c r="B148" s="424" t="s">
        <v>205</v>
      </c>
      <c r="C148" s="424" t="s">
        <v>282</v>
      </c>
      <c r="D148" s="427" t="s">
        <v>2987</v>
      </c>
      <c r="E148" s="424" t="s">
        <v>1116</v>
      </c>
      <c r="F148" s="424" t="s">
        <v>1385</v>
      </c>
      <c r="G148" s="424" t="s">
        <v>1387</v>
      </c>
      <c r="H148" s="424" t="s">
        <v>41</v>
      </c>
      <c r="I148" s="424" t="s">
        <v>42</v>
      </c>
      <c r="J148" s="424" t="s">
        <v>43</v>
      </c>
      <c r="K148" s="424" t="s">
        <v>43</v>
      </c>
      <c r="L148" s="424" t="s">
        <v>43</v>
      </c>
      <c r="M148" s="424" t="s">
        <v>44</v>
      </c>
      <c r="N148" s="424">
        <v>24.205417000000001</v>
      </c>
      <c r="O148" s="424">
        <v>97.724566999999993</v>
      </c>
      <c r="P148" s="424" t="s">
        <v>573</v>
      </c>
      <c r="Q148" s="424" t="s">
        <v>592</v>
      </c>
      <c r="R148" s="436">
        <v>81</v>
      </c>
      <c r="S148" s="429">
        <v>451</v>
      </c>
      <c r="T148" s="441"/>
      <c r="U148" s="430"/>
      <c r="V148" s="424" t="s">
        <v>282</v>
      </c>
      <c r="W148" s="424"/>
      <c r="X148" s="427"/>
    </row>
    <row r="149" spans="1:24" s="68" customFormat="1" ht="14.25" customHeight="1">
      <c r="A149" s="424" t="s">
        <v>37</v>
      </c>
      <c r="B149" s="424" t="s">
        <v>205</v>
      </c>
      <c r="C149" s="424" t="s">
        <v>833</v>
      </c>
      <c r="D149" s="387" t="s">
        <v>1299</v>
      </c>
      <c r="E149" s="424"/>
      <c r="F149" s="424"/>
      <c r="G149" s="424"/>
      <c r="H149" s="424"/>
      <c r="I149" s="424"/>
      <c r="J149" s="424" t="s">
        <v>43</v>
      </c>
      <c r="K149" s="424" t="s">
        <v>43</v>
      </c>
      <c r="L149" s="424" t="s">
        <v>815</v>
      </c>
      <c r="M149" s="424" t="s">
        <v>44</v>
      </c>
      <c r="N149" s="424"/>
      <c r="O149" s="424"/>
      <c r="P149" s="424" t="s">
        <v>573</v>
      </c>
      <c r="Q149" s="424"/>
      <c r="R149" s="428"/>
      <c r="S149" s="429"/>
      <c r="T149" s="441"/>
      <c r="U149" s="430"/>
      <c r="V149" s="424" t="s">
        <v>834</v>
      </c>
      <c r="W149" s="424"/>
      <c r="X149" s="387"/>
    </row>
    <row r="150" spans="1:24" s="68" customFormat="1" ht="14.25" customHeight="1">
      <c r="A150" s="424" t="s">
        <v>37</v>
      </c>
      <c r="B150" s="424" t="s">
        <v>205</v>
      </c>
      <c r="C150" s="424" t="s">
        <v>835</v>
      </c>
      <c r="D150" s="387" t="s">
        <v>1299</v>
      </c>
      <c r="E150" s="424"/>
      <c r="F150" s="424"/>
      <c r="G150" s="424"/>
      <c r="H150" s="424"/>
      <c r="I150" s="424"/>
      <c r="J150" s="424" t="s">
        <v>43</v>
      </c>
      <c r="K150" s="424" t="s">
        <v>43</v>
      </c>
      <c r="L150" s="424" t="s">
        <v>815</v>
      </c>
      <c r="M150" s="424" t="s">
        <v>44</v>
      </c>
      <c r="N150" s="424"/>
      <c r="O150" s="424"/>
      <c r="P150" s="424" t="s">
        <v>573</v>
      </c>
      <c r="Q150" s="424"/>
      <c r="R150" s="428"/>
      <c r="S150" s="428"/>
      <c r="T150" s="441"/>
      <c r="U150" s="430"/>
      <c r="V150" s="424" t="s">
        <v>836</v>
      </c>
      <c r="W150" s="424"/>
      <c r="X150" s="387"/>
    </row>
    <row r="151" spans="1:24" s="68" customFormat="1" ht="14.25" customHeight="1">
      <c r="A151" s="424" t="s">
        <v>37</v>
      </c>
      <c r="B151" s="424" t="s">
        <v>205</v>
      </c>
      <c r="C151" s="424" t="s">
        <v>837</v>
      </c>
      <c r="D151" s="387" t="s">
        <v>1299</v>
      </c>
      <c r="E151" s="424"/>
      <c r="F151" s="424"/>
      <c r="G151" s="424"/>
      <c r="H151" s="424"/>
      <c r="I151" s="424"/>
      <c r="J151" s="424" t="s">
        <v>43</v>
      </c>
      <c r="K151" s="424" t="s">
        <v>43</v>
      </c>
      <c r="L151" s="424" t="s">
        <v>815</v>
      </c>
      <c r="M151" s="424" t="s">
        <v>44</v>
      </c>
      <c r="N151" s="424"/>
      <c r="O151" s="424"/>
      <c r="P151" s="424" t="s">
        <v>573</v>
      </c>
      <c r="Q151" s="424"/>
      <c r="R151" s="428"/>
      <c r="S151" s="429"/>
      <c r="T151" s="441"/>
      <c r="U151" s="430"/>
      <c r="V151" s="424" t="s">
        <v>838</v>
      </c>
      <c r="W151" s="424"/>
      <c r="X151" s="387"/>
    </row>
    <row r="152" spans="1:24" s="68" customFormat="1" ht="14.25" customHeight="1">
      <c r="A152" s="424" t="s">
        <v>37</v>
      </c>
      <c r="B152" s="426" t="s">
        <v>205</v>
      </c>
      <c r="C152" s="479" t="s">
        <v>283</v>
      </c>
      <c r="D152" s="427" t="s">
        <v>2987</v>
      </c>
      <c r="E152" s="480" t="s">
        <v>1114</v>
      </c>
      <c r="F152" s="444" t="s">
        <v>1385</v>
      </c>
      <c r="G152" s="444" t="s">
        <v>1386</v>
      </c>
      <c r="H152" s="424" t="s">
        <v>41</v>
      </c>
      <c r="I152" s="424" t="s">
        <v>2116</v>
      </c>
      <c r="J152" s="424" t="s">
        <v>43</v>
      </c>
      <c r="K152" s="424" t="s">
        <v>43</v>
      </c>
      <c r="L152" s="424" t="s">
        <v>43</v>
      </c>
      <c r="M152" s="424" t="s">
        <v>44</v>
      </c>
      <c r="N152" s="424">
        <v>24.200433</v>
      </c>
      <c r="O152" s="424">
        <v>97.717133000000004</v>
      </c>
      <c r="P152" s="424" t="s">
        <v>573</v>
      </c>
      <c r="Q152" s="424" t="s">
        <v>592</v>
      </c>
      <c r="R152" s="436">
        <v>243</v>
      </c>
      <c r="S152" s="429">
        <v>1420</v>
      </c>
      <c r="T152" s="441"/>
      <c r="U152" s="478"/>
      <c r="V152" s="424" t="s">
        <v>283</v>
      </c>
      <c r="W152" s="424"/>
      <c r="X152" s="427"/>
    </row>
    <row r="153" spans="1:24" s="68" customFormat="1" ht="14.25" customHeight="1">
      <c r="A153" s="424" t="s">
        <v>37</v>
      </c>
      <c r="B153" s="424" t="s">
        <v>205</v>
      </c>
      <c r="C153" s="424" t="s">
        <v>839</v>
      </c>
      <c r="D153" s="387" t="s">
        <v>2256</v>
      </c>
      <c r="E153" s="424"/>
      <c r="F153" s="424"/>
      <c r="G153" s="424"/>
      <c r="H153" s="424"/>
      <c r="I153" s="424"/>
      <c r="J153" s="424" t="s">
        <v>826</v>
      </c>
      <c r="K153" s="424" t="s">
        <v>43</v>
      </c>
      <c r="L153" s="424" t="s">
        <v>826</v>
      </c>
      <c r="M153" s="424" t="s">
        <v>44</v>
      </c>
      <c r="N153" s="424"/>
      <c r="O153" s="424"/>
      <c r="P153" s="424" t="s">
        <v>573</v>
      </c>
      <c r="Q153" s="424"/>
      <c r="R153" s="428"/>
      <c r="S153" s="429"/>
      <c r="T153" s="441"/>
      <c r="U153" s="430"/>
      <c r="V153" s="424" t="s">
        <v>839</v>
      </c>
      <c r="W153" s="424"/>
      <c r="X153" s="387"/>
    </row>
    <row r="154" spans="1:24" s="68" customFormat="1" ht="14.25" customHeight="1">
      <c r="A154" s="424" t="s">
        <v>37</v>
      </c>
      <c r="B154" s="424" t="s">
        <v>205</v>
      </c>
      <c r="C154" s="424" t="s">
        <v>2175</v>
      </c>
      <c r="D154" s="427" t="s">
        <v>2717</v>
      </c>
      <c r="E154" s="424" t="s">
        <v>2176</v>
      </c>
      <c r="F154" s="424" t="s">
        <v>205</v>
      </c>
      <c r="G154" s="424" t="s">
        <v>2177</v>
      </c>
      <c r="H154" s="424"/>
      <c r="I154" s="424" t="s">
        <v>1619</v>
      </c>
      <c r="J154" s="424" t="s">
        <v>43</v>
      </c>
      <c r="K154" s="424" t="s">
        <v>43</v>
      </c>
      <c r="L154" s="424" t="s">
        <v>572</v>
      </c>
      <c r="M154" s="424" t="s">
        <v>44</v>
      </c>
      <c r="N154" s="424">
        <v>24.721878</v>
      </c>
      <c r="O154" s="424">
        <v>97.721878000000004</v>
      </c>
      <c r="P154" s="424" t="s">
        <v>573</v>
      </c>
      <c r="Q154" s="424"/>
      <c r="R154" s="436">
        <v>0</v>
      </c>
      <c r="S154" s="429">
        <v>36</v>
      </c>
      <c r="T154" s="441">
        <v>43717</v>
      </c>
      <c r="U154" s="430"/>
      <c r="V154" s="424"/>
      <c r="W154" s="360" t="s">
        <v>2174</v>
      </c>
      <c r="X154" s="427"/>
    </row>
    <row r="155" spans="1:24" s="68" customFormat="1" ht="14.25" customHeight="1">
      <c r="A155" s="424" t="s">
        <v>37</v>
      </c>
      <c r="B155" s="424" t="s">
        <v>205</v>
      </c>
      <c r="C155" s="424" t="s">
        <v>288</v>
      </c>
      <c r="D155" s="387"/>
      <c r="E155" s="424"/>
      <c r="F155" s="424"/>
      <c r="G155" s="424"/>
      <c r="H155" s="424"/>
      <c r="I155" s="424"/>
      <c r="J155" s="424" t="s">
        <v>1099</v>
      </c>
      <c r="K155" s="424" t="s">
        <v>43</v>
      </c>
      <c r="L155" s="424" t="s">
        <v>826</v>
      </c>
      <c r="M155" s="424" t="s">
        <v>44</v>
      </c>
      <c r="N155" s="424"/>
      <c r="O155" s="424"/>
      <c r="P155" s="424" t="s">
        <v>573</v>
      </c>
      <c r="Q155" s="424" t="s">
        <v>574</v>
      </c>
      <c r="R155" s="428"/>
      <c r="S155" s="428"/>
      <c r="T155" s="441">
        <v>42849</v>
      </c>
      <c r="U155" s="430"/>
      <c r="V155" s="424"/>
      <c r="W155" s="424"/>
      <c r="X155" s="387"/>
    </row>
    <row r="156" spans="1:24" s="68" customFormat="1" ht="14.25" customHeight="1">
      <c r="A156" s="424" t="s">
        <v>37</v>
      </c>
      <c r="B156" s="424" t="s">
        <v>205</v>
      </c>
      <c r="C156" s="424" t="s">
        <v>746</v>
      </c>
      <c r="D156" s="387" t="s">
        <v>1300</v>
      </c>
      <c r="E156" s="424" t="s">
        <v>1144</v>
      </c>
      <c r="F156" s="424" t="s">
        <v>1335</v>
      </c>
      <c r="G156" s="424" t="s">
        <v>1335</v>
      </c>
      <c r="H156" s="424"/>
      <c r="I156" s="424">
        <v>0</v>
      </c>
      <c r="J156" s="424" t="s">
        <v>43</v>
      </c>
      <c r="K156" s="424" t="s">
        <v>43</v>
      </c>
      <c r="L156" s="424" t="s">
        <v>572</v>
      </c>
      <c r="M156" s="424" t="s">
        <v>44</v>
      </c>
      <c r="N156" s="424">
        <v>24.441697000000001</v>
      </c>
      <c r="O156" s="424">
        <v>97.409474000000003</v>
      </c>
      <c r="P156" s="424" t="s">
        <v>585</v>
      </c>
      <c r="Q156" s="424" t="s">
        <v>574</v>
      </c>
      <c r="R156" s="428">
        <v>0</v>
      </c>
      <c r="S156" s="429">
        <v>0</v>
      </c>
      <c r="T156" s="441">
        <v>42983</v>
      </c>
      <c r="U156" s="430" t="s">
        <v>747</v>
      </c>
      <c r="V156" s="424" t="s">
        <v>746</v>
      </c>
      <c r="W156" s="424" t="s">
        <v>1652</v>
      </c>
      <c r="X156" s="387"/>
    </row>
    <row r="157" spans="1:24" s="68" customFormat="1" ht="14.25" customHeight="1">
      <c r="A157" s="424" t="s">
        <v>37</v>
      </c>
      <c r="B157" s="424" t="s">
        <v>205</v>
      </c>
      <c r="C157" s="424" t="s">
        <v>210</v>
      </c>
      <c r="D157" s="427" t="s">
        <v>2987</v>
      </c>
      <c r="E157" s="424" t="s">
        <v>1122</v>
      </c>
      <c r="F157" s="424" t="s">
        <v>1391</v>
      </c>
      <c r="G157" s="424" t="s">
        <v>1391</v>
      </c>
      <c r="H157" s="424" t="s">
        <v>41</v>
      </c>
      <c r="I157" s="424" t="s">
        <v>42</v>
      </c>
      <c r="J157" s="424" t="s">
        <v>43</v>
      </c>
      <c r="K157" s="424" t="s">
        <v>43</v>
      </c>
      <c r="L157" s="424" t="s">
        <v>43</v>
      </c>
      <c r="M157" s="424" t="s">
        <v>44</v>
      </c>
      <c r="N157" s="424">
        <v>24.245100000000001</v>
      </c>
      <c r="O157" s="424">
        <v>97.325019999999995</v>
      </c>
      <c r="P157" s="424" t="s">
        <v>573</v>
      </c>
      <c r="Q157" s="424" t="s">
        <v>592</v>
      </c>
      <c r="R157" s="436">
        <v>83</v>
      </c>
      <c r="S157" s="429">
        <v>427</v>
      </c>
      <c r="T157" s="441"/>
      <c r="U157" s="430"/>
      <c r="V157" s="424" t="s">
        <v>210</v>
      </c>
      <c r="W157" s="424"/>
      <c r="X157" s="427"/>
    </row>
    <row r="158" spans="1:24" s="68" customFormat="1" ht="14.25" customHeight="1">
      <c r="A158" s="424" t="s">
        <v>37</v>
      </c>
      <c r="B158" s="424" t="s">
        <v>205</v>
      </c>
      <c r="C158" s="424" t="s">
        <v>287</v>
      </c>
      <c r="D158" s="387"/>
      <c r="E158" s="424"/>
      <c r="F158" s="424"/>
      <c r="G158" s="424"/>
      <c r="H158" s="424"/>
      <c r="I158" s="424"/>
      <c r="J158" s="424" t="s">
        <v>1099</v>
      </c>
      <c r="K158" s="424" t="s">
        <v>43</v>
      </c>
      <c r="L158" s="424" t="s">
        <v>43</v>
      </c>
      <c r="M158" s="424" t="s">
        <v>44</v>
      </c>
      <c r="N158" s="424"/>
      <c r="O158" s="424"/>
      <c r="P158" s="424" t="s">
        <v>573</v>
      </c>
      <c r="Q158" s="424" t="s">
        <v>592</v>
      </c>
      <c r="R158" s="428"/>
      <c r="S158" s="429"/>
      <c r="T158" s="441"/>
      <c r="U158" s="430" t="s">
        <v>818</v>
      </c>
      <c r="V158" s="424" t="s">
        <v>287</v>
      </c>
      <c r="W158" s="360"/>
      <c r="X158" s="387"/>
    </row>
    <row r="159" spans="1:24" s="68" customFormat="1" ht="14.25" customHeight="1">
      <c r="A159" s="424" t="s">
        <v>37</v>
      </c>
      <c r="B159" s="424" t="s">
        <v>205</v>
      </c>
      <c r="C159" s="424" t="s">
        <v>744</v>
      </c>
      <c r="D159" s="387" t="s">
        <v>1300</v>
      </c>
      <c r="E159" s="424" t="s">
        <v>1143</v>
      </c>
      <c r="F159" s="424" t="s">
        <v>1334</v>
      </c>
      <c r="G159" s="424" t="s">
        <v>1334</v>
      </c>
      <c r="H159" s="424"/>
      <c r="I159" s="424">
        <v>0</v>
      </c>
      <c r="J159" s="424" t="s">
        <v>43</v>
      </c>
      <c r="K159" s="424" t="s">
        <v>43</v>
      </c>
      <c r="L159" s="424" t="s">
        <v>572</v>
      </c>
      <c r="M159" s="424" t="s">
        <v>44</v>
      </c>
      <c r="N159" s="424">
        <v>24.410008999999999</v>
      </c>
      <c r="O159" s="424">
        <v>97.321659999999994</v>
      </c>
      <c r="P159" s="424" t="s">
        <v>585</v>
      </c>
      <c r="Q159" s="424" t="s">
        <v>574</v>
      </c>
      <c r="R159" s="428">
        <v>0</v>
      </c>
      <c r="S159" s="429">
        <v>0</v>
      </c>
      <c r="T159" s="441">
        <v>42983</v>
      </c>
      <c r="U159" s="430" t="s">
        <v>745</v>
      </c>
      <c r="V159" s="424" t="s">
        <v>744</v>
      </c>
      <c r="W159" s="360" t="s">
        <v>1653</v>
      </c>
      <c r="X159" s="387"/>
    </row>
    <row r="160" spans="1:24" s="68" customFormat="1" ht="14.25" customHeight="1">
      <c r="A160" s="424" t="s">
        <v>37</v>
      </c>
      <c r="B160" s="424" t="s">
        <v>205</v>
      </c>
      <c r="C160" s="424" t="s">
        <v>756</v>
      </c>
      <c r="D160" s="387" t="s">
        <v>1300</v>
      </c>
      <c r="E160" s="424" t="s">
        <v>1154</v>
      </c>
      <c r="F160" s="424" t="s">
        <v>1342</v>
      </c>
      <c r="G160" s="424" t="s">
        <v>1343</v>
      </c>
      <c r="H160" s="424"/>
      <c r="I160" s="424">
        <v>0</v>
      </c>
      <c r="J160" s="424" t="s">
        <v>43</v>
      </c>
      <c r="K160" s="424" t="s">
        <v>43</v>
      </c>
      <c r="L160" s="424" t="s">
        <v>572</v>
      </c>
      <c r="M160" s="424" t="s">
        <v>44</v>
      </c>
      <c r="N160" s="424">
        <v>24.759551999999999</v>
      </c>
      <c r="O160" s="424">
        <v>97.276591999999994</v>
      </c>
      <c r="P160" s="424" t="s">
        <v>585</v>
      </c>
      <c r="Q160" s="424" t="s">
        <v>574</v>
      </c>
      <c r="R160" s="428">
        <v>0</v>
      </c>
      <c r="S160" s="428">
        <v>0</v>
      </c>
      <c r="T160" s="441">
        <v>42983</v>
      </c>
      <c r="U160" s="430" t="s">
        <v>757</v>
      </c>
      <c r="V160" s="424" t="s">
        <v>756</v>
      </c>
      <c r="W160" s="424" t="s">
        <v>1654</v>
      </c>
      <c r="X160" s="387"/>
    </row>
    <row r="161" spans="1:24" s="68" customFormat="1" ht="14.25" customHeight="1">
      <c r="A161" s="424" t="s">
        <v>37</v>
      </c>
      <c r="B161" s="424" t="s">
        <v>205</v>
      </c>
      <c r="C161" s="424" t="s">
        <v>211</v>
      </c>
      <c r="D161" s="387" t="s">
        <v>1300</v>
      </c>
      <c r="E161" s="424" t="s">
        <v>1128</v>
      </c>
      <c r="F161" s="424" t="s">
        <v>1307</v>
      </c>
      <c r="G161" s="424" t="s">
        <v>1308</v>
      </c>
      <c r="H161" s="424"/>
      <c r="I161" s="424">
        <v>0</v>
      </c>
      <c r="J161" s="424" t="s">
        <v>43</v>
      </c>
      <c r="K161" s="424" t="s">
        <v>43</v>
      </c>
      <c r="L161" s="424" t="s">
        <v>43</v>
      </c>
      <c r="M161" s="424" t="s">
        <v>44</v>
      </c>
      <c r="N161" s="424">
        <v>24.251860000000001</v>
      </c>
      <c r="O161" s="424">
        <v>97.346940000000004</v>
      </c>
      <c r="P161" s="424" t="s">
        <v>573</v>
      </c>
      <c r="Q161" s="424" t="s">
        <v>592</v>
      </c>
      <c r="R161" s="428">
        <v>0</v>
      </c>
      <c r="S161" s="429">
        <v>0</v>
      </c>
      <c r="T161" s="441"/>
      <c r="U161" s="430" t="s">
        <v>727</v>
      </c>
      <c r="V161" s="424" t="s">
        <v>211</v>
      </c>
      <c r="W161" s="424" t="s">
        <v>1655</v>
      </c>
      <c r="X161" s="387"/>
    </row>
    <row r="162" spans="1:24" s="68" customFormat="1" ht="14.25" customHeight="1">
      <c r="A162" s="433" t="s">
        <v>37</v>
      </c>
      <c r="B162" s="432" t="s">
        <v>205</v>
      </c>
      <c r="C162" s="426" t="s">
        <v>213</v>
      </c>
      <c r="D162" s="427" t="s">
        <v>2987</v>
      </c>
      <c r="E162" s="424" t="s">
        <v>1125</v>
      </c>
      <c r="F162" s="424" t="s">
        <v>1307</v>
      </c>
      <c r="G162" s="424" t="s">
        <v>1308</v>
      </c>
      <c r="H162" s="424" t="s">
        <v>41</v>
      </c>
      <c r="I162" s="424" t="s">
        <v>2116</v>
      </c>
      <c r="J162" s="424" t="s">
        <v>43</v>
      </c>
      <c r="K162" s="424" t="s">
        <v>43</v>
      </c>
      <c r="L162" s="424" t="s">
        <v>43</v>
      </c>
      <c r="M162" s="424" t="s">
        <v>44</v>
      </c>
      <c r="N162" s="424">
        <v>24.250689999999999</v>
      </c>
      <c r="O162" s="424">
        <v>97.344359999999995</v>
      </c>
      <c r="P162" s="424" t="s">
        <v>573</v>
      </c>
      <c r="Q162" s="424" t="s">
        <v>592</v>
      </c>
      <c r="R162" s="436">
        <v>416</v>
      </c>
      <c r="S162" s="429">
        <v>1936</v>
      </c>
      <c r="T162" s="441"/>
      <c r="U162" s="430"/>
      <c r="V162" s="424" t="s">
        <v>213</v>
      </c>
      <c r="W162" s="424"/>
      <c r="X162" s="427"/>
    </row>
    <row r="163" spans="1:24" s="68" customFormat="1" ht="14.25" customHeight="1">
      <c r="A163" s="424" t="s">
        <v>37</v>
      </c>
      <c r="B163" s="424" t="s">
        <v>205</v>
      </c>
      <c r="C163" s="424" t="s">
        <v>734</v>
      </c>
      <c r="D163" s="387" t="s">
        <v>1300</v>
      </c>
      <c r="E163" s="424" t="s">
        <v>1127</v>
      </c>
      <c r="F163" s="424" t="s">
        <v>1307</v>
      </c>
      <c r="G163" s="424" t="s">
        <v>1333</v>
      </c>
      <c r="H163" s="424" t="s">
        <v>41</v>
      </c>
      <c r="I163" s="424" t="s">
        <v>42</v>
      </c>
      <c r="J163" s="424" t="s">
        <v>43</v>
      </c>
      <c r="K163" s="424" t="s">
        <v>43</v>
      </c>
      <c r="L163" s="424" t="s">
        <v>572</v>
      </c>
      <c r="M163" s="424" t="s">
        <v>44</v>
      </c>
      <c r="N163" s="424">
        <v>24.25177</v>
      </c>
      <c r="O163" s="424">
        <v>97.346950000000007</v>
      </c>
      <c r="P163" s="424" t="s">
        <v>573</v>
      </c>
      <c r="Q163" s="424"/>
      <c r="R163" s="428">
        <v>0</v>
      </c>
      <c r="S163" s="428">
        <v>0</v>
      </c>
      <c r="T163" s="441"/>
      <c r="U163" s="430"/>
      <c r="V163" s="424" t="s">
        <v>734</v>
      </c>
      <c r="W163" s="424" t="s">
        <v>1656</v>
      </c>
      <c r="X163" s="387"/>
    </row>
    <row r="164" spans="1:24" s="68" customFormat="1" ht="14.25" customHeight="1">
      <c r="A164" s="424" t="s">
        <v>37</v>
      </c>
      <c r="B164" s="424" t="s">
        <v>205</v>
      </c>
      <c r="C164" s="424" t="s">
        <v>1534</v>
      </c>
      <c r="D164" s="387"/>
      <c r="E164" s="424"/>
      <c r="F164" s="424"/>
      <c r="G164" s="424"/>
      <c r="H164" s="424"/>
      <c r="I164" s="424"/>
      <c r="J164" s="424" t="s">
        <v>1099</v>
      </c>
      <c r="K164" s="424" t="s">
        <v>43</v>
      </c>
      <c r="L164" s="424" t="s">
        <v>43</v>
      </c>
      <c r="M164" s="424" t="s">
        <v>44</v>
      </c>
      <c r="N164" s="424"/>
      <c r="O164" s="424"/>
      <c r="P164" s="424" t="s">
        <v>573</v>
      </c>
      <c r="Q164" s="424" t="s">
        <v>1530</v>
      </c>
      <c r="R164" s="428"/>
      <c r="S164" s="428"/>
      <c r="T164" s="441">
        <v>43270</v>
      </c>
      <c r="U164" s="430"/>
      <c r="V164" s="424"/>
      <c r="W164" s="424"/>
      <c r="X164" s="387"/>
    </row>
    <row r="165" spans="1:24" s="68" customFormat="1" ht="14.25" customHeight="1">
      <c r="A165" s="424" t="s">
        <v>37</v>
      </c>
      <c r="B165" s="424" t="s">
        <v>205</v>
      </c>
      <c r="C165" s="424" t="s">
        <v>2887</v>
      </c>
      <c r="D165" s="427" t="s">
        <v>2987</v>
      </c>
      <c r="E165" s="424" t="s">
        <v>1126</v>
      </c>
      <c r="F165" s="424"/>
      <c r="G165" s="424"/>
      <c r="H165" s="424"/>
      <c r="I165" s="424" t="s">
        <v>1619</v>
      </c>
      <c r="J165" s="424" t="s">
        <v>43</v>
      </c>
      <c r="K165" s="424" t="s">
        <v>43</v>
      </c>
      <c r="L165" s="424" t="s">
        <v>2591</v>
      </c>
      <c r="M165" s="424" t="s">
        <v>44</v>
      </c>
      <c r="N165" s="424">
        <v>24.251232000000002</v>
      </c>
      <c r="O165" s="424">
        <v>97.348405</v>
      </c>
      <c r="P165" s="424" t="s">
        <v>585</v>
      </c>
      <c r="Q165" s="424" t="s">
        <v>574</v>
      </c>
      <c r="R165" s="436">
        <v>112</v>
      </c>
      <c r="S165" s="429">
        <v>566</v>
      </c>
      <c r="T165" s="441"/>
      <c r="U165" s="430" t="s">
        <v>724</v>
      </c>
      <c r="V165" s="424" t="s">
        <v>732</v>
      </c>
      <c r="W165" s="424"/>
      <c r="X165" s="427"/>
    </row>
    <row r="166" spans="1:24" s="68" customFormat="1" ht="14.25" customHeight="1">
      <c r="A166" s="424" t="s">
        <v>37</v>
      </c>
      <c r="B166" s="424" t="s">
        <v>205</v>
      </c>
      <c r="C166" s="424" t="s">
        <v>2884</v>
      </c>
      <c r="D166" s="427" t="s">
        <v>2987</v>
      </c>
      <c r="E166" s="424" t="s">
        <v>1142</v>
      </c>
      <c r="F166" s="424" t="s">
        <v>1461</v>
      </c>
      <c r="G166" s="424" t="s">
        <v>1461</v>
      </c>
      <c r="H166" s="424"/>
      <c r="I166" s="424" t="s">
        <v>1619</v>
      </c>
      <c r="J166" s="424" t="s">
        <v>43</v>
      </c>
      <c r="K166" s="424" t="s">
        <v>43</v>
      </c>
      <c r="L166" s="424" t="s">
        <v>2591</v>
      </c>
      <c r="M166" s="424" t="s">
        <v>44</v>
      </c>
      <c r="N166" s="424">
        <v>24.404876999999999</v>
      </c>
      <c r="O166" s="424">
        <v>97.407787999999996</v>
      </c>
      <c r="P166" s="424" t="s">
        <v>585</v>
      </c>
      <c r="Q166" s="424" t="s">
        <v>574</v>
      </c>
      <c r="R166" s="436">
        <v>15</v>
      </c>
      <c r="S166" s="429">
        <v>101</v>
      </c>
      <c r="T166" s="441"/>
      <c r="U166" s="430" t="s">
        <v>743</v>
      </c>
      <c r="V166" s="424" t="s">
        <v>742</v>
      </c>
      <c r="W166" s="360"/>
      <c r="X166" s="427"/>
    </row>
    <row r="167" spans="1:24" s="68" customFormat="1" ht="14.25" customHeight="1">
      <c r="A167" s="424" t="s">
        <v>37</v>
      </c>
      <c r="B167" s="424" t="s">
        <v>205</v>
      </c>
      <c r="C167" s="424" t="s">
        <v>295</v>
      </c>
      <c r="D167" s="427" t="s">
        <v>2987</v>
      </c>
      <c r="E167" s="424" t="s">
        <v>1141</v>
      </c>
      <c r="F167" s="424" t="s">
        <v>1400</v>
      </c>
      <c r="G167" s="424" t="s">
        <v>1401</v>
      </c>
      <c r="H167" s="424" t="s">
        <v>41</v>
      </c>
      <c r="I167" s="424" t="s">
        <v>42</v>
      </c>
      <c r="J167" s="424" t="s">
        <v>43</v>
      </c>
      <c r="K167" s="424" t="s">
        <v>43</v>
      </c>
      <c r="L167" s="424" t="s">
        <v>43</v>
      </c>
      <c r="M167" s="424" t="s">
        <v>590</v>
      </c>
      <c r="N167" s="424">
        <v>24.378167000000001</v>
      </c>
      <c r="O167" s="424">
        <v>97.669366999999994</v>
      </c>
      <c r="P167" s="424" t="s">
        <v>573</v>
      </c>
      <c r="Q167" s="424" t="s">
        <v>574</v>
      </c>
      <c r="R167" s="436">
        <v>350</v>
      </c>
      <c r="S167" s="429">
        <v>1590</v>
      </c>
      <c r="T167" s="441"/>
      <c r="U167" s="430"/>
      <c r="V167" s="424" t="s">
        <v>295</v>
      </c>
      <c r="W167" s="424"/>
      <c r="X167" s="427"/>
    </row>
    <row r="168" spans="1:24" s="68" customFormat="1" ht="14.25" customHeight="1">
      <c r="A168" s="424" t="s">
        <v>37</v>
      </c>
      <c r="B168" s="424" t="s">
        <v>205</v>
      </c>
      <c r="C168" s="424" t="s">
        <v>735</v>
      </c>
      <c r="D168" s="387" t="s">
        <v>1300</v>
      </c>
      <c r="E168" s="424" t="s">
        <v>1130</v>
      </c>
      <c r="F168" s="424" t="s">
        <v>1307</v>
      </c>
      <c r="G168" s="424" t="s">
        <v>1308</v>
      </c>
      <c r="H168" s="424" t="s">
        <v>41</v>
      </c>
      <c r="I168" s="424" t="s">
        <v>242</v>
      </c>
      <c r="J168" s="424" t="s">
        <v>43</v>
      </c>
      <c r="K168" s="424" t="s">
        <v>43</v>
      </c>
      <c r="L168" s="424" t="s">
        <v>572</v>
      </c>
      <c r="M168" s="424" t="s">
        <v>44</v>
      </c>
      <c r="N168" s="424">
        <v>24.253769999999999</v>
      </c>
      <c r="O168" s="424">
        <v>97.347740000000002</v>
      </c>
      <c r="P168" s="424" t="s">
        <v>573</v>
      </c>
      <c r="Q168" s="424"/>
      <c r="R168" s="428">
        <v>0</v>
      </c>
      <c r="S168" s="428">
        <v>0</v>
      </c>
      <c r="T168" s="441"/>
      <c r="U168" s="430"/>
      <c r="V168" s="424" t="s">
        <v>735</v>
      </c>
      <c r="W168" s="424" t="s">
        <v>1657</v>
      </c>
      <c r="X168" s="387"/>
    </row>
    <row r="169" spans="1:24" s="68" customFormat="1" ht="14.25" customHeight="1">
      <c r="A169" s="424" t="s">
        <v>37</v>
      </c>
      <c r="B169" s="424" t="s">
        <v>205</v>
      </c>
      <c r="C169" s="424" t="s">
        <v>284</v>
      </c>
      <c r="D169" s="427" t="s">
        <v>2987</v>
      </c>
      <c r="E169" s="424" t="s">
        <v>1117</v>
      </c>
      <c r="F169" s="424" t="s">
        <v>1385</v>
      </c>
      <c r="G169" s="424" t="s">
        <v>1386</v>
      </c>
      <c r="H169" s="424" t="s">
        <v>41</v>
      </c>
      <c r="I169" s="424" t="s">
        <v>2116</v>
      </c>
      <c r="J169" s="424" t="s">
        <v>43</v>
      </c>
      <c r="K169" s="424" t="s">
        <v>43</v>
      </c>
      <c r="L169" s="424" t="s">
        <v>43</v>
      </c>
      <c r="M169" s="424" t="s">
        <v>44</v>
      </c>
      <c r="N169" s="424">
        <v>24.205417000000001</v>
      </c>
      <c r="O169" s="424">
        <v>97.724483000000006</v>
      </c>
      <c r="P169" s="424" t="s">
        <v>573</v>
      </c>
      <c r="Q169" s="424" t="s">
        <v>592</v>
      </c>
      <c r="R169" s="436">
        <v>48</v>
      </c>
      <c r="S169" s="429">
        <v>293</v>
      </c>
      <c r="T169" s="441"/>
      <c r="U169" s="430"/>
      <c r="V169" s="424" t="s">
        <v>284</v>
      </c>
      <c r="W169" s="424"/>
      <c r="X169" s="427"/>
    </row>
    <row r="170" spans="1:24" s="68" customFormat="1" ht="14.25" customHeight="1">
      <c r="A170" s="424" t="s">
        <v>37</v>
      </c>
      <c r="B170" s="424" t="s">
        <v>205</v>
      </c>
      <c r="C170" s="424" t="s">
        <v>296</v>
      </c>
      <c r="D170" s="427" t="s">
        <v>2987</v>
      </c>
      <c r="E170" s="424" t="s">
        <v>1137</v>
      </c>
      <c r="F170" s="424" t="s">
        <v>1397</v>
      </c>
      <c r="G170" s="424" t="s">
        <v>1398</v>
      </c>
      <c r="H170" s="424" t="s">
        <v>41</v>
      </c>
      <c r="I170" s="424" t="s">
        <v>42</v>
      </c>
      <c r="J170" s="424" t="s">
        <v>43</v>
      </c>
      <c r="K170" s="424" t="s">
        <v>43</v>
      </c>
      <c r="L170" s="424" t="s">
        <v>43</v>
      </c>
      <c r="M170" s="424" t="s">
        <v>590</v>
      </c>
      <c r="N170" s="424">
        <v>24.2744</v>
      </c>
      <c r="O170" s="424">
        <v>97.752667000000002</v>
      </c>
      <c r="P170" s="424" t="s">
        <v>573</v>
      </c>
      <c r="Q170" s="424" t="s">
        <v>574</v>
      </c>
      <c r="R170" s="436">
        <v>613</v>
      </c>
      <c r="S170" s="429">
        <v>3655</v>
      </c>
      <c r="T170" s="441"/>
      <c r="U170" s="430"/>
      <c r="V170" s="424" t="s">
        <v>296</v>
      </c>
      <c r="W170" s="424"/>
      <c r="X170" s="427"/>
    </row>
    <row r="171" spans="1:24" s="68" customFormat="1" ht="14.25" customHeight="1">
      <c r="A171" s="424" t="s">
        <v>37</v>
      </c>
      <c r="B171" s="424" t="s">
        <v>205</v>
      </c>
      <c r="C171" s="424" t="s">
        <v>854</v>
      </c>
      <c r="D171" s="387" t="s">
        <v>1299</v>
      </c>
      <c r="E171" s="424"/>
      <c r="F171" s="424"/>
      <c r="G171" s="424"/>
      <c r="H171" s="424"/>
      <c r="I171" s="424"/>
      <c r="J171" s="424" t="s">
        <v>43</v>
      </c>
      <c r="K171" s="424" t="s">
        <v>43</v>
      </c>
      <c r="L171" s="424" t="s">
        <v>815</v>
      </c>
      <c r="M171" s="424" t="s">
        <v>590</v>
      </c>
      <c r="N171" s="424"/>
      <c r="O171" s="424"/>
      <c r="P171" s="424" t="s">
        <v>573</v>
      </c>
      <c r="Q171" s="424"/>
      <c r="R171" s="428"/>
      <c r="S171" s="429"/>
      <c r="T171" s="441"/>
      <c r="U171" s="430"/>
      <c r="V171" s="424" t="s">
        <v>854</v>
      </c>
      <c r="W171" s="424"/>
      <c r="X171" s="387"/>
    </row>
    <row r="172" spans="1:24" s="68" customFormat="1" ht="14.25" customHeight="1">
      <c r="A172" s="426" t="s">
        <v>37</v>
      </c>
      <c r="B172" s="426" t="s">
        <v>205</v>
      </c>
      <c r="C172" s="426" t="s">
        <v>855</v>
      </c>
      <c r="D172" s="387" t="s">
        <v>1299</v>
      </c>
      <c r="E172" s="426"/>
      <c r="F172" s="426"/>
      <c r="G172" s="426"/>
      <c r="H172" s="426"/>
      <c r="I172" s="426"/>
      <c r="J172" s="426" t="s">
        <v>43</v>
      </c>
      <c r="K172" s="426" t="s">
        <v>43</v>
      </c>
      <c r="L172" s="424" t="s">
        <v>815</v>
      </c>
      <c r="M172" s="426" t="s">
        <v>590</v>
      </c>
      <c r="N172" s="426"/>
      <c r="O172" s="426"/>
      <c r="P172" s="424" t="s">
        <v>573</v>
      </c>
      <c r="Q172" s="426"/>
      <c r="R172" s="432"/>
      <c r="S172" s="433"/>
      <c r="T172" s="442"/>
      <c r="U172" s="434"/>
      <c r="V172" s="426" t="s">
        <v>855</v>
      </c>
      <c r="W172" s="424"/>
      <c r="X172" s="387"/>
    </row>
    <row r="173" spans="1:24" s="68" customFormat="1" ht="14.25" customHeight="1">
      <c r="A173" s="424" t="s">
        <v>37</v>
      </c>
      <c r="B173" s="424" t="s">
        <v>205</v>
      </c>
      <c r="C173" s="424" t="s">
        <v>856</v>
      </c>
      <c r="D173" s="387" t="s">
        <v>2256</v>
      </c>
      <c r="E173" s="424"/>
      <c r="F173" s="424"/>
      <c r="G173" s="424"/>
      <c r="H173" s="424"/>
      <c r="I173" s="424"/>
      <c r="J173" s="424" t="s">
        <v>826</v>
      </c>
      <c r="K173" s="424" t="s">
        <v>43</v>
      </c>
      <c r="L173" s="424" t="s">
        <v>826</v>
      </c>
      <c r="M173" s="424" t="s">
        <v>590</v>
      </c>
      <c r="N173" s="424"/>
      <c r="O173" s="424"/>
      <c r="P173" s="424" t="s">
        <v>573</v>
      </c>
      <c r="Q173" s="424"/>
      <c r="R173" s="428"/>
      <c r="S173" s="429"/>
      <c r="T173" s="441"/>
      <c r="U173" s="430"/>
      <c r="V173" s="424" t="s">
        <v>856</v>
      </c>
      <c r="W173" s="424"/>
      <c r="X173" s="387"/>
    </row>
    <row r="174" spans="1:24" s="68" customFormat="1" ht="14.25" customHeight="1">
      <c r="A174" s="424" t="s">
        <v>37</v>
      </c>
      <c r="B174" s="424" t="s">
        <v>205</v>
      </c>
      <c r="C174" s="424" t="s">
        <v>857</v>
      </c>
      <c r="D174" s="387" t="s">
        <v>2256</v>
      </c>
      <c r="E174" s="424"/>
      <c r="F174" s="424"/>
      <c r="G174" s="424"/>
      <c r="H174" s="424"/>
      <c r="I174" s="424"/>
      <c r="J174" s="424" t="s">
        <v>826</v>
      </c>
      <c r="K174" s="424" t="s">
        <v>43</v>
      </c>
      <c r="L174" s="424" t="s">
        <v>826</v>
      </c>
      <c r="M174" s="424" t="s">
        <v>590</v>
      </c>
      <c r="N174" s="424"/>
      <c r="O174" s="424"/>
      <c r="P174" s="424" t="s">
        <v>573</v>
      </c>
      <c r="Q174" s="424"/>
      <c r="R174" s="428"/>
      <c r="S174" s="429"/>
      <c r="T174" s="441"/>
      <c r="U174" s="430"/>
      <c r="V174" s="424" t="s">
        <v>857</v>
      </c>
      <c r="W174" s="424"/>
      <c r="X174" s="387"/>
    </row>
    <row r="175" spans="1:24" s="68" customFormat="1" ht="14.25" customHeight="1">
      <c r="A175" s="424" t="s">
        <v>37</v>
      </c>
      <c r="B175" s="424" t="s">
        <v>205</v>
      </c>
      <c r="C175" s="424" t="s">
        <v>858</v>
      </c>
      <c r="D175" s="387" t="s">
        <v>1299</v>
      </c>
      <c r="E175" s="424"/>
      <c r="F175" s="424"/>
      <c r="G175" s="424"/>
      <c r="H175" s="424"/>
      <c r="I175" s="424"/>
      <c r="J175" s="424" t="s">
        <v>607</v>
      </c>
      <c r="K175" s="424" t="s">
        <v>607</v>
      </c>
      <c r="L175" s="424" t="s">
        <v>607</v>
      </c>
      <c r="M175" s="424" t="s">
        <v>590</v>
      </c>
      <c r="N175" s="424"/>
      <c r="O175" s="424"/>
      <c r="P175" s="424" t="s">
        <v>608</v>
      </c>
      <c r="Q175" s="424"/>
      <c r="R175" s="428"/>
      <c r="S175" s="429"/>
      <c r="T175" s="441"/>
      <c r="U175" s="430"/>
      <c r="V175" s="424" t="s">
        <v>858</v>
      </c>
      <c r="W175" s="360"/>
      <c r="X175" s="387"/>
    </row>
    <row r="176" spans="1:24" s="68" customFormat="1" ht="14.25" customHeight="1">
      <c r="A176" s="424" t="s">
        <v>37</v>
      </c>
      <c r="B176" s="426" t="s">
        <v>205</v>
      </c>
      <c r="C176" s="426" t="s">
        <v>859</v>
      </c>
      <c r="D176" s="387" t="s">
        <v>2256</v>
      </c>
      <c r="E176" s="424"/>
      <c r="F176" s="424"/>
      <c r="G176" s="424"/>
      <c r="H176" s="424"/>
      <c r="I176" s="424"/>
      <c r="J176" s="424" t="s">
        <v>826</v>
      </c>
      <c r="K176" s="424" t="s">
        <v>43</v>
      </c>
      <c r="L176" s="424" t="s">
        <v>826</v>
      </c>
      <c r="M176" s="424" t="s">
        <v>590</v>
      </c>
      <c r="N176" s="424"/>
      <c r="O176" s="424"/>
      <c r="P176" s="424" t="s">
        <v>573</v>
      </c>
      <c r="Q176" s="424"/>
      <c r="R176" s="428"/>
      <c r="S176" s="428"/>
      <c r="T176" s="441"/>
      <c r="U176" s="430"/>
      <c r="V176" s="424" t="s">
        <v>859</v>
      </c>
      <c r="W176" s="424"/>
      <c r="X176" s="387"/>
    </row>
    <row r="177" spans="1:24" s="68" customFormat="1" ht="14.25" customHeight="1">
      <c r="A177" s="424" t="s">
        <v>37</v>
      </c>
      <c r="B177" s="426" t="s">
        <v>205</v>
      </c>
      <c r="C177" s="426" t="s">
        <v>751</v>
      </c>
      <c r="D177" s="387" t="s">
        <v>1300</v>
      </c>
      <c r="E177" s="424" t="s">
        <v>1148</v>
      </c>
      <c r="F177" s="424" t="s">
        <v>1339</v>
      </c>
      <c r="G177" s="424" t="s">
        <v>1340</v>
      </c>
      <c r="H177" s="424"/>
      <c r="I177" s="424">
        <v>0</v>
      </c>
      <c r="J177" s="424" t="s">
        <v>43</v>
      </c>
      <c r="K177" s="424" t="s">
        <v>43</v>
      </c>
      <c r="L177" s="424" t="s">
        <v>572</v>
      </c>
      <c r="M177" s="424" t="s">
        <v>44</v>
      </c>
      <c r="N177" s="424">
        <v>24.630859999999998</v>
      </c>
      <c r="O177" s="424">
        <v>97.429860000000005</v>
      </c>
      <c r="P177" s="424" t="s">
        <v>585</v>
      </c>
      <c r="Q177" s="424" t="s">
        <v>574</v>
      </c>
      <c r="R177" s="428">
        <v>0</v>
      </c>
      <c r="S177" s="429">
        <v>0</v>
      </c>
      <c r="T177" s="441">
        <v>42983</v>
      </c>
      <c r="U177" s="430" t="s">
        <v>752</v>
      </c>
      <c r="V177" s="424" t="s">
        <v>751</v>
      </c>
      <c r="W177" s="360" t="s">
        <v>1658</v>
      </c>
      <c r="X177" s="387"/>
    </row>
    <row r="178" spans="1:24" s="68" customFormat="1" ht="14.25" customHeight="1">
      <c r="A178" s="424" t="s">
        <v>37</v>
      </c>
      <c r="B178" s="424" t="s">
        <v>205</v>
      </c>
      <c r="C178" s="424" t="s">
        <v>286</v>
      </c>
      <c r="D178" s="427" t="s">
        <v>2987</v>
      </c>
      <c r="E178" s="424" t="s">
        <v>1119</v>
      </c>
      <c r="F178" s="424" t="s">
        <v>1385</v>
      </c>
      <c r="G178" s="424" t="s">
        <v>1388</v>
      </c>
      <c r="H178" s="424" t="s">
        <v>41</v>
      </c>
      <c r="I178" s="424" t="s">
        <v>2116</v>
      </c>
      <c r="J178" s="424" t="s">
        <v>43</v>
      </c>
      <c r="K178" s="424" t="s">
        <v>43</v>
      </c>
      <c r="L178" s="424" t="s">
        <v>43</v>
      </c>
      <c r="M178" s="424" t="s">
        <v>44</v>
      </c>
      <c r="N178" s="424">
        <v>24.207332999999998</v>
      </c>
      <c r="O178" s="424">
        <v>97.710864000000001</v>
      </c>
      <c r="P178" s="424" t="s">
        <v>573</v>
      </c>
      <c r="Q178" s="424" t="s">
        <v>592</v>
      </c>
      <c r="R178" s="436">
        <v>52</v>
      </c>
      <c r="S178" s="429">
        <v>299</v>
      </c>
      <c r="T178" s="441"/>
      <c r="U178" s="430"/>
      <c r="V178" s="424" t="s">
        <v>286</v>
      </c>
      <c r="W178" s="424"/>
      <c r="X178" s="427"/>
    </row>
    <row r="179" spans="1:24" s="68" customFormat="1" ht="14.25" customHeight="1">
      <c r="A179" s="429" t="s">
        <v>37</v>
      </c>
      <c r="B179" s="432" t="s">
        <v>205</v>
      </c>
      <c r="C179" s="433" t="s">
        <v>748</v>
      </c>
      <c r="D179" s="427" t="s">
        <v>1300</v>
      </c>
      <c r="E179" s="424" t="s">
        <v>1146</v>
      </c>
      <c r="F179" s="424" t="s">
        <v>1336</v>
      </c>
      <c r="G179" s="424" t="s">
        <v>1336</v>
      </c>
      <c r="H179" s="424"/>
      <c r="I179" s="424">
        <v>0</v>
      </c>
      <c r="J179" s="424" t="s">
        <v>43</v>
      </c>
      <c r="K179" s="426" t="s">
        <v>43</v>
      </c>
      <c r="L179" s="426" t="s">
        <v>572</v>
      </c>
      <c r="M179" s="424" t="s">
        <v>44</v>
      </c>
      <c r="N179" s="424">
        <v>24.492493</v>
      </c>
      <c r="O179" s="424">
        <v>97.416826999999998</v>
      </c>
      <c r="P179" s="424" t="s">
        <v>585</v>
      </c>
      <c r="Q179" s="424" t="s">
        <v>574</v>
      </c>
      <c r="R179" s="436">
        <v>0</v>
      </c>
      <c r="S179" s="429">
        <v>0</v>
      </c>
      <c r="T179" s="441">
        <v>42983</v>
      </c>
      <c r="U179" s="430" t="s">
        <v>745</v>
      </c>
      <c r="V179" s="424" t="s">
        <v>748</v>
      </c>
      <c r="W179" s="424" t="s">
        <v>1659</v>
      </c>
      <c r="X179" s="427"/>
    </row>
    <row r="180" spans="1:24" s="68" customFormat="1" ht="14.25" customHeight="1">
      <c r="A180" s="424" t="s">
        <v>37</v>
      </c>
      <c r="B180" s="424" t="s">
        <v>159</v>
      </c>
      <c r="C180" s="424" t="s">
        <v>816</v>
      </c>
      <c r="D180" s="387" t="s">
        <v>1300</v>
      </c>
      <c r="E180" s="424" t="s">
        <v>1558</v>
      </c>
      <c r="F180" s="424" t="s">
        <v>1349</v>
      </c>
      <c r="G180" s="424" t="s">
        <v>1364</v>
      </c>
      <c r="H180" s="424"/>
      <c r="I180" s="424" t="s">
        <v>1619</v>
      </c>
      <c r="J180" s="424" t="s">
        <v>43</v>
      </c>
      <c r="K180" s="424" t="s">
        <v>43</v>
      </c>
      <c r="L180" s="424" t="s">
        <v>572</v>
      </c>
      <c r="M180" s="424" t="s">
        <v>44</v>
      </c>
      <c r="N180" s="424"/>
      <c r="O180" s="424"/>
      <c r="P180" s="424" t="s">
        <v>573</v>
      </c>
      <c r="Q180" s="424" t="s">
        <v>667</v>
      </c>
      <c r="R180" s="428"/>
      <c r="S180" s="428"/>
      <c r="T180" s="441"/>
      <c r="U180" s="430" t="s">
        <v>817</v>
      </c>
      <c r="V180" s="424"/>
      <c r="W180" s="424" t="s">
        <v>1660</v>
      </c>
      <c r="X180" s="387"/>
    </row>
    <row r="181" spans="1:24" s="68" customFormat="1" ht="14.25" customHeight="1">
      <c r="A181" s="424" t="s">
        <v>37</v>
      </c>
      <c r="B181" s="424" t="s">
        <v>159</v>
      </c>
      <c r="C181" s="424" t="s">
        <v>1595</v>
      </c>
      <c r="D181" s="387"/>
      <c r="E181" s="424"/>
      <c r="F181" s="424"/>
      <c r="G181" s="424"/>
      <c r="H181" s="424"/>
      <c r="I181" s="424"/>
      <c r="J181" s="424" t="s">
        <v>1099</v>
      </c>
      <c r="K181" s="424" t="s">
        <v>43</v>
      </c>
      <c r="L181" s="424" t="s">
        <v>588</v>
      </c>
      <c r="M181" s="424" t="s">
        <v>590</v>
      </c>
      <c r="N181" s="424"/>
      <c r="O181" s="424"/>
      <c r="P181" s="424" t="s">
        <v>573</v>
      </c>
      <c r="Q181" s="424"/>
      <c r="R181" s="428"/>
      <c r="S181" s="429"/>
      <c r="T181" s="441">
        <v>43298</v>
      </c>
      <c r="U181" s="430"/>
      <c r="V181" s="424"/>
      <c r="W181" s="424"/>
      <c r="X181" s="387"/>
    </row>
    <row r="182" spans="1:24" s="68" customFormat="1" ht="14.25" customHeight="1">
      <c r="A182" s="424" t="s">
        <v>37</v>
      </c>
      <c r="B182" s="424" t="s">
        <v>159</v>
      </c>
      <c r="C182" s="424" t="s">
        <v>160</v>
      </c>
      <c r="D182" s="427" t="s">
        <v>2987</v>
      </c>
      <c r="E182" s="424" t="s">
        <v>1192</v>
      </c>
      <c r="F182" s="424" t="s">
        <v>1349</v>
      </c>
      <c r="G182" s="424" t="s">
        <v>1428</v>
      </c>
      <c r="H182" s="424" t="s">
        <v>41</v>
      </c>
      <c r="I182" s="424" t="s">
        <v>2117</v>
      </c>
      <c r="J182" s="424" t="s">
        <v>43</v>
      </c>
      <c r="K182" s="424" t="s">
        <v>43</v>
      </c>
      <c r="L182" s="424" t="s">
        <v>43</v>
      </c>
      <c r="M182" s="424" t="s">
        <v>44</v>
      </c>
      <c r="N182" s="424">
        <v>25.3959740909091</v>
      </c>
      <c r="O182" s="424">
        <v>97.382997575757599</v>
      </c>
      <c r="P182" s="424" t="s">
        <v>573</v>
      </c>
      <c r="Q182" s="424" t="s">
        <v>592</v>
      </c>
      <c r="R182" s="436">
        <v>45</v>
      </c>
      <c r="S182" s="429">
        <v>197</v>
      </c>
      <c r="T182" s="441">
        <v>42983</v>
      </c>
      <c r="U182" s="430" t="s">
        <v>779</v>
      </c>
      <c r="V182" s="424" t="s">
        <v>780</v>
      </c>
      <c r="W182" s="424"/>
      <c r="X182" s="427"/>
    </row>
    <row r="183" spans="1:24" s="68" customFormat="1" ht="14.25" customHeight="1">
      <c r="A183" s="424" t="s">
        <v>37</v>
      </c>
      <c r="B183" s="424" t="s">
        <v>159</v>
      </c>
      <c r="C183" s="424" t="s">
        <v>782</v>
      </c>
      <c r="D183" s="387" t="s">
        <v>2256</v>
      </c>
      <c r="E183" s="424" t="s">
        <v>1194</v>
      </c>
      <c r="F183" s="424"/>
      <c r="G183" s="424"/>
      <c r="H183" s="424"/>
      <c r="I183" s="424"/>
      <c r="J183" s="424" t="s">
        <v>43</v>
      </c>
      <c r="K183" s="424" t="s">
        <v>43</v>
      </c>
      <c r="L183" s="424" t="s">
        <v>43</v>
      </c>
      <c r="M183" s="424" t="s">
        <v>44</v>
      </c>
      <c r="N183" s="424">
        <v>25.400270190000001</v>
      </c>
      <c r="O183" s="424">
        <v>97.384729629999995</v>
      </c>
      <c r="P183" s="424" t="s">
        <v>573</v>
      </c>
      <c r="Q183" s="424" t="s">
        <v>592</v>
      </c>
      <c r="R183" s="428"/>
      <c r="S183" s="429"/>
      <c r="T183" s="441"/>
      <c r="U183" s="430" t="s">
        <v>779</v>
      </c>
      <c r="V183" s="424" t="s">
        <v>782</v>
      </c>
      <c r="W183" s="424"/>
      <c r="X183" s="387"/>
    </row>
    <row r="184" spans="1:24" s="68" customFormat="1" ht="14.25" customHeight="1">
      <c r="A184" s="424" t="s">
        <v>37</v>
      </c>
      <c r="B184" s="424" t="s">
        <v>159</v>
      </c>
      <c r="C184" s="424" t="s">
        <v>780</v>
      </c>
      <c r="D184" s="387" t="s">
        <v>2256</v>
      </c>
      <c r="E184" s="424"/>
      <c r="F184" s="424"/>
      <c r="G184" s="424"/>
      <c r="H184" s="424"/>
      <c r="I184" s="424"/>
      <c r="J184" s="424" t="s">
        <v>43</v>
      </c>
      <c r="K184" s="424" t="s">
        <v>43</v>
      </c>
      <c r="L184" s="424" t="s">
        <v>43</v>
      </c>
      <c r="M184" s="424" t="s">
        <v>44</v>
      </c>
      <c r="N184" s="424">
        <v>25.395974089999999</v>
      </c>
      <c r="O184" s="424">
        <v>97.382997579999994</v>
      </c>
      <c r="P184" s="424" t="s">
        <v>573</v>
      </c>
      <c r="Q184" s="424" t="s">
        <v>592</v>
      </c>
      <c r="R184" s="428"/>
      <c r="S184" s="428"/>
      <c r="T184" s="441"/>
      <c r="U184" s="430"/>
      <c r="V184" s="424" t="s">
        <v>780</v>
      </c>
      <c r="W184" s="424"/>
      <c r="X184" s="387"/>
    </row>
    <row r="185" spans="1:24" s="68" customFormat="1" ht="14.25" customHeight="1">
      <c r="A185" s="424" t="s">
        <v>37</v>
      </c>
      <c r="B185" s="424" t="s">
        <v>159</v>
      </c>
      <c r="C185" s="424" t="s">
        <v>781</v>
      </c>
      <c r="D185" s="387" t="s">
        <v>2256</v>
      </c>
      <c r="E185" s="424" t="s">
        <v>1193</v>
      </c>
      <c r="F185" s="424"/>
      <c r="G185" s="424"/>
      <c r="H185" s="424"/>
      <c r="I185" s="424"/>
      <c r="J185" s="424" t="s">
        <v>43</v>
      </c>
      <c r="K185" s="424" t="s">
        <v>43</v>
      </c>
      <c r="L185" s="424" t="s">
        <v>43</v>
      </c>
      <c r="M185" s="424" t="s">
        <v>44</v>
      </c>
      <c r="N185" s="424">
        <v>25.396492500000001</v>
      </c>
      <c r="O185" s="424">
        <v>97.381325000000004</v>
      </c>
      <c r="P185" s="424" t="s">
        <v>573</v>
      </c>
      <c r="Q185" s="424" t="s">
        <v>592</v>
      </c>
      <c r="R185" s="428"/>
      <c r="S185" s="428"/>
      <c r="T185" s="441"/>
      <c r="U185" s="430" t="s">
        <v>779</v>
      </c>
      <c r="V185" s="424" t="s">
        <v>781</v>
      </c>
      <c r="W185" s="424"/>
      <c r="X185" s="387"/>
    </row>
    <row r="186" spans="1:24" s="68" customFormat="1" ht="14.25" customHeight="1">
      <c r="A186" s="433" t="s">
        <v>37</v>
      </c>
      <c r="B186" s="432" t="s">
        <v>159</v>
      </c>
      <c r="C186" s="426" t="s">
        <v>161</v>
      </c>
      <c r="D186" s="427" t="s">
        <v>2987</v>
      </c>
      <c r="E186" s="424" t="s">
        <v>1196</v>
      </c>
      <c r="F186" s="424" t="s">
        <v>1349</v>
      </c>
      <c r="G186" s="424" t="s">
        <v>1429</v>
      </c>
      <c r="H186" s="424" t="s">
        <v>41</v>
      </c>
      <c r="I186" s="424" t="s">
        <v>2117</v>
      </c>
      <c r="J186" s="424" t="s">
        <v>43</v>
      </c>
      <c r="K186" s="424" t="s">
        <v>43</v>
      </c>
      <c r="L186" s="424" t="s">
        <v>43</v>
      </c>
      <c r="M186" s="424" t="s">
        <v>44</v>
      </c>
      <c r="N186" s="424">
        <v>25.397850999999999</v>
      </c>
      <c r="O186" s="424">
        <v>97.370900000000006</v>
      </c>
      <c r="P186" s="426" t="s">
        <v>573</v>
      </c>
      <c r="Q186" s="424" t="s">
        <v>592</v>
      </c>
      <c r="R186" s="436">
        <v>134</v>
      </c>
      <c r="S186" s="429">
        <v>732</v>
      </c>
      <c r="T186" s="441"/>
      <c r="U186" s="430"/>
      <c r="V186" s="424" t="s">
        <v>161</v>
      </c>
      <c r="W186" s="360"/>
      <c r="X186" s="427"/>
    </row>
    <row r="187" spans="1:24" s="68" customFormat="1" ht="14.25" customHeight="1">
      <c r="A187" s="433" t="s">
        <v>37</v>
      </c>
      <c r="B187" s="432" t="s">
        <v>159</v>
      </c>
      <c r="C187" s="426" t="s">
        <v>233</v>
      </c>
      <c r="D187" s="427" t="s">
        <v>2987</v>
      </c>
      <c r="E187" s="424" t="s">
        <v>1195</v>
      </c>
      <c r="F187" s="424" t="s">
        <v>1349</v>
      </c>
      <c r="G187" s="424" t="s">
        <v>1429</v>
      </c>
      <c r="H187" s="424" t="s">
        <v>41</v>
      </c>
      <c r="I187" s="424" t="s">
        <v>1035</v>
      </c>
      <c r="J187" s="424" t="s">
        <v>43</v>
      </c>
      <c r="K187" s="424" t="s">
        <v>43</v>
      </c>
      <c r="L187" s="424" t="s">
        <v>43</v>
      </c>
      <c r="M187" s="424" t="s">
        <v>44</v>
      </c>
      <c r="N187" s="424">
        <v>25.403476999999999</v>
      </c>
      <c r="O187" s="424">
        <v>97.373361000000003</v>
      </c>
      <c r="P187" s="424" t="s">
        <v>573</v>
      </c>
      <c r="Q187" s="424" t="s">
        <v>592</v>
      </c>
      <c r="R187" s="436">
        <v>63</v>
      </c>
      <c r="S187" s="429">
        <v>337</v>
      </c>
      <c r="T187" s="441"/>
      <c r="U187" s="430"/>
      <c r="V187" s="424" t="s">
        <v>233</v>
      </c>
      <c r="W187" s="424"/>
      <c r="X187" s="427"/>
    </row>
    <row r="188" spans="1:24" s="68" customFormat="1" ht="14.25" customHeight="1">
      <c r="A188" s="424" t="s">
        <v>37</v>
      </c>
      <c r="B188" s="424" t="s">
        <v>159</v>
      </c>
      <c r="C188" s="424" t="s">
        <v>1604</v>
      </c>
      <c r="D188" s="427" t="s">
        <v>2987</v>
      </c>
      <c r="E188" s="424" t="s">
        <v>1555</v>
      </c>
      <c r="F188" s="424"/>
      <c r="G188" s="424"/>
      <c r="H188" s="424"/>
      <c r="I188" s="424" t="s">
        <v>2117</v>
      </c>
      <c r="J188" s="424" t="s">
        <v>43</v>
      </c>
      <c r="K188" s="424" t="s">
        <v>43</v>
      </c>
      <c r="L188" s="426" t="s">
        <v>43</v>
      </c>
      <c r="M188" s="424" t="s">
        <v>44</v>
      </c>
      <c r="N188" s="424">
        <v>25.489669799804702</v>
      </c>
      <c r="O188" s="424">
        <v>97.458778381347699</v>
      </c>
      <c r="P188" s="424" t="s">
        <v>573</v>
      </c>
      <c r="Q188" s="424" t="s">
        <v>1530</v>
      </c>
      <c r="R188" s="436">
        <v>138</v>
      </c>
      <c r="S188" s="429">
        <v>667</v>
      </c>
      <c r="T188" s="441">
        <v>43276</v>
      </c>
      <c r="U188" s="430" t="s">
        <v>1579</v>
      </c>
      <c r="V188" s="424"/>
      <c r="W188" s="360" t="s">
        <v>1742</v>
      </c>
      <c r="X188" s="427"/>
    </row>
    <row r="189" spans="1:24" s="68" customFormat="1" ht="14.25" customHeight="1">
      <c r="A189" s="424" t="s">
        <v>37</v>
      </c>
      <c r="B189" s="424" t="s">
        <v>159</v>
      </c>
      <c r="C189" s="424" t="s">
        <v>1537</v>
      </c>
      <c r="D189" s="387"/>
      <c r="E189" s="424"/>
      <c r="F189" s="424"/>
      <c r="G189" s="424"/>
      <c r="H189" s="424"/>
      <c r="I189" s="424"/>
      <c r="J189" s="424" t="s">
        <v>1099</v>
      </c>
      <c r="K189" s="424" t="s">
        <v>43</v>
      </c>
      <c r="L189" s="424" t="s">
        <v>43</v>
      </c>
      <c r="M189" s="424" t="s">
        <v>44</v>
      </c>
      <c r="N189" s="424"/>
      <c r="O189" s="424"/>
      <c r="P189" s="424" t="s">
        <v>573</v>
      </c>
      <c r="Q189" s="424" t="s">
        <v>1530</v>
      </c>
      <c r="R189" s="428"/>
      <c r="S189" s="428"/>
      <c r="T189" s="441">
        <v>43270</v>
      </c>
      <c r="U189" s="430"/>
      <c r="V189" s="424"/>
      <c r="W189" s="424"/>
      <c r="X189" s="387"/>
    </row>
    <row r="190" spans="1:24" s="68" customFormat="1" ht="14.25" customHeight="1">
      <c r="A190" s="433" t="s">
        <v>37</v>
      </c>
      <c r="B190" s="432" t="s">
        <v>159</v>
      </c>
      <c r="C190" s="450" t="s">
        <v>828</v>
      </c>
      <c r="D190" s="427" t="s">
        <v>2987</v>
      </c>
      <c r="E190" s="444" t="s">
        <v>1543</v>
      </c>
      <c r="F190" s="424" t="s">
        <v>1349</v>
      </c>
      <c r="G190" s="424" t="s">
        <v>1470</v>
      </c>
      <c r="H190" s="424"/>
      <c r="I190" s="424" t="s">
        <v>1035</v>
      </c>
      <c r="J190" s="424" t="s">
        <v>43</v>
      </c>
      <c r="K190" s="424" t="s">
        <v>43</v>
      </c>
      <c r="L190" s="424" t="s">
        <v>43</v>
      </c>
      <c r="M190" s="424" t="s">
        <v>44</v>
      </c>
      <c r="N190" s="424">
        <v>25.244700000000002</v>
      </c>
      <c r="O190" s="424">
        <v>97.2209</v>
      </c>
      <c r="P190" s="424" t="s">
        <v>573</v>
      </c>
      <c r="Q190" s="424" t="s">
        <v>667</v>
      </c>
      <c r="R190" s="436">
        <v>18</v>
      </c>
      <c r="S190" s="429">
        <v>61</v>
      </c>
      <c r="T190" s="441">
        <v>42983</v>
      </c>
      <c r="U190" s="430" t="s">
        <v>829</v>
      </c>
      <c r="V190" s="424"/>
      <c r="W190" s="424" t="s">
        <v>1743</v>
      </c>
      <c r="X190" s="427"/>
    </row>
    <row r="191" spans="1:24" s="68" customFormat="1" ht="14.25" customHeight="1">
      <c r="A191" s="429" t="s">
        <v>37</v>
      </c>
      <c r="B191" s="432" t="s">
        <v>159</v>
      </c>
      <c r="C191" s="433" t="s">
        <v>162</v>
      </c>
      <c r="D191" s="427" t="s">
        <v>2113</v>
      </c>
      <c r="E191" s="424" t="s">
        <v>1187</v>
      </c>
      <c r="F191" s="424" t="s">
        <v>1349</v>
      </c>
      <c r="G191" s="424" t="s">
        <v>1426</v>
      </c>
      <c r="H191" s="424" t="s">
        <v>41</v>
      </c>
      <c r="I191" s="424" t="s">
        <v>141</v>
      </c>
      <c r="J191" s="424" t="s">
        <v>43</v>
      </c>
      <c r="K191" s="426" t="s">
        <v>43</v>
      </c>
      <c r="L191" s="426" t="s">
        <v>572</v>
      </c>
      <c r="M191" s="424" t="s">
        <v>44</v>
      </c>
      <c r="N191" s="424">
        <v>25.36600361</v>
      </c>
      <c r="O191" s="424">
        <v>97.405202779999996</v>
      </c>
      <c r="P191" s="424" t="s">
        <v>573</v>
      </c>
      <c r="Q191" s="424" t="s">
        <v>592</v>
      </c>
      <c r="R191" s="436"/>
      <c r="S191" s="429"/>
      <c r="T191" s="441"/>
      <c r="U191" s="430"/>
      <c r="V191" s="424" t="s">
        <v>162</v>
      </c>
      <c r="W191" s="424"/>
      <c r="X191" s="427"/>
    </row>
    <row r="192" spans="1:24" s="68" customFormat="1" ht="14.25" customHeight="1">
      <c r="A192" s="424" t="s">
        <v>37</v>
      </c>
      <c r="B192" s="424" t="s">
        <v>159</v>
      </c>
      <c r="C192" s="424" t="s">
        <v>583</v>
      </c>
      <c r="D192" s="387" t="s">
        <v>2256</v>
      </c>
      <c r="E192" s="424" t="s">
        <v>1038</v>
      </c>
      <c r="F192" s="424"/>
      <c r="G192" s="424"/>
      <c r="H192" s="424"/>
      <c r="I192" s="424" t="s">
        <v>1619</v>
      </c>
      <c r="J192" s="424" t="s">
        <v>43</v>
      </c>
      <c r="K192" s="424" t="s">
        <v>43</v>
      </c>
      <c r="L192" s="424" t="s">
        <v>43</v>
      </c>
      <c r="M192" s="424" t="s">
        <v>44</v>
      </c>
      <c r="N192" s="424">
        <v>0</v>
      </c>
      <c r="O192" s="424">
        <v>0</v>
      </c>
      <c r="P192" s="424" t="s">
        <v>573</v>
      </c>
      <c r="Q192" s="424" t="s">
        <v>1607</v>
      </c>
      <c r="R192" s="428"/>
      <c r="S192" s="428"/>
      <c r="T192" s="441">
        <v>43360</v>
      </c>
      <c r="U192" s="430" t="s">
        <v>1609</v>
      </c>
      <c r="V192" s="424"/>
      <c r="W192" s="360"/>
      <c r="X192" s="387"/>
    </row>
    <row r="193" spans="1:24" s="68" customFormat="1" ht="14.25" customHeight="1">
      <c r="A193" s="424" t="s">
        <v>37</v>
      </c>
      <c r="B193" s="424" t="s">
        <v>159</v>
      </c>
      <c r="C193" s="424" t="s">
        <v>1599</v>
      </c>
      <c r="D193" s="387"/>
      <c r="E193" s="424"/>
      <c r="F193" s="424"/>
      <c r="G193" s="424"/>
      <c r="H193" s="424"/>
      <c r="I193" s="424"/>
      <c r="J193" s="424" t="s">
        <v>1099</v>
      </c>
      <c r="K193" s="424" t="s">
        <v>43</v>
      </c>
      <c r="L193" s="424" t="s">
        <v>588</v>
      </c>
      <c r="M193" s="424" t="s">
        <v>590</v>
      </c>
      <c r="N193" s="424"/>
      <c r="O193" s="424"/>
      <c r="P193" s="424" t="s">
        <v>573</v>
      </c>
      <c r="Q193" s="424"/>
      <c r="R193" s="428"/>
      <c r="S193" s="428"/>
      <c r="T193" s="441">
        <v>43298</v>
      </c>
      <c r="U193" s="430"/>
      <c r="V193" s="424"/>
      <c r="W193" s="424"/>
      <c r="X193" s="387"/>
    </row>
    <row r="194" spans="1:24" s="68" customFormat="1" ht="14.25" customHeight="1">
      <c r="A194" s="424" t="s">
        <v>37</v>
      </c>
      <c r="B194" s="424" t="s">
        <v>159</v>
      </c>
      <c r="C194" s="424" t="s">
        <v>163</v>
      </c>
      <c r="D194" s="427" t="s">
        <v>2987</v>
      </c>
      <c r="E194" s="424" t="s">
        <v>1186</v>
      </c>
      <c r="F194" s="424" t="s">
        <v>1349</v>
      </c>
      <c r="G194" s="424" t="s">
        <v>1420</v>
      </c>
      <c r="H194" s="424" t="s">
        <v>41</v>
      </c>
      <c r="I194" s="424" t="s">
        <v>2117</v>
      </c>
      <c r="J194" s="424" t="s">
        <v>43</v>
      </c>
      <c r="K194" s="424" t="s">
        <v>43</v>
      </c>
      <c r="L194" s="424" t="s">
        <v>43</v>
      </c>
      <c r="M194" s="424" t="s">
        <v>44</v>
      </c>
      <c r="N194" s="424">
        <v>25.362420757575801</v>
      </c>
      <c r="O194" s="424">
        <v>97.409035000000003</v>
      </c>
      <c r="P194" s="17" t="s">
        <v>573</v>
      </c>
      <c r="Q194" s="424" t="s">
        <v>592</v>
      </c>
      <c r="R194" s="436">
        <v>134</v>
      </c>
      <c r="S194" s="429">
        <v>686</v>
      </c>
      <c r="T194" s="441"/>
      <c r="U194" s="430"/>
      <c r="V194" s="424" t="s">
        <v>163</v>
      </c>
      <c r="W194" s="424" t="s">
        <v>1744</v>
      </c>
      <c r="X194" s="427"/>
    </row>
    <row r="195" spans="1:24" s="68" customFormat="1" ht="14.25" customHeight="1">
      <c r="A195" s="424" t="s">
        <v>37</v>
      </c>
      <c r="B195" s="424" t="s">
        <v>159</v>
      </c>
      <c r="C195" s="424" t="s">
        <v>164</v>
      </c>
      <c r="D195" s="427" t="s">
        <v>2987</v>
      </c>
      <c r="E195" s="424" t="s">
        <v>1178</v>
      </c>
      <c r="F195" s="424" t="s">
        <v>1349</v>
      </c>
      <c r="G195" s="424" t="s">
        <v>1420</v>
      </c>
      <c r="H195" s="424" t="s">
        <v>41</v>
      </c>
      <c r="I195" s="424" t="s">
        <v>2117</v>
      </c>
      <c r="J195" s="424" t="s">
        <v>43</v>
      </c>
      <c r="K195" s="424" t="s">
        <v>43</v>
      </c>
      <c r="L195" s="424" t="s">
        <v>43</v>
      </c>
      <c r="M195" s="424" t="s">
        <v>44</v>
      </c>
      <c r="N195" s="424">
        <v>25.3510167948718</v>
      </c>
      <c r="O195" s="424">
        <v>97.403402307692303</v>
      </c>
      <c r="P195" s="424" t="s">
        <v>573</v>
      </c>
      <c r="Q195" s="424" t="s">
        <v>592</v>
      </c>
      <c r="R195" s="436">
        <v>131</v>
      </c>
      <c r="S195" s="429">
        <v>647</v>
      </c>
      <c r="T195" s="441"/>
      <c r="U195" s="430"/>
      <c r="V195" s="424" t="s">
        <v>164</v>
      </c>
      <c r="W195" s="424"/>
      <c r="X195" s="427"/>
    </row>
    <row r="196" spans="1:24" s="68" customFormat="1" ht="14.25" customHeight="1">
      <c r="A196" s="424" t="s">
        <v>37</v>
      </c>
      <c r="B196" s="424" t="s">
        <v>159</v>
      </c>
      <c r="C196" s="424" t="s">
        <v>165</v>
      </c>
      <c r="D196" s="427" t="s">
        <v>2987</v>
      </c>
      <c r="E196" s="424" t="s">
        <v>1185</v>
      </c>
      <c r="F196" s="424" t="s">
        <v>1349</v>
      </c>
      <c r="G196" s="424" t="s">
        <v>1425</v>
      </c>
      <c r="H196" s="424" t="s">
        <v>41</v>
      </c>
      <c r="I196" s="424" t="s">
        <v>2117</v>
      </c>
      <c r="J196" s="424" t="s">
        <v>43</v>
      </c>
      <c r="K196" s="424" t="s">
        <v>43</v>
      </c>
      <c r="L196" s="424" t="s">
        <v>43</v>
      </c>
      <c r="M196" s="424" t="s">
        <v>44</v>
      </c>
      <c r="N196" s="424">
        <v>25.360463124999999</v>
      </c>
      <c r="O196" s="424">
        <v>97.4113064583333</v>
      </c>
      <c r="P196" s="424" t="s">
        <v>573</v>
      </c>
      <c r="Q196" s="424" t="s">
        <v>592</v>
      </c>
      <c r="R196" s="436">
        <v>58</v>
      </c>
      <c r="S196" s="429">
        <v>320</v>
      </c>
      <c r="T196" s="441"/>
      <c r="U196" s="430"/>
      <c r="V196" s="424" t="s">
        <v>165</v>
      </c>
      <c r="W196" s="424"/>
      <c r="X196" s="427"/>
    </row>
    <row r="197" spans="1:24" s="68" customFormat="1" ht="14.25" customHeight="1">
      <c r="A197" s="424" t="s">
        <v>37</v>
      </c>
      <c r="B197" s="424" t="s">
        <v>159</v>
      </c>
      <c r="C197" s="424" t="s">
        <v>166</v>
      </c>
      <c r="D197" s="427" t="s">
        <v>2987</v>
      </c>
      <c r="E197" s="424" t="s">
        <v>1211</v>
      </c>
      <c r="F197" s="424" t="s">
        <v>1349</v>
      </c>
      <c r="G197" s="424" t="s">
        <v>1437</v>
      </c>
      <c r="H197" s="424" t="s">
        <v>41</v>
      </c>
      <c r="I197" s="424" t="s">
        <v>2117</v>
      </c>
      <c r="J197" s="424" t="s">
        <v>43</v>
      </c>
      <c r="K197" s="424" t="s">
        <v>43</v>
      </c>
      <c r="L197" s="424" t="s">
        <v>43</v>
      </c>
      <c r="M197" s="424" t="s">
        <v>44</v>
      </c>
      <c r="N197" s="424">
        <v>25.428910999999999</v>
      </c>
      <c r="O197" s="424">
        <v>97.418694000000002</v>
      </c>
      <c r="P197" s="424" t="s">
        <v>573</v>
      </c>
      <c r="Q197" s="424" t="s">
        <v>592</v>
      </c>
      <c r="R197" s="436">
        <v>88</v>
      </c>
      <c r="S197" s="429">
        <v>515</v>
      </c>
      <c r="T197" s="441"/>
      <c r="U197" s="430"/>
      <c r="V197" s="424" t="s">
        <v>166</v>
      </c>
      <c r="W197" s="424"/>
      <c r="X197" s="427"/>
    </row>
    <row r="198" spans="1:24" s="68" customFormat="1" ht="14.25" customHeight="1">
      <c r="A198" s="424" t="s">
        <v>37</v>
      </c>
      <c r="B198" s="424" t="s">
        <v>159</v>
      </c>
      <c r="C198" s="424" t="s">
        <v>263</v>
      </c>
      <c r="D198" s="427" t="s">
        <v>2987</v>
      </c>
      <c r="E198" s="424" t="s">
        <v>1189</v>
      </c>
      <c r="F198" s="424" t="s">
        <v>1427</v>
      </c>
      <c r="G198" s="424" t="s">
        <v>1427</v>
      </c>
      <c r="H198" s="424" t="s">
        <v>41</v>
      </c>
      <c r="I198" s="424" t="s">
        <v>242</v>
      </c>
      <c r="J198" s="424" t="s">
        <v>43</v>
      </c>
      <c r="K198" s="424" t="s">
        <v>43</v>
      </c>
      <c r="L198" s="424" t="s">
        <v>43</v>
      </c>
      <c r="M198" s="424" t="s">
        <v>44</v>
      </c>
      <c r="N198" s="424">
        <v>25.374343974359</v>
      </c>
      <c r="O198" s="424">
        <v>97.2843958974359</v>
      </c>
      <c r="P198" s="424" t="s">
        <v>573</v>
      </c>
      <c r="Q198" s="424" t="s">
        <v>592</v>
      </c>
      <c r="R198" s="436">
        <v>19</v>
      </c>
      <c r="S198" s="429">
        <v>81</v>
      </c>
      <c r="T198" s="441"/>
      <c r="U198" s="430"/>
      <c r="V198" s="424" t="s">
        <v>263</v>
      </c>
      <c r="W198" s="360"/>
      <c r="X198" s="427"/>
    </row>
    <row r="199" spans="1:24" s="68" customFormat="1" ht="14.25" customHeight="1">
      <c r="A199" s="424" t="s">
        <v>37</v>
      </c>
      <c r="B199" s="424" t="s">
        <v>159</v>
      </c>
      <c r="C199" s="424" t="s">
        <v>264</v>
      </c>
      <c r="D199" s="427" t="s">
        <v>2987</v>
      </c>
      <c r="E199" s="424" t="s">
        <v>1188</v>
      </c>
      <c r="F199" s="424" t="s">
        <v>1427</v>
      </c>
      <c r="G199" s="424" t="s">
        <v>1427</v>
      </c>
      <c r="H199" s="424" t="s">
        <v>41</v>
      </c>
      <c r="I199" s="424" t="s">
        <v>242</v>
      </c>
      <c r="J199" s="424" t="s">
        <v>43</v>
      </c>
      <c r="K199" s="424" t="s">
        <v>43</v>
      </c>
      <c r="L199" s="424" t="s">
        <v>43</v>
      </c>
      <c r="M199" s="424" t="s">
        <v>44</v>
      </c>
      <c r="N199" s="424">
        <v>25.371049444444399</v>
      </c>
      <c r="O199" s="424">
        <v>97.290952037037002</v>
      </c>
      <c r="P199" s="424" t="s">
        <v>573</v>
      </c>
      <c r="Q199" s="424" t="s">
        <v>592</v>
      </c>
      <c r="R199" s="436">
        <v>29</v>
      </c>
      <c r="S199" s="429">
        <v>174</v>
      </c>
      <c r="T199" s="441"/>
      <c r="U199" s="430"/>
      <c r="V199" s="424" t="s">
        <v>264</v>
      </c>
      <c r="W199" s="424"/>
      <c r="X199" s="427"/>
    </row>
    <row r="200" spans="1:24" s="68" customFormat="1" ht="14.25" customHeight="1">
      <c r="A200" s="424" t="s">
        <v>37</v>
      </c>
      <c r="B200" s="424" t="s">
        <v>159</v>
      </c>
      <c r="C200" s="424" t="s">
        <v>777</v>
      </c>
      <c r="D200" s="387" t="s">
        <v>1300</v>
      </c>
      <c r="E200" s="424" t="s">
        <v>1191</v>
      </c>
      <c r="F200" s="424" t="s">
        <v>1349</v>
      </c>
      <c r="G200" s="424" t="s">
        <v>1351</v>
      </c>
      <c r="H200" s="424" t="s">
        <v>41</v>
      </c>
      <c r="I200" s="424" t="s">
        <v>242</v>
      </c>
      <c r="J200" s="424" t="s">
        <v>43</v>
      </c>
      <c r="K200" s="424" t="s">
        <v>43</v>
      </c>
      <c r="L200" s="424" t="s">
        <v>572</v>
      </c>
      <c r="M200" s="424" t="s">
        <v>44</v>
      </c>
      <c r="N200" s="424">
        <v>25.387862999999999</v>
      </c>
      <c r="O200" s="424">
        <v>97.376671999999999</v>
      </c>
      <c r="P200" s="424" t="s">
        <v>573</v>
      </c>
      <c r="Q200" s="424"/>
      <c r="R200" s="428">
        <v>0</v>
      </c>
      <c r="S200" s="428">
        <v>0</v>
      </c>
      <c r="T200" s="441"/>
      <c r="U200" s="430"/>
      <c r="V200" s="424" t="s">
        <v>777</v>
      </c>
      <c r="W200" s="424" t="s">
        <v>1661</v>
      </c>
      <c r="X200" s="387"/>
    </row>
    <row r="201" spans="1:24" s="68" customFormat="1" ht="14.25" customHeight="1">
      <c r="A201" s="424" t="s">
        <v>37</v>
      </c>
      <c r="B201" s="424" t="s">
        <v>159</v>
      </c>
      <c r="C201" s="424" t="s">
        <v>234</v>
      </c>
      <c r="D201" s="427" t="s">
        <v>2987</v>
      </c>
      <c r="E201" s="424" t="s">
        <v>1200</v>
      </c>
      <c r="F201" s="424" t="s">
        <v>1432</v>
      </c>
      <c r="G201" s="424" t="s">
        <v>1432</v>
      </c>
      <c r="H201" s="424" t="s">
        <v>41</v>
      </c>
      <c r="I201" s="424" t="s">
        <v>1035</v>
      </c>
      <c r="J201" s="424" t="s">
        <v>43</v>
      </c>
      <c r="K201" s="424" t="s">
        <v>43</v>
      </c>
      <c r="L201" s="424" t="s">
        <v>43</v>
      </c>
      <c r="M201" s="424" t="s">
        <v>44</v>
      </c>
      <c r="N201" s="424">
        <v>25.410569299999999</v>
      </c>
      <c r="O201" s="424">
        <v>97.359320179999997</v>
      </c>
      <c r="P201" s="424" t="s">
        <v>573</v>
      </c>
      <c r="Q201" s="424" t="s">
        <v>592</v>
      </c>
      <c r="R201" s="436">
        <v>59</v>
      </c>
      <c r="S201" s="429">
        <v>271</v>
      </c>
      <c r="T201" s="441"/>
      <c r="U201" s="430"/>
      <c r="V201" s="424" t="s">
        <v>234</v>
      </c>
      <c r="W201" s="424"/>
      <c r="X201" s="427"/>
    </row>
    <row r="202" spans="1:24" s="68" customFormat="1" ht="14.25" customHeight="1">
      <c r="A202" s="433" t="s">
        <v>37</v>
      </c>
      <c r="B202" s="432" t="s">
        <v>159</v>
      </c>
      <c r="C202" s="433" t="s">
        <v>167</v>
      </c>
      <c r="D202" s="427" t="s">
        <v>2987</v>
      </c>
      <c r="E202" s="424" t="s">
        <v>1207</v>
      </c>
      <c r="F202" s="424" t="s">
        <v>1349</v>
      </c>
      <c r="G202" s="424" t="s">
        <v>1436</v>
      </c>
      <c r="H202" s="424" t="s">
        <v>41</v>
      </c>
      <c r="I202" s="424" t="s">
        <v>2117</v>
      </c>
      <c r="J202" s="424" t="s">
        <v>43</v>
      </c>
      <c r="K202" s="426" t="s">
        <v>43</v>
      </c>
      <c r="L202" s="426" t="s">
        <v>43</v>
      </c>
      <c r="M202" s="424" t="s">
        <v>44</v>
      </c>
      <c r="N202" s="424">
        <v>25.422194000000001</v>
      </c>
      <c r="O202" s="424">
        <v>97.394547000000003</v>
      </c>
      <c r="P202" s="426" t="s">
        <v>573</v>
      </c>
      <c r="Q202" s="424" t="s">
        <v>592</v>
      </c>
      <c r="R202" s="436">
        <v>76</v>
      </c>
      <c r="S202" s="429">
        <v>328</v>
      </c>
      <c r="T202" s="441"/>
      <c r="U202" s="430"/>
      <c r="V202" s="424" t="s">
        <v>167</v>
      </c>
      <c r="W202" s="360"/>
      <c r="X202" s="427"/>
    </row>
    <row r="203" spans="1:24" s="68" customFormat="1" ht="14.25" customHeight="1">
      <c r="A203" s="429" t="s">
        <v>37</v>
      </c>
      <c r="B203" s="432" t="s">
        <v>159</v>
      </c>
      <c r="C203" s="433" t="s">
        <v>235</v>
      </c>
      <c r="D203" s="427" t="s">
        <v>2987</v>
      </c>
      <c r="E203" s="424" t="s">
        <v>1213</v>
      </c>
      <c r="F203" s="424" t="s">
        <v>1439</v>
      </c>
      <c r="G203" s="424" t="s">
        <v>1440</v>
      </c>
      <c r="H203" s="424" t="s">
        <v>41</v>
      </c>
      <c r="I203" s="424" t="s">
        <v>1035</v>
      </c>
      <c r="J203" s="424" t="s">
        <v>43</v>
      </c>
      <c r="K203" s="424" t="s">
        <v>43</v>
      </c>
      <c r="L203" s="424" t="s">
        <v>43</v>
      </c>
      <c r="M203" s="424" t="s">
        <v>44</v>
      </c>
      <c r="N203" s="424">
        <v>25.493819999999999</v>
      </c>
      <c r="O203" s="424">
        <v>97.4345</v>
      </c>
      <c r="P203" s="424" t="s">
        <v>573</v>
      </c>
      <c r="Q203" s="424" t="s">
        <v>592</v>
      </c>
      <c r="R203" s="436">
        <v>138</v>
      </c>
      <c r="S203" s="429">
        <v>948</v>
      </c>
      <c r="T203" s="441"/>
      <c r="U203" s="436"/>
      <c r="V203" s="424" t="s">
        <v>235</v>
      </c>
      <c r="W203" s="428"/>
      <c r="X203" s="427"/>
    </row>
    <row r="204" spans="1:24" s="68" customFormat="1" ht="14.25" customHeight="1">
      <c r="A204" s="433" t="s">
        <v>37</v>
      </c>
      <c r="B204" s="432" t="s">
        <v>159</v>
      </c>
      <c r="C204" s="433" t="s">
        <v>1605</v>
      </c>
      <c r="D204" s="427" t="s">
        <v>2987</v>
      </c>
      <c r="E204" s="480" t="s">
        <v>1606</v>
      </c>
      <c r="F204" s="426"/>
      <c r="G204" s="426"/>
      <c r="H204" s="426" t="s">
        <v>41</v>
      </c>
      <c r="I204" s="426" t="s">
        <v>1035</v>
      </c>
      <c r="J204" s="424" t="s">
        <v>43</v>
      </c>
      <c r="K204" s="424" t="s">
        <v>43</v>
      </c>
      <c r="L204" s="426" t="s">
        <v>43</v>
      </c>
      <c r="M204" s="424" t="s">
        <v>44</v>
      </c>
      <c r="N204" s="424">
        <v>25.493819999999999</v>
      </c>
      <c r="O204" s="424">
        <v>97.4345</v>
      </c>
      <c r="P204" s="17" t="s">
        <v>573</v>
      </c>
      <c r="Q204" s="424" t="s">
        <v>1607</v>
      </c>
      <c r="R204" s="436">
        <v>215</v>
      </c>
      <c r="S204" s="429">
        <v>1202</v>
      </c>
      <c r="T204" s="441">
        <v>43360</v>
      </c>
      <c r="U204" s="434" t="s">
        <v>1608</v>
      </c>
      <c r="V204" s="426"/>
      <c r="W204" s="478" t="s">
        <v>1745</v>
      </c>
      <c r="X204" s="427"/>
    </row>
    <row r="205" spans="1:24" s="68" customFormat="1" ht="14.25" customHeight="1">
      <c r="A205" s="424" t="s">
        <v>37</v>
      </c>
      <c r="B205" s="424" t="s">
        <v>159</v>
      </c>
      <c r="C205" s="426" t="s">
        <v>2203</v>
      </c>
      <c r="D205" s="387"/>
      <c r="E205" s="424"/>
      <c r="F205" s="424"/>
      <c r="G205" s="424"/>
      <c r="H205" s="424"/>
      <c r="I205" s="424"/>
      <c r="J205" s="424" t="s">
        <v>1099</v>
      </c>
      <c r="K205" s="424" t="s">
        <v>43</v>
      </c>
      <c r="L205" s="424" t="s">
        <v>43</v>
      </c>
      <c r="M205" s="424" t="s">
        <v>44</v>
      </c>
      <c r="N205" s="424"/>
      <c r="O205" s="424"/>
      <c r="P205" s="424" t="s">
        <v>573</v>
      </c>
      <c r="Q205" s="424" t="s">
        <v>2173</v>
      </c>
      <c r="R205" s="428"/>
      <c r="S205" s="428"/>
      <c r="T205" s="441">
        <v>43749</v>
      </c>
      <c r="U205" s="430"/>
      <c r="V205" s="424"/>
      <c r="W205" s="424"/>
      <c r="X205" s="387"/>
    </row>
    <row r="206" spans="1:24" s="68" customFormat="1" ht="14.25" customHeight="1">
      <c r="A206" s="424" t="s">
        <v>37</v>
      </c>
      <c r="B206" s="426" t="s">
        <v>159</v>
      </c>
      <c r="C206" s="426" t="s">
        <v>2883</v>
      </c>
      <c r="D206" s="427" t="s">
        <v>2987</v>
      </c>
      <c r="E206" s="424" t="s">
        <v>1205</v>
      </c>
      <c r="F206" s="424" t="s">
        <v>1349</v>
      </c>
      <c r="G206" s="424" t="s">
        <v>1430</v>
      </c>
      <c r="H206" s="424" t="s">
        <v>41</v>
      </c>
      <c r="I206" s="424" t="s">
        <v>242</v>
      </c>
      <c r="J206" s="424" t="s">
        <v>43</v>
      </c>
      <c r="K206" s="424" t="s">
        <v>43</v>
      </c>
      <c r="L206" s="424" t="s">
        <v>43</v>
      </c>
      <c r="M206" s="424" t="s">
        <v>44</v>
      </c>
      <c r="N206" s="424">
        <v>25.417733999999999</v>
      </c>
      <c r="O206" s="424">
        <v>97.389778000000007</v>
      </c>
      <c r="P206" s="424" t="s">
        <v>573</v>
      </c>
      <c r="Q206" s="424" t="s">
        <v>592</v>
      </c>
      <c r="R206" s="436">
        <v>18</v>
      </c>
      <c r="S206" s="429">
        <v>93</v>
      </c>
      <c r="T206" s="441"/>
      <c r="U206" s="430"/>
      <c r="V206" s="424" t="s">
        <v>267</v>
      </c>
      <c r="W206" s="424"/>
      <c r="X206" s="427"/>
    </row>
    <row r="207" spans="1:24" s="68" customFormat="1" ht="14.25" customHeight="1">
      <c r="A207" s="424" t="s">
        <v>37</v>
      </c>
      <c r="B207" s="424" t="s">
        <v>159</v>
      </c>
      <c r="C207" s="426" t="s">
        <v>2233</v>
      </c>
      <c r="D207" s="427" t="s">
        <v>2987</v>
      </c>
      <c r="E207" s="424" t="s">
        <v>2234</v>
      </c>
      <c r="F207" s="424" t="s">
        <v>2236</v>
      </c>
      <c r="G207" s="424" t="s">
        <v>2236</v>
      </c>
      <c r="H207" s="424"/>
      <c r="I207" s="424" t="s">
        <v>1619</v>
      </c>
      <c r="J207" s="424" t="s">
        <v>43</v>
      </c>
      <c r="K207" s="424" t="s">
        <v>43</v>
      </c>
      <c r="L207" s="424" t="s">
        <v>43</v>
      </c>
      <c r="M207" s="424" t="s">
        <v>44</v>
      </c>
      <c r="N207" s="961">
        <v>25.387892000000001</v>
      </c>
      <c r="O207" s="424">
        <v>97.325181999999998</v>
      </c>
      <c r="P207" s="424" t="s">
        <v>573</v>
      </c>
      <c r="Q207" s="424" t="s">
        <v>2237</v>
      </c>
      <c r="R207" s="436">
        <v>25</v>
      </c>
      <c r="S207" s="429">
        <v>127</v>
      </c>
      <c r="T207" s="441">
        <v>43805</v>
      </c>
      <c r="U207" s="430"/>
      <c r="V207" s="424"/>
      <c r="W207" s="424" t="s">
        <v>2235</v>
      </c>
      <c r="X207" s="427"/>
    </row>
    <row r="208" spans="1:24" s="424" customFormat="1" ht="14.25" customHeight="1">
      <c r="A208" s="424" t="s">
        <v>37</v>
      </c>
      <c r="B208" s="426" t="s">
        <v>159</v>
      </c>
      <c r="C208" s="440" t="s">
        <v>168</v>
      </c>
      <c r="D208" s="427" t="s">
        <v>2987</v>
      </c>
      <c r="E208" s="424" t="s">
        <v>1202</v>
      </c>
      <c r="F208" s="424" t="s">
        <v>1349</v>
      </c>
      <c r="G208" s="424" t="s">
        <v>1433</v>
      </c>
      <c r="H208" s="424" t="s">
        <v>41</v>
      </c>
      <c r="I208" s="424" t="s">
        <v>2117</v>
      </c>
      <c r="J208" s="424" t="s">
        <v>43</v>
      </c>
      <c r="K208" s="424" t="s">
        <v>43</v>
      </c>
      <c r="L208" s="424" t="s">
        <v>43</v>
      </c>
      <c r="M208" s="424" t="s">
        <v>44</v>
      </c>
      <c r="N208" s="424">
        <v>25.412313000000001</v>
      </c>
      <c r="O208" s="424">
        <v>97.399628000000007</v>
      </c>
      <c r="P208" s="424" t="s">
        <v>573</v>
      </c>
      <c r="Q208" s="424" t="s">
        <v>592</v>
      </c>
      <c r="R208" s="436">
        <v>111</v>
      </c>
      <c r="S208" s="429">
        <v>569</v>
      </c>
      <c r="T208" s="441"/>
      <c r="U208" s="430"/>
      <c r="V208" s="424" t="s">
        <v>168</v>
      </c>
      <c r="X208" s="427"/>
    </row>
    <row r="209" spans="1:24" s="68" customFormat="1" ht="14.25" customHeight="1">
      <c r="A209" s="433" t="s">
        <v>37</v>
      </c>
      <c r="B209" s="432" t="s">
        <v>159</v>
      </c>
      <c r="C209" s="426" t="s">
        <v>265</v>
      </c>
      <c r="D209" s="427" t="s">
        <v>2987</v>
      </c>
      <c r="E209" s="424" t="s">
        <v>1209</v>
      </c>
      <c r="F209" s="424" t="s">
        <v>1349</v>
      </c>
      <c r="G209" s="424" t="s">
        <v>1433</v>
      </c>
      <c r="H209" s="424" t="s">
        <v>41</v>
      </c>
      <c r="I209" s="424" t="s">
        <v>242</v>
      </c>
      <c r="J209" s="424" t="s">
        <v>43</v>
      </c>
      <c r="K209" s="424" t="s">
        <v>43</v>
      </c>
      <c r="L209" s="424" t="s">
        <v>43</v>
      </c>
      <c r="M209" s="424" t="s">
        <v>44</v>
      </c>
      <c r="N209" s="424">
        <v>25.423817</v>
      </c>
      <c r="O209" s="424">
        <v>97.418004999999994</v>
      </c>
      <c r="P209" s="426" t="s">
        <v>573</v>
      </c>
      <c r="Q209" s="424" t="s">
        <v>592</v>
      </c>
      <c r="R209" s="436">
        <v>26</v>
      </c>
      <c r="S209" s="429">
        <v>123</v>
      </c>
      <c r="T209" s="441"/>
      <c r="U209" s="430"/>
      <c r="V209" s="424" t="s">
        <v>265</v>
      </c>
      <c r="W209" s="360"/>
      <c r="X209" s="427"/>
    </row>
    <row r="210" spans="1:24" s="68" customFormat="1" ht="14.25" customHeight="1">
      <c r="A210" s="424" t="s">
        <v>37</v>
      </c>
      <c r="B210" s="426" t="s">
        <v>159</v>
      </c>
      <c r="C210" s="426" t="s">
        <v>169</v>
      </c>
      <c r="D210" s="427" t="s">
        <v>2987</v>
      </c>
      <c r="E210" s="424" t="s">
        <v>1212</v>
      </c>
      <c r="F210" s="424" t="s">
        <v>1349</v>
      </c>
      <c r="G210" s="424" t="s">
        <v>1438</v>
      </c>
      <c r="H210" s="424" t="s">
        <v>41</v>
      </c>
      <c r="I210" s="424" t="s">
        <v>2117</v>
      </c>
      <c r="J210" s="424" t="s">
        <v>43</v>
      </c>
      <c r="K210" s="424" t="s">
        <v>43</v>
      </c>
      <c r="L210" s="424" t="s">
        <v>43</v>
      </c>
      <c r="M210" s="424" t="s">
        <v>44</v>
      </c>
      <c r="N210" s="424">
        <v>25.440928</v>
      </c>
      <c r="O210" s="424">
        <v>97.419403000000003</v>
      </c>
      <c r="P210" s="424" t="s">
        <v>573</v>
      </c>
      <c r="Q210" s="424" t="s">
        <v>592</v>
      </c>
      <c r="R210" s="436">
        <v>107</v>
      </c>
      <c r="S210" s="429">
        <v>637</v>
      </c>
      <c r="T210" s="441"/>
      <c r="U210" s="430"/>
      <c r="V210" s="424" t="s">
        <v>169</v>
      </c>
      <c r="W210" s="424"/>
      <c r="X210" s="427"/>
    </row>
    <row r="211" spans="1:24" s="68" customFormat="1" ht="14.25" customHeight="1">
      <c r="A211" s="424" t="s">
        <v>37</v>
      </c>
      <c r="B211" s="426" t="s">
        <v>159</v>
      </c>
      <c r="C211" s="426" t="s">
        <v>1547</v>
      </c>
      <c r="D211" s="387" t="s">
        <v>2113</v>
      </c>
      <c r="E211" s="424" t="s">
        <v>1554</v>
      </c>
      <c r="F211" s="424"/>
      <c r="G211" s="424"/>
      <c r="H211" s="424"/>
      <c r="I211" s="424" t="s">
        <v>1619</v>
      </c>
      <c r="J211" s="424" t="s">
        <v>43</v>
      </c>
      <c r="K211" s="424" t="s">
        <v>43</v>
      </c>
      <c r="L211" s="424" t="s">
        <v>572</v>
      </c>
      <c r="M211" s="424" t="s">
        <v>44</v>
      </c>
      <c r="N211" s="982">
        <v>25.717300000000002</v>
      </c>
      <c r="O211" s="424">
        <v>97.49136</v>
      </c>
      <c r="P211" s="424" t="s">
        <v>573</v>
      </c>
      <c r="Q211" s="424" t="s">
        <v>1530</v>
      </c>
      <c r="R211" s="428"/>
      <c r="S211" s="428"/>
      <c r="T211" s="441">
        <v>43276</v>
      </c>
      <c r="U211" s="430" t="s">
        <v>1578</v>
      </c>
      <c r="V211" s="424"/>
      <c r="W211" s="424" t="s">
        <v>1746</v>
      </c>
      <c r="X211" s="387"/>
    </row>
    <row r="212" spans="1:24" s="68" customFormat="1" ht="14.25" customHeight="1">
      <c r="A212" s="424" t="s">
        <v>37</v>
      </c>
      <c r="B212" s="426" t="s">
        <v>159</v>
      </c>
      <c r="C212" s="426" t="s">
        <v>868</v>
      </c>
      <c r="D212" s="387" t="s">
        <v>1299</v>
      </c>
      <c r="E212" s="424"/>
      <c r="F212" s="424"/>
      <c r="G212" s="424"/>
      <c r="H212" s="424"/>
      <c r="I212" s="424"/>
      <c r="J212" s="424" t="s">
        <v>43</v>
      </c>
      <c r="K212" s="424" t="s">
        <v>43</v>
      </c>
      <c r="L212" s="424" t="s">
        <v>815</v>
      </c>
      <c r="M212" s="424" t="s">
        <v>44</v>
      </c>
      <c r="N212" s="424"/>
      <c r="O212" s="424"/>
      <c r="P212" s="424" t="s">
        <v>573</v>
      </c>
      <c r="Q212" s="424"/>
      <c r="R212" s="428"/>
      <c r="S212" s="428"/>
      <c r="T212" s="441"/>
      <c r="U212" s="430"/>
      <c r="V212" s="424" t="s">
        <v>868</v>
      </c>
      <c r="W212" s="424"/>
      <c r="X212" s="387"/>
    </row>
    <row r="213" spans="1:24" s="68" customFormat="1" ht="14.25" customHeight="1">
      <c r="A213" s="424" t="s">
        <v>37</v>
      </c>
      <c r="B213" s="426" t="s">
        <v>159</v>
      </c>
      <c r="C213" s="426" t="s">
        <v>170</v>
      </c>
      <c r="D213" s="427" t="s">
        <v>2987</v>
      </c>
      <c r="E213" s="424" t="s">
        <v>1203</v>
      </c>
      <c r="F213" s="424" t="s">
        <v>1349</v>
      </c>
      <c r="G213" s="424" t="s">
        <v>1430</v>
      </c>
      <c r="H213" s="424" t="s">
        <v>41</v>
      </c>
      <c r="I213" s="424" t="s">
        <v>2117</v>
      </c>
      <c r="J213" s="424" t="s">
        <v>43</v>
      </c>
      <c r="K213" s="424" t="s">
        <v>43</v>
      </c>
      <c r="L213" s="424" t="s">
        <v>43</v>
      </c>
      <c r="M213" s="424" t="s">
        <v>44</v>
      </c>
      <c r="N213" s="424">
        <v>25.415482000000001</v>
      </c>
      <c r="O213" s="424">
        <v>97.386718999999999</v>
      </c>
      <c r="P213" s="424" t="s">
        <v>573</v>
      </c>
      <c r="Q213" s="424" t="s">
        <v>592</v>
      </c>
      <c r="R213" s="436">
        <v>99</v>
      </c>
      <c r="S213" s="429">
        <v>550</v>
      </c>
      <c r="T213" s="441"/>
      <c r="U213" s="430"/>
      <c r="V213" s="424" t="s">
        <v>170</v>
      </c>
      <c r="W213" s="424"/>
      <c r="X213" s="427"/>
    </row>
    <row r="214" spans="1:24" s="68" customFormat="1" ht="14.25" customHeight="1">
      <c r="A214" s="424" t="s">
        <v>37</v>
      </c>
      <c r="B214" s="426" t="s">
        <v>159</v>
      </c>
      <c r="C214" s="426" t="s">
        <v>266</v>
      </c>
      <c r="D214" s="427" t="s">
        <v>2987</v>
      </c>
      <c r="E214" s="424" t="s">
        <v>1208</v>
      </c>
      <c r="F214" s="424" t="s">
        <v>1349</v>
      </c>
      <c r="G214" s="424" t="s">
        <v>1430</v>
      </c>
      <c r="H214" s="424" t="s">
        <v>41</v>
      </c>
      <c r="I214" s="424" t="s">
        <v>242</v>
      </c>
      <c r="J214" s="424" t="s">
        <v>43</v>
      </c>
      <c r="K214" s="424" t="s">
        <v>43</v>
      </c>
      <c r="L214" s="424" t="s">
        <v>43</v>
      </c>
      <c r="M214" s="424" t="s">
        <v>44</v>
      </c>
      <c r="N214" s="424">
        <v>25.423209</v>
      </c>
      <c r="O214" s="424">
        <v>97.379987</v>
      </c>
      <c r="P214" s="424" t="s">
        <v>573</v>
      </c>
      <c r="Q214" s="424" t="s">
        <v>592</v>
      </c>
      <c r="R214" s="436">
        <v>56</v>
      </c>
      <c r="S214" s="429">
        <v>267</v>
      </c>
      <c r="T214" s="441"/>
      <c r="U214" s="430"/>
      <c r="V214" s="424" t="s">
        <v>783</v>
      </c>
      <c r="W214" s="424"/>
      <c r="X214" s="427"/>
    </row>
    <row r="215" spans="1:24" s="68" customFormat="1" ht="14.25" customHeight="1">
      <c r="A215" s="433" t="s">
        <v>37</v>
      </c>
      <c r="B215" s="432" t="s">
        <v>159</v>
      </c>
      <c r="C215" s="426" t="s">
        <v>171</v>
      </c>
      <c r="D215" s="427" t="s">
        <v>2987</v>
      </c>
      <c r="E215" s="424" t="s">
        <v>1198</v>
      </c>
      <c r="F215" s="424" t="s">
        <v>1349</v>
      </c>
      <c r="G215" s="424" t="s">
        <v>1430</v>
      </c>
      <c r="H215" s="424" t="s">
        <v>41</v>
      </c>
      <c r="I215" s="424" t="s">
        <v>2117</v>
      </c>
      <c r="J215" s="424" t="s">
        <v>43</v>
      </c>
      <c r="K215" s="424" t="s">
        <v>43</v>
      </c>
      <c r="L215" s="424" t="s">
        <v>43</v>
      </c>
      <c r="M215" s="424" t="s">
        <v>44</v>
      </c>
      <c r="N215" s="424">
        <v>25.404752999999999</v>
      </c>
      <c r="O215" s="424">
        <v>97.377662999999998</v>
      </c>
      <c r="P215" s="424" t="s">
        <v>573</v>
      </c>
      <c r="Q215" s="424" t="s">
        <v>592</v>
      </c>
      <c r="R215" s="436">
        <v>32</v>
      </c>
      <c r="S215" s="429">
        <v>171</v>
      </c>
      <c r="T215" s="441"/>
      <c r="U215" s="430"/>
      <c r="V215" s="424" t="s">
        <v>171</v>
      </c>
      <c r="W215" s="424"/>
      <c r="X215" s="427"/>
    </row>
    <row r="216" spans="1:24" s="68" customFormat="1" ht="14.25" customHeight="1">
      <c r="A216" s="433" t="s">
        <v>37</v>
      </c>
      <c r="B216" s="432" t="s">
        <v>159</v>
      </c>
      <c r="C216" s="426" t="s">
        <v>172</v>
      </c>
      <c r="D216" s="427" t="s">
        <v>2987</v>
      </c>
      <c r="E216" s="426" t="s">
        <v>1197</v>
      </c>
      <c r="F216" s="426" t="s">
        <v>1349</v>
      </c>
      <c r="G216" s="426" t="s">
        <v>1430</v>
      </c>
      <c r="H216" s="426" t="s">
        <v>41</v>
      </c>
      <c r="I216" s="426" t="s">
        <v>2117</v>
      </c>
      <c r="J216" s="424" t="s">
        <v>43</v>
      </c>
      <c r="K216" s="424" t="s">
        <v>43</v>
      </c>
      <c r="L216" s="424" t="s">
        <v>43</v>
      </c>
      <c r="M216" s="424" t="s">
        <v>44</v>
      </c>
      <c r="N216" s="424">
        <v>25.437125999999999</v>
      </c>
      <c r="O216" s="424">
        <v>97.387276</v>
      </c>
      <c r="P216" s="17" t="s">
        <v>573</v>
      </c>
      <c r="Q216" s="424" t="s">
        <v>592</v>
      </c>
      <c r="R216" s="436">
        <v>47</v>
      </c>
      <c r="S216" s="429">
        <v>240</v>
      </c>
      <c r="T216" s="441"/>
      <c r="U216" s="434"/>
      <c r="V216" s="426" t="s">
        <v>172</v>
      </c>
      <c r="W216" s="360"/>
      <c r="X216" s="427"/>
    </row>
    <row r="217" spans="1:24" s="68" customFormat="1" ht="14.25" customHeight="1">
      <c r="A217" s="433" t="s">
        <v>37</v>
      </c>
      <c r="B217" s="432" t="s">
        <v>159</v>
      </c>
      <c r="C217" s="426" t="s">
        <v>1535</v>
      </c>
      <c r="D217" s="387"/>
      <c r="E217" s="424"/>
      <c r="F217" s="424"/>
      <c r="G217" s="424"/>
      <c r="H217" s="424"/>
      <c r="I217" s="424"/>
      <c r="J217" s="424" t="s">
        <v>1099</v>
      </c>
      <c r="K217" s="424" t="s">
        <v>43</v>
      </c>
      <c r="L217" s="424" t="s">
        <v>43</v>
      </c>
      <c r="M217" s="424" t="s">
        <v>44</v>
      </c>
      <c r="N217" s="424"/>
      <c r="O217" s="424"/>
      <c r="P217" s="426" t="s">
        <v>573</v>
      </c>
      <c r="Q217" s="424" t="s">
        <v>1530</v>
      </c>
      <c r="R217" s="428"/>
      <c r="S217" s="428"/>
      <c r="T217" s="441">
        <v>43270</v>
      </c>
      <c r="U217" s="430"/>
      <c r="V217" s="424"/>
      <c r="W217" s="360"/>
      <c r="X217" s="387"/>
    </row>
    <row r="218" spans="1:24" s="68" customFormat="1" ht="14.25" customHeight="1">
      <c r="A218" s="433" t="s">
        <v>37</v>
      </c>
      <c r="B218" s="432" t="s">
        <v>159</v>
      </c>
      <c r="C218" s="426" t="s">
        <v>1548</v>
      </c>
      <c r="D218" s="427" t="s">
        <v>2650</v>
      </c>
      <c r="E218" s="424" t="s">
        <v>1556</v>
      </c>
      <c r="F218" s="424"/>
      <c r="G218" s="424"/>
      <c r="H218" s="424"/>
      <c r="I218" s="424" t="s">
        <v>1619</v>
      </c>
      <c r="J218" s="424" t="s">
        <v>43</v>
      </c>
      <c r="K218" s="424" t="s">
        <v>43</v>
      </c>
      <c r="L218" s="424" t="s">
        <v>572</v>
      </c>
      <c r="M218" s="424" t="s">
        <v>44</v>
      </c>
      <c r="N218" s="424">
        <v>25.970190048217798</v>
      </c>
      <c r="O218" s="424">
        <v>97.532951354980497</v>
      </c>
      <c r="P218" s="424" t="s">
        <v>573</v>
      </c>
      <c r="Q218" s="424" t="s">
        <v>1530</v>
      </c>
      <c r="R218" s="436"/>
      <c r="S218" s="429"/>
      <c r="T218" s="441">
        <v>43276</v>
      </c>
      <c r="U218" s="430" t="s">
        <v>1579</v>
      </c>
      <c r="V218" s="424"/>
      <c r="W218" s="424" t="s">
        <v>1630</v>
      </c>
      <c r="X218" s="427"/>
    </row>
    <row r="219" spans="1:24" s="68" customFormat="1" ht="14.25" customHeight="1">
      <c r="A219" s="424" t="s">
        <v>37</v>
      </c>
      <c r="B219" s="426" t="s">
        <v>159</v>
      </c>
      <c r="C219" s="426" t="s">
        <v>1614</v>
      </c>
      <c r="D219" s="427" t="s">
        <v>2987</v>
      </c>
      <c r="E219" s="424" t="s">
        <v>1553</v>
      </c>
      <c r="F219" s="424"/>
      <c r="G219" s="424"/>
      <c r="H219" s="424" t="s">
        <v>41</v>
      </c>
      <c r="I219" s="424" t="s">
        <v>2117</v>
      </c>
      <c r="J219" s="424" t="s">
        <v>43</v>
      </c>
      <c r="K219" s="424" t="s">
        <v>43</v>
      </c>
      <c r="L219" s="424" t="s">
        <v>43</v>
      </c>
      <c r="M219" s="424" t="s">
        <v>44</v>
      </c>
      <c r="N219" s="424">
        <v>25.480989999999998</v>
      </c>
      <c r="O219" s="424">
        <v>97.431079999999994</v>
      </c>
      <c r="P219" s="424" t="s">
        <v>573</v>
      </c>
      <c r="Q219" s="424" t="s">
        <v>1530</v>
      </c>
      <c r="R219" s="436">
        <v>197</v>
      </c>
      <c r="S219" s="429">
        <v>981</v>
      </c>
      <c r="T219" s="441">
        <v>43276</v>
      </c>
      <c r="U219" s="430" t="s">
        <v>1578</v>
      </c>
      <c r="V219" s="424"/>
      <c r="W219" s="424" t="s">
        <v>1747</v>
      </c>
      <c r="X219" s="427"/>
    </row>
    <row r="220" spans="1:24" s="68" customFormat="1" ht="14.25" customHeight="1">
      <c r="A220" s="424" t="s">
        <v>37</v>
      </c>
      <c r="B220" s="424" t="s">
        <v>159</v>
      </c>
      <c r="C220" s="424" t="s">
        <v>1536</v>
      </c>
      <c r="D220" s="387"/>
      <c r="E220" s="424"/>
      <c r="F220" s="424"/>
      <c r="G220" s="424"/>
      <c r="H220" s="424"/>
      <c r="I220" s="424"/>
      <c r="J220" s="424" t="s">
        <v>1099</v>
      </c>
      <c r="K220" s="424" t="s">
        <v>43</v>
      </c>
      <c r="L220" s="424" t="s">
        <v>43</v>
      </c>
      <c r="M220" s="424" t="s">
        <v>44</v>
      </c>
      <c r="N220" s="424"/>
      <c r="O220" s="424"/>
      <c r="P220" s="424" t="s">
        <v>573</v>
      </c>
      <c r="Q220" s="424" t="s">
        <v>1530</v>
      </c>
      <c r="R220" s="428"/>
      <c r="S220" s="429"/>
      <c r="T220" s="441">
        <v>43270</v>
      </c>
      <c r="U220" s="430"/>
      <c r="V220" s="424"/>
      <c r="W220" s="424"/>
      <c r="X220" s="387"/>
    </row>
    <row r="221" spans="1:24" s="68" customFormat="1" ht="14.25" customHeight="1">
      <c r="A221" s="424" t="s">
        <v>37</v>
      </c>
      <c r="B221" s="424" t="s">
        <v>159</v>
      </c>
      <c r="C221" s="424" t="s">
        <v>775</v>
      </c>
      <c r="D221" s="387" t="s">
        <v>1300</v>
      </c>
      <c r="E221" s="424" t="s">
        <v>1190</v>
      </c>
      <c r="F221" s="424" t="s">
        <v>1349</v>
      </c>
      <c r="G221" s="424" t="s">
        <v>1350</v>
      </c>
      <c r="H221" s="424" t="s">
        <v>41</v>
      </c>
      <c r="I221" s="426" t="s">
        <v>242</v>
      </c>
      <c r="J221" s="424" t="s">
        <v>43</v>
      </c>
      <c r="K221" s="424" t="s">
        <v>43</v>
      </c>
      <c r="L221" s="424" t="s">
        <v>572</v>
      </c>
      <c r="M221" s="424" t="s">
        <v>44</v>
      </c>
      <c r="N221" s="424">
        <v>25.377038169999999</v>
      </c>
      <c r="O221" s="424">
        <v>97.403878500000005</v>
      </c>
      <c r="P221" s="424" t="s">
        <v>573</v>
      </c>
      <c r="Q221" s="424" t="s">
        <v>592</v>
      </c>
      <c r="R221" s="428"/>
      <c r="S221" s="428"/>
      <c r="T221" s="441">
        <v>42983</v>
      </c>
      <c r="U221" s="430" t="s">
        <v>776</v>
      </c>
      <c r="V221" s="424" t="s">
        <v>775</v>
      </c>
      <c r="W221" s="424" t="s">
        <v>1662</v>
      </c>
      <c r="X221" s="387"/>
    </row>
    <row r="222" spans="1:24" s="68" customFormat="1" ht="14.25" customHeight="1">
      <c r="A222" s="424" t="s">
        <v>37</v>
      </c>
      <c r="B222" s="424" t="s">
        <v>173</v>
      </c>
      <c r="C222" s="424" t="s">
        <v>827</v>
      </c>
      <c r="D222" s="387" t="s">
        <v>1299</v>
      </c>
      <c r="E222" s="424"/>
      <c r="F222" s="424"/>
      <c r="G222" s="424"/>
      <c r="H222" s="424"/>
      <c r="I222" s="424"/>
      <c r="J222" s="424" t="s">
        <v>43</v>
      </c>
      <c r="K222" s="424" t="s">
        <v>43</v>
      </c>
      <c r="L222" s="424" t="s">
        <v>815</v>
      </c>
      <c r="M222" s="424" t="s">
        <v>44</v>
      </c>
      <c r="N222" s="424"/>
      <c r="O222" s="424"/>
      <c r="P222" s="424" t="s">
        <v>573</v>
      </c>
      <c r="Q222" s="424"/>
      <c r="R222" s="428"/>
      <c r="S222" s="428"/>
      <c r="T222" s="441"/>
      <c r="U222" s="430"/>
      <c r="V222" s="424" t="s">
        <v>827</v>
      </c>
      <c r="W222" s="424"/>
      <c r="X222" s="387"/>
    </row>
    <row r="223" spans="1:24" s="68" customFormat="1" ht="14.25" customHeight="1">
      <c r="A223" s="424" t="s">
        <v>37</v>
      </c>
      <c r="B223" s="424" t="s">
        <v>173</v>
      </c>
      <c r="C223" s="424" t="s">
        <v>802</v>
      </c>
      <c r="D223" s="427" t="s">
        <v>2717</v>
      </c>
      <c r="E223" s="424" t="s">
        <v>1254</v>
      </c>
      <c r="F223" s="424" t="s">
        <v>1362</v>
      </c>
      <c r="G223" s="424" t="s">
        <v>1468</v>
      </c>
      <c r="H223" s="424"/>
      <c r="I223" s="424" t="s">
        <v>1619</v>
      </c>
      <c r="J223" s="424" t="s">
        <v>43</v>
      </c>
      <c r="K223" s="424" t="s">
        <v>43</v>
      </c>
      <c r="L223" s="424" t="s">
        <v>572</v>
      </c>
      <c r="M223" s="424" t="s">
        <v>44</v>
      </c>
      <c r="N223" s="424">
        <v>27.248964999999998</v>
      </c>
      <c r="O223" s="424">
        <v>97.561105999999995</v>
      </c>
      <c r="P223" s="424" t="s">
        <v>585</v>
      </c>
      <c r="Q223" s="424" t="s">
        <v>574</v>
      </c>
      <c r="R223" s="436"/>
      <c r="S223" s="429"/>
      <c r="T223" s="441"/>
      <c r="U223" s="430" t="s">
        <v>803</v>
      </c>
      <c r="V223" s="424"/>
      <c r="W223" s="360"/>
      <c r="X223" s="427"/>
    </row>
    <row r="224" spans="1:24" s="68" customFormat="1" ht="14.25" customHeight="1">
      <c r="A224" s="424" t="s">
        <v>37</v>
      </c>
      <c r="B224" s="424" t="s">
        <v>173</v>
      </c>
      <c r="C224" s="424" t="s">
        <v>174</v>
      </c>
      <c r="D224" s="387" t="s">
        <v>2650</v>
      </c>
      <c r="E224" s="424" t="s">
        <v>1258</v>
      </c>
      <c r="F224" s="424" t="s">
        <v>1455</v>
      </c>
      <c r="G224" s="424" t="s">
        <v>1456</v>
      </c>
      <c r="H224" s="424" t="s">
        <v>41</v>
      </c>
      <c r="I224" s="424" t="s">
        <v>2117</v>
      </c>
      <c r="J224" s="424" t="s">
        <v>43</v>
      </c>
      <c r="K224" s="424" t="s">
        <v>43</v>
      </c>
      <c r="L224" s="424" t="s">
        <v>572</v>
      </c>
      <c r="M224" s="424" t="s">
        <v>44</v>
      </c>
      <c r="N224" s="424">
        <v>27.337499999999999</v>
      </c>
      <c r="O224" s="424">
        <v>97.416121000000004</v>
      </c>
      <c r="P224" s="424" t="s">
        <v>573</v>
      </c>
      <c r="Q224" s="424" t="s">
        <v>592</v>
      </c>
      <c r="R224" s="428"/>
      <c r="S224" s="429"/>
      <c r="T224" s="441"/>
      <c r="U224" s="430"/>
      <c r="V224" s="424" t="s">
        <v>810</v>
      </c>
      <c r="W224" s="424" t="s">
        <v>2879</v>
      </c>
      <c r="X224" s="387"/>
    </row>
    <row r="225" spans="1:24" s="68" customFormat="1" ht="14.25" customHeight="1">
      <c r="A225" s="424" t="s">
        <v>37</v>
      </c>
      <c r="B225" s="426" t="s">
        <v>173</v>
      </c>
      <c r="C225" s="426" t="s">
        <v>804</v>
      </c>
      <c r="D225" s="387" t="s">
        <v>1300</v>
      </c>
      <c r="E225" s="424" t="s">
        <v>1255</v>
      </c>
      <c r="F225" s="424" t="s">
        <v>1362</v>
      </c>
      <c r="G225" s="424" t="s">
        <v>1363</v>
      </c>
      <c r="H225" s="424"/>
      <c r="I225" s="426">
        <v>0</v>
      </c>
      <c r="J225" s="424" t="s">
        <v>43</v>
      </c>
      <c r="K225" s="424" t="s">
        <v>43</v>
      </c>
      <c r="L225" s="424" t="s">
        <v>572</v>
      </c>
      <c r="M225" s="424" t="s">
        <v>44</v>
      </c>
      <c r="N225" s="424">
        <v>27.270199999999999</v>
      </c>
      <c r="O225" s="424">
        <v>97.58184</v>
      </c>
      <c r="P225" s="424" t="s">
        <v>573</v>
      </c>
      <c r="Q225" s="424"/>
      <c r="R225" s="428">
        <v>0</v>
      </c>
      <c r="S225" s="428">
        <v>0</v>
      </c>
      <c r="T225" s="441"/>
      <c r="U225" s="430"/>
      <c r="V225" s="424" t="s">
        <v>804</v>
      </c>
      <c r="W225" s="424" t="s">
        <v>1663</v>
      </c>
      <c r="X225" s="387"/>
    </row>
    <row r="226" spans="1:24" s="68" customFormat="1" ht="14.25" customHeight="1">
      <c r="A226" s="429" t="s">
        <v>37</v>
      </c>
      <c r="B226" s="432" t="s">
        <v>173</v>
      </c>
      <c r="C226" s="433" t="s">
        <v>851</v>
      </c>
      <c r="D226" s="427" t="s">
        <v>1299</v>
      </c>
      <c r="E226" s="424"/>
      <c r="F226" s="424"/>
      <c r="G226" s="424"/>
      <c r="H226" s="424"/>
      <c r="I226" s="424"/>
      <c r="J226" s="424" t="s">
        <v>43</v>
      </c>
      <c r="K226" s="426" t="s">
        <v>43</v>
      </c>
      <c r="L226" s="426" t="s">
        <v>815</v>
      </c>
      <c r="M226" s="424" t="s">
        <v>44</v>
      </c>
      <c r="N226" s="424"/>
      <c r="O226" s="424"/>
      <c r="P226" s="424" t="s">
        <v>573</v>
      </c>
      <c r="Q226" s="424"/>
      <c r="R226" s="436"/>
      <c r="S226" s="429"/>
      <c r="T226" s="441"/>
      <c r="U226" s="430"/>
      <c r="V226" s="424" t="s">
        <v>851</v>
      </c>
      <c r="W226" s="424"/>
      <c r="X226" s="427"/>
    </row>
    <row r="227" spans="1:24" s="68" customFormat="1" ht="14.25" customHeight="1">
      <c r="A227" s="433" t="s">
        <v>37</v>
      </c>
      <c r="B227" s="432" t="s">
        <v>173</v>
      </c>
      <c r="C227" s="367" t="s">
        <v>808</v>
      </c>
      <c r="D227" s="427" t="s">
        <v>2717</v>
      </c>
      <c r="E227" s="424" t="s">
        <v>1257</v>
      </c>
      <c r="F227" s="424" t="s">
        <v>1455</v>
      </c>
      <c r="G227" s="424" t="s">
        <v>1469</v>
      </c>
      <c r="H227" s="424"/>
      <c r="I227" s="424" t="s">
        <v>1619</v>
      </c>
      <c r="J227" s="424" t="s">
        <v>43</v>
      </c>
      <c r="K227" s="426" t="s">
        <v>43</v>
      </c>
      <c r="L227" s="424" t="s">
        <v>572</v>
      </c>
      <c r="M227" s="424" t="s">
        <v>44</v>
      </c>
      <c r="N227" s="424">
        <v>27.311699999999998</v>
      </c>
      <c r="O227" s="424">
        <v>97.415289999999999</v>
      </c>
      <c r="P227" s="424" t="s">
        <v>585</v>
      </c>
      <c r="Q227" s="424" t="s">
        <v>574</v>
      </c>
      <c r="R227" s="436"/>
      <c r="S227" s="429"/>
      <c r="T227" s="441"/>
      <c r="U227" s="430" t="s">
        <v>809</v>
      </c>
      <c r="V227" s="424" t="s">
        <v>808</v>
      </c>
      <c r="W227" s="424"/>
      <c r="X227" s="427"/>
    </row>
    <row r="228" spans="1:24" s="68" customFormat="1" ht="14.25" customHeight="1">
      <c r="A228" s="424" t="s">
        <v>37</v>
      </c>
      <c r="B228" s="426" t="s">
        <v>214</v>
      </c>
      <c r="C228" s="426" t="s">
        <v>1597</v>
      </c>
      <c r="D228" s="387"/>
      <c r="E228" s="424"/>
      <c r="F228" s="424"/>
      <c r="G228" s="424"/>
      <c r="H228" s="424"/>
      <c r="I228" s="424"/>
      <c r="J228" s="424" t="s">
        <v>1099</v>
      </c>
      <c r="K228" s="424" t="s">
        <v>43</v>
      </c>
      <c r="L228" s="424" t="s">
        <v>588</v>
      </c>
      <c r="M228" s="424" t="s">
        <v>590</v>
      </c>
      <c r="N228" s="424"/>
      <c r="O228" s="424"/>
      <c r="P228" s="424" t="s">
        <v>573</v>
      </c>
      <c r="Q228" s="424"/>
      <c r="R228" s="428"/>
      <c r="S228" s="428"/>
      <c r="T228" s="441">
        <v>43298</v>
      </c>
      <c r="U228" s="430"/>
      <c r="V228" s="424"/>
      <c r="W228" s="424"/>
      <c r="X228" s="387"/>
    </row>
    <row r="229" spans="1:24" s="68" customFormat="1" ht="14.25" customHeight="1">
      <c r="A229" s="424" t="s">
        <v>37</v>
      </c>
      <c r="B229" s="426" t="s">
        <v>214</v>
      </c>
      <c r="C229" s="426" t="s">
        <v>1590</v>
      </c>
      <c r="D229" s="427" t="s">
        <v>2987</v>
      </c>
      <c r="E229" s="424" t="s">
        <v>2153</v>
      </c>
      <c r="F229" s="424"/>
      <c r="G229" s="424"/>
      <c r="H229" s="424"/>
      <c r="I229" s="424" t="s">
        <v>1619</v>
      </c>
      <c r="J229" s="424" t="s">
        <v>43</v>
      </c>
      <c r="K229" s="424" t="s">
        <v>43</v>
      </c>
      <c r="L229" s="424" t="s">
        <v>588</v>
      </c>
      <c r="M229" s="424" t="s">
        <v>590</v>
      </c>
      <c r="N229" s="424">
        <v>24.590350000000001</v>
      </c>
      <c r="O229" s="424">
        <v>96.95626</v>
      </c>
      <c r="P229" s="424" t="s">
        <v>573</v>
      </c>
      <c r="Q229" s="424"/>
      <c r="R229" s="436">
        <v>292</v>
      </c>
      <c r="S229" s="429">
        <v>1299</v>
      </c>
      <c r="T229" s="441">
        <v>43628</v>
      </c>
      <c r="U229" s="430"/>
      <c r="V229" s="426" t="s">
        <v>1590</v>
      </c>
      <c r="W229" s="424" t="s">
        <v>2154</v>
      </c>
      <c r="X229" s="427"/>
    </row>
    <row r="230" spans="1:24" s="68" customFormat="1" ht="14.25" customHeight="1">
      <c r="A230" s="424" t="s">
        <v>37</v>
      </c>
      <c r="B230" s="426" t="s">
        <v>214</v>
      </c>
      <c r="C230" s="426" t="s">
        <v>215</v>
      </c>
      <c r="D230" s="427" t="s">
        <v>2987</v>
      </c>
      <c r="E230" s="424" t="s">
        <v>1112</v>
      </c>
      <c r="F230" s="424" t="s">
        <v>1384</v>
      </c>
      <c r="G230" s="424" t="s">
        <v>1384</v>
      </c>
      <c r="H230" s="424" t="s">
        <v>41</v>
      </c>
      <c r="I230" s="424" t="s">
        <v>2116</v>
      </c>
      <c r="J230" s="424" t="s">
        <v>43</v>
      </c>
      <c r="K230" s="424" t="s">
        <v>43</v>
      </c>
      <c r="L230" s="424" t="s">
        <v>43</v>
      </c>
      <c r="M230" s="424" t="s">
        <v>44</v>
      </c>
      <c r="N230" s="424">
        <v>24.200361000000001</v>
      </c>
      <c r="O230" s="424">
        <v>96.807353000000006</v>
      </c>
      <c r="P230" s="424" t="s">
        <v>573</v>
      </c>
      <c r="Q230" s="424" t="s">
        <v>592</v>
      </c>
      <c r="R230" s="436">
        <v>46</v>
      </c>
      <c r="S230" s="429">
        <v>249</v>
      </c>
      <c r="T230" s="441"/>
      <c r="U230" s="430"/>
      <c r="V230" s="424" t="s">
        <v>215</v>
      </c>
      <c r="W230" s="424"/>
      <c r="X230" s="427"/>
    </row>
    <row r="231" spans="1:24" s="68" customFormat="1" ht="14.25" customHeight="1">
      <c r="A231" s="424" t="s">
        <v>37</v>
      </c>
      <c r="B231" s="426" t="s">
        <v>214</v>
      </c>
      <c r="C231" s="426" t="s">
        <v>216</v>
      </c>
      <c r="D231" s="427" t="s">
        <v>2987</v>
      </c>
      <c r="E231" s="424" t="s">
        <v>1113</v>
      </c>
      <c r="F231" s="424" t="s">
        <v>1384</v>
      </c>
      <c r="G231" s="424" t="s">
        <v>1384</v>
      </c>
      <c r="H231" s="424" t="s">
        <v>41</v>
      </c>
      <c r="I231" s="424" t="s">
        <v>42</v>
      </c>
      <c r="J231" s="424" t="s">
        <v>43</v>
      </c>
      <c r="K231" s="424" t="s">
        <v>43</v>
      </c>
      <c r="L231" s="424" t="s">
        <v>43</v>
      </c>
      <c r="M231" s="424" t="s">
        <v>44</v>
      </c>
      <c r="N231" s="424">
        <v>24.200367</v>
      </c>
      <c r="O231" s="424">
        <v>96.807353000000006</v>
      </c>
      <c r="P231" s="424" t="s">
        <v>573</v>
      </c>
      <c r="Q231" s="424" t="s">
        <v>592</v>
      </c>
      <c r="R231" s="436">
        <v>33</v>
      </c>
      <c r="S231" s="429">
        <v>152</v>
      </c>
      <c r="T231" s="441"/>
      <c r="U231" s="430"/>
      <c r="V231" s="424" t="s">
        <v>216</v>
      </c>
      <c r="W231" s="424"/>
      <c r="X231" s="427"/>
    </row>
    <row r="232" spans="1:24" s="68" customFormat="1" ht="14.25" customHeight="1">
      <c r="A232" s="429" t="s">
        <v>37</v>
      </c>
      <c r="B232" s="432" t="s">
        <v>214</v>
      </c>
      <c r="C232" s="433" t="s">
        <v>862</v>
      </c>
      <c r="D232" s="427" t="s">
        <v>2256</v>
      </c>
      <c r="E232" s="424"/>
      <c r="F232" s="424"/>
      <c r="G232" s="424"/>
      <c r="H232" s="424"/>
      <c r="I232" s="424"/>
      <c r="J232" s="424" t="s">
        <v>815</v>
      </c>
      <c r="K232" s="426" t="s">
        <v>43</v>
      </c>
      <c r="L232" s="426" t="s">
        <v>43</v>
      </c>
      <c r="M232" s="424" t="s">
        <v>44</v>
      </c>
      <c r="N232" s="424"/>
      <c r="O232" s="424"/>
      <c r="P232" s="424" t="s">
        <v>573</v>
      </c>
      <c r="Q232" s="424"/>
      <c r="R232" s="436"/>
      <c r="S232" s="429"/>
      <c r="T232" s="441"/>
      <c r="U232" s="430"/>
      <c r="V232" s="424" t="s">
        <v>862</v>
      </c>
      <c r="W232" s="424"/>
      <c r="X232" s="427"/>
    </row>
    <row r="233" spans="1:24" s="68" customFormat="1" ht="14.25" customHeight="1">
      <c r="A233" s="429" t="s">
        <v>37</v>
      </c>
      <c r="B233" s="432" t="s">
        <v>214</v>
      </c>
      <c r="C233" s="433" t="s">
        <v>730</v>
      </c>
      <c r="D233" s="427" t="s">
        <v>2256</v>
      </c>
      <c r="E233" s="424" t="s">
        <v>1121</v>
      </c>
      <c r="F233" s="424"/>
      <c r="G233" s="424"/>
      <c r="H233" s="424"/>
      <c r="I233" s="424">
        <v>0</v>
      </c>
      <c r="J233" s="424" t="s">
        <v>43</v>
      </c>
      <c r="K233" s="426" t="s">
        <v>43</v>
      </c>
      <c r="L233" s="426" t="s">
        <v>43</v>
      </c>
      <c r="M233" s="424" t="s">
        <v>44</v>
      </c>
      <c r="N233" s="424">
        <v>24.224830999999998</v>
      </c>
      <c r="O233" s="424">
        <v>96.793177</v>
      </c>
      <c r="P233" s="424" t="s">
        <v>573</v>
      </c>
      <c r="Q233" s="424" t="s">
        <v>574</v>
      </c>
      <c r="R233" s="436">
        <v>0</v>
      </c>
      <c r="S233" s="429">
        <v>0</v>
      </c>
      <c r="T233" s="441">
        <v>42983</v>
      </c>
      <c r="U233" s="430" t="s">
        <v>731</v>
      </c>
      <c r="V233" s="424"/>
      <c r="W233" s="424" t="s">
        <v>1664</v>
      </c>
      <c r="X233" s="427"/>
    </row>
    <row r="234" spans="1:24" s="68" customFormat="1" ht="14.25" customHeight="1">
      <c r="A234" s="429" t="s">
        <v>37</v>
      </c>
      <c r="B234" s="432" t="s">
        <v>214</v>
      </c>
      <c r="C234" s="433" t="s">
        <v>1596</v>
      </c>
      <c r="D234" s="427"/>
      <c r="E234" s="424"/>
      <c r="F234" s="424"/>
      <c r="G234" s="424"/>
      <c r="H234" s="424"/>
      <c r="I234" s="424"/>
      <c r="J234" s="424" t="s">
        <v>1099</v>
      </c>
      <c r="K234" s="424" t="s">
        <v>43</v>
      </c>
      <c r="L234" s="424" t="s">
        <v>588</v>
      </c>
      <c r="M234" s="424" t="s">
        <v>590</v>
      </c>
      <c r="N234" s="424"/>
      <c r="O234" s="424"/>
      <c r="P234" s="424" t="s">
        <v>573</v>
      </c>
      <c r="Q234" s="424"/>
      <c r="R234" s="436"/>
      <c r="S234" s="429"/>
      <c r="T234" s="441">
        <v>43298</v>
      </c>
      <c r="U234" s="436"/>
      <c r="V234" s="424"/>
      <c r="W234" s="428"/>
      <c r="X234" s="427"/>
    </row>
    <row r="235" spans="1:24" s="68" customFormat="1" ht="14.25" customHeight="1">
      <c r="A235" s="429" t="s">
        <v>37</v>
      </c>
      <c r="B235" s="432" t="s">
        <v>214</v>
      </c>
      <c r="C235" s="433" t="s">
        <v>1594</v>
      </c>
      <c r="D235" s="427"/>
      <c r="E235" s="424"/>
      <c r="F235" s="424"/>
      <c r="G235" s="424"/>
      <c r="H235" s="424"/>
      <c r="I235" s="424"/>
      <c r="J235" s="424" t="s">
        <v>1099</v>
      </c>
      <c r="K235" s="424" t="s">
        <v>43</v>
      </c>
      <c r="L235" s="424" t="s">
        <v>588</v>
      </c>
      <c r="M235" s="424" t="s">
        <v>590</v>
      </c>
      <c r="N235" s="424"/>
      <c r="O235" s="424"/>
      <c r="P235" s="424" t="s">
        <v>573</v>
      </c>
      <c r="Q235" s="424"/>
      <c r="R235" s="436"/>
      <c r="S235" s="429"/>
      <c r="T235" s="441">
        <v>43298</v>
      </c>
      <c r="U235" s="436"/>
      <c r="V235" s="424"/>
      <c r="W235" s="428"/>
      <c r="X235" s="427"/>
    </row>
    <row r="236" spans="1:24" s="68" customFormat="1" ht="14.25" customHeight="1">
      <c r="A236" s="424" t="s">
        <v>37</v>
      </c>
      <c r="B236" s="424" t="s">
        <v>184</v>
      </c>
      <c r="C236" s="386" t="s">
        <v>2246</v>
      </c>
      <c r="D236" s="387"/>
      <c r="E236" s="424"/>
      <c r="F236" s="424"/>
      <c r="G236" s="424"/>
      <c r="H236" s="424"/>
      <c r="I236" s="426"/>
      <c r="J236" s="424" t="s">
        <v>607</v>
      </c>
      <c r="K236" s="424" t="s">
        <v>607</v>
      </c>
      <c r="L236" s="385" t="s">
        <v>826</v>
      </c>
      <c r="M236" s="424" t="s">
        <v>590</v>
      </c>
      <c r="N236" s="424"/>
      <c r="O236" s="424"/>
      <c r="P236" s="17"/>
      <c r="Q236" s="424" t="s">
        <v>2237</v>
      </c>
      <c r="R236" s="428"/>
      <c r="S236" s="428"/>
      <c r="T236" s="441">
        <v>43851</v>
      </c>
      <c r="U236" s="430"/>
      <c r="V236" s="424"/>
      <c r="W236" s="424"/>
      <c r="X236" s="387"/>
    </row>
    <row r="237" spans="1:24" s="68" customFormat="1" ht="14.25" customHeight="1">
      <c r="A237" s="429" t="s">
        <v>37</v>
      </c>
      <c r="B237" s="432" t="s">
        <v>184</v>
      </c>
      <c r="C237" s="433" t="s">
        <v>2244</v>
      </c>
      <c r="D237" s="427"/>
      <c r="E237" s="424"/>
      <c r="F237" s="424"/>
      <c r="G237" s="424"/>
      <c r="H237" s="424"/>
      <c r="I237" s="424"/>
      <c r="J237" s="424" t="s">
        <v>607</v>
      </c>
      <c r="K237" s="424" t="s">
        <v>607</v>
      </c>
      <c r="L237" s="424" t="s">
        <v>826</v>
      </c>
      <c r="M237" s="424" t="s">
        <v>590</v>
      </c>
      <c r="N237" s="424"/>
      <c r="O237" s="424"/>
      <c r="P237" s="424"/>
      <c r="Q237" s="424" t="s">
        <v>2237</v>
      </c>
      <c r="R237" s="436"/>
      <c r="S237" s="429"/>
      <c r="T237" s="441">
        <v>43851</v>
      </c>
      <c r="U237" s="436"/>
      <c r="V237" s="424"/>
      <c r="W237" s="428"/>
      <c r="X237" s="427"/>
    </row>
    <row r="238" spans="1:24" s="68" customFormat="1" ht="14.25" customHeight="1">
      <c r="A238" s="424" t="s">
        <v>37</v>
      </c>
      <c r="B238" s="424" t="s">
        <v>184</v>
      </c>
      <c r="C238" s="424" t="s">
        <v>2114</v>
      </c>
      <c r="D238" s="427" t="s">
        <v>2987</v>
      </c>
      <c r="E238" s="424" t="s">
        <v>2115</v>
      </c>
      <c r="F238" s="424">
        <v>0</v>
      </c>
      <c r="G238" s="424">
        <v>0</v>
      </c>
      <c r="H238" s="424"/>
      <c r="I238" s="424" t="s">
        <v>1619</v>
      </c>
      <c r="J238" s="424" t="s">
        <v>43</v>
      </c>
      <c r="K238" s="424" t="s">
        <v>43</v>
      </c>
      <c r="L238" s="424" t="s">
        <v>588</v>
      </c>
      <c r="M238" s="424" t="s">
        <v>44</v>
      </c>
      <c r="N238" s="424">
        <v>26.299828999999999</v>
      </c>
      <c r="O238" s="424">
        <v>97.487258999999995</v>
      </c>
      <c r="P238" s="17" t="s">
        <v>573</v>
      </c>
      <c r="Q238" s="424" t="s">
        <v>2085</v>
      </c>
      <c r="R238" s="436">
        <v>31</v>
      </c>
      <c r="S238" s="429">
        <v>171</v>
      </c>
      <c r="T238" s="441">
        <v>43579</v>
      </c>
      <c r="U238" s="430"/>
      <c r="V238" s="424"/>
      <c r="W238" s="424"/>
      <c r="X238" s="427"/>
    </row>
    <row r="239" spans="1:24" s="68" customFormat="1" ht="14.25" customHeight="1">
      <c r="A239" s="424" t="s">
        <v>37</v>
      </c>
      <c r="B239" s="424" t="s">
        <v>184</v>
      </c>
      <c r="C239" s="424" t="s">
        <v>2247</v>
      </c>
      <c r="D239" s="387"/>
      <c r="E239" s="424"/>
      <c r="F239" s="424"/>
      <c r="G239" s="424"/>
      <c r="H239" s="424"/>
      <c r="I239" s="424"/>
      <c r="J239" s="424" t="s">
        <v>607</v>
      </c>
      <c r="K239" s="424" t="s">
        <v>607</v>
      </c>
      <c r="L239" s="424" t="s">
        <v>826</v>
      </c>
      <c r="M239" s="424" t="s">
        <v>590</v>
      </c>
      <c r="N239" s="424"/>
      <c r="O239" s="424"/>
      <c r="P239" s="424"/>
      <c r="Q239" s="424" t="s">
        <v>2237</v>
      </c>
      <c r="R239" s="428"/>
      <c r="S239" s="429"/>
      <c r="T239" s="441">
        <v>43851</v>
      </c>
      <c r="U239" s="430"/>
      <c r="V239" s="424"/>
      <c r="W239" s="424"/>
      <c r="X239" s="387"/>
    </row>
    <row r="240" spans="1:24" s="68" customFormat="1" ht="14.25" customHeight="1">
      <c r="A240" s="424" t="s">
        <v>37</v>
      </c>
      <c r="B240" s="426" t="s">
        <v>184</v>
      </c>
      <c r="C240" s="426" t="s">
        <v>185</v>
      </c>
      <c r="D240" s="427" t="s">
        <v>2987</v>
      </c>
      <c r="E240" s="424" t="s">
        <v>1252</v>
      </c>
      <c r="F240" s="424">
        <v>0</v>
      </c>
      <c r="G240" s="424">
        <v>0</v>
      </c>
      <c r="H240" s="424" t="s">
        <v>41</v>
      </c>
      <c r="I240" s="424" t="s">
        <v>2117</v>
      </c>
      <c r="J240" s="424" t="s">
        <v>43</v>
      </c>
      <c r="K240" s="424" t="s">
        <v>43</v>
      </c>
      <c r="L240" s="424" t="s">
        <v>43</v>
      </c>
      <c r="M240" s="424" t="s">
        <v>590</v>
      </c>
      <c r="N240" s="424">
        <v>26.569633</v>
      </c>
      <c r="O240" s="424">
        <v>97.745480999999998</v>
      </c>
      <c r="P240" s="17" t="s">
        <v>573</v>
      </c>
      <c r="Q240" s="424" t="s">
        <v>574</v>
      </c>
      <c r="R240" s="436">
        <v>123</v>
      </c>
      <c r="S240" s="429">
        <v>646</v>
      </c>
      <c r="T240" s="441"/>
      <c r="U240" s="430"/>
      <c r="V240" s="424" t="s">
        <v>799</v>
      </c>
      <c r="W240" s="424"/>
      <c r="X240" s="427"/>
    </row>
    <row r="241" spans="1:24" s="68" customFormat="1" ht="14.25" customHeight="1">
      <c r="A241" s="426" t="s">
        <v>37</v>
      </c>
      <c r="B241" s="426" t="s">
        <v>184</v>
      </c>
      <c r="C241" s="426" t="s">
        <v>850</v>
      </c>
      <c r="D241" s="387" t="s">
        <v>1299</v>
      </c>
      <c r="E241" s="424"/>
      <c r="F241" s="424"/>
      <c r="G241" s="424"/>
      <c r="H241" s="424"/>
      <c r="I241" s="426"/>
      <c r="J241" s="424" t="s">
        <v>43</v>
      </c>
      <c r="K241" s="424" t="s">
        <v>43</v>
      </c>
      <c r="L241" s="424" t="s">
        <v>815</v>
      </c>
      <c r="M241" s="424" t="s">
        <v>44</v>
      </c>
      <c r="N241" s="424"/>
      <c r="O241" s="424"/>
      <c r="P241" s="424" t="s">
        <v>573</v>
      </c>
      <c r="Q241" s="424"/>
      <c r="R241" s="428"/>
      <c r="S241" s="428"/>
      <c r="T241" s="441"/>
      <c r="U241" s="430"/>
      <c r="V241" s="424" t="s">
        <v>850</v>
      </c>
      <c r="W241" s="424"/>
      <c r="X241" s="387"/>
    </row>
    <row r="242" spans="1:24" s="68" customFormat="1" ht="14.25" customHeight="1">
      <c r="A242" s="429" t="s">
        <v>37</v>
      </c>
      <c r="B242" s="432" t="s">
        <v>184</v>
      </c>
      <c r="C242" s="433" t="s">
        <v>187</v>
      </c>
      <c r="D242" s="427" t="s">
        <v>2987</v>
      </c>
      <c r="E242" s="424" t="s">
        <v>1251</v>
      </c>
      <c r="F242" s="424">
        <v>0</v>
      </c>
      <c r="G242" s="424">
        <v>0</v>
      </c>
      <c r="H242" s="424" t="s">
        <v>41</v>
      </c>
      <c r="I242" s="424" t="s">
        <v>2117</v>
      </c>
      <c r="J242" s="424" t="s">
        <v>43</v>
      </c>
      <c r="K242" s="424" t="s">
        <v>43</v>
      </c>
      <c r="L242" s="424" t="s">
        <v>43</v>
      </c>
      <c r="M242" s="424" t="s">
        <v>590</v>
      </c>
      <c r="N242" s="424">
        <v>26.548506</v>
      </c>
      <c r="O242" s="424">
        <v>97.75609</v>
      </c>
      <c r="P242" s="424" t="s">
        <v>573</v>
      </c>
      <c r="Q242" s="424" t="s">
        <v>574</v>
      </c>
      <c r="R242" s="436">
        <v>68</v>
      </c>
      <c r="S242" s="429">
        <v>355</v>
      </c>
      <c r="T242" s="441">
        <v>42788</v>
      </c>
      <c r="U242" s="436"/>
      <c r="V242" s="424"/>
      <c r="W242" s="428"/>
      <c r="X242" s="427"/>
    </row>
    <row r="243" spans="1:24" s="68" customFormat="1" ht="14.25" customHeight="1">
      <c r="A243" s="426" t="s">
        <v>37</v>
      </c>
      <c r="B243" s="426" t="s">
        <v>184</v>
      </c>
      <c r="C243" s="426" t="s">
        <v>184</v>
      </c>
      <c r="D243" s="427" t="s">
        <v>2717</v>
      </c>
      <c r="E243" s="426" t="s">
        <v>1250</v>
      </c>
      <c r="F243" s="424" t="s">
        <v>1467</v>
      </c>
      <c r="G243" s="424">
        <v>0</v>
      </c>
      <c r="H243" s="426"/>
      <c r="I243" s="426" t="s">
        <v>1619</v>
      </c>
      <c r="J243" s="426" t="s">
        <v>43</v>
      </c>
      <c r="K243" s="426" t="s">
        <v>43</v>
      </c>
      <c r="L243" s="424" t="s">
        <v>572</v>
      </c>
      <c r="M243" s="426" t="s">
        <v>44</v>
      </c>
      <c r="N243" s="426">
        <v>26.541930000000001</v>
      </c>
      <c r="O243" s="426">
        <v>97.568836000000005</v>
      </c>
      <c r="P243" s="424" t="s">
        <v>573</v>
      </c>
      <c r="Q243" s="426" t="s">
        <v>574</v>
      </c>
      <c r="R243" s="436"/>
      <c r="S243" s="429"/>
      <c r="T243" s="442"/>
      <c r="U243" s="434" t="s">
        <v>798</v>
      </c>
      <c r="V243" s="424" t="s">
        <v>184</v>
      </c>
      <c r="W243" s="424"/>
      <c r="X243" s="427"/>
    </row>
    <row r="244" spans="1:24" s="68" customFormat="1" ht="14.25" customHeight="1">
      <c r="A244" s="433" t="s">
        <v>37</v>
      </c>
      <c r="B244" s="432" t="s">
        <v>184</v>
      </c>
      <c r="C244" s="433" t="s">
        <v>2245</v>
      </c>
      <c r="D244" s="388"/>
      <c r="E244" s="426"/>
      <c r="F244" s="426"/>
      <c r="G244" s="426"/>
      <c r="H244" s="426"/>
      <c r="I244" s="426"/>
      <c r="J244" s="426" t="s">
        <v>607</v>
      </c>
      <c r="K244" s="426" t="s">
        <v>607</v>
      </c>
      <c r="L244" s="426" t="s">
        <v>826</v>
      </c>
      <c r="M244" s="426" t="s">
        <v>590</v>
      </c>
      <c r="N244" s="426"/>
      <c r="O244" s="426"/>
      <c r="P244" s="424"/>
      <c r="Q244" s="426" t="s">
        <v>2237</v>
      </c>
      <c r="R244" s="437"/>
      <c r="S244" s="433"/>
      <c r="T244" s="442">
        <v>43851</v>
      </c>
      <c r="U244" s="434"/>
      <c r="V244" s="426"/>
      <c r="W244" s="424"/>
      <c r="X244" s="388"/>
    </row>
    <row r="245" spans="1:24" s="68" customFormat="1" ht="14.25" customHeight="1">
      <c r="A245" s="433" t="s">
        <v>37</v>
      </c>
      <c r="B245" s="432" t="s">
        <v>184</v>
      </c>
      <c r="C245" s="433" t="s">
        <v>872</v>
      </c>
      <c r="D245" s="427" t="s">
        <v>2256</v>
      </c>
      <c r="E245" s="431"/>
      <c r="F245" s="424"/>
      <c r="G245" s="424"/>
      <c r="H245" s="424"/>
      <c r="I245" s="424"/>
      <c r="J245" s="424" t="s">
        <v>1099</v>
      </c>
      <c r="K245" s="426" t="s">
        <v>43</v>
      </c>
      <c r="L245" s="426" t="s">
        <v>43</v>
      </c>
      <c r="M245" s="424" t="s">
        <v>44</v>
      </c>
      <c r="N245" s="424"/>
      <c r="O245" s="424"/>
      <c r="P245" s="424" t="s">
        <v>573</v>
      </c>
      <c r="Q245" s="424" t="s">
        <v>574</v>
      </c>
      <c r="R245" s="436"/>
      <c r="S245" s="429"/>
      <c r="T245" s="441">
        <v>42788</v>
      </c>
      <c r="U245" s="434"/>
      <c r="V245" s="424"/>
      <c r="W245" s="424"/>
      <c r="X245" s="427"/>
    </row>
    <row r="246" spans="1:24" s="68" customFormat="1" ht="14.25" customHeight="1">
      <c r="A246" s="424" t="s">
        <v>37</v>
      </c>
      <c r="B246" s="426" t="s">
        <v>863</v>
      </c>
      <c r="C246" s="426" t="s">
        <v>1576</v>
      </c>
      <c r="D246" s="387"/>
      <c r="E246" s="424"/>
      <c r="F246" s="424"/>
      <c r="G246" s="424"/>
      <c r="H246" s="424"/>
      <c r="I246" s="424"/>
      <c r="J246" s="424" t="s">
        <v>1099</v>
      </c>
      <c r="K246" s="424" t="s">
        <v>43</v>
      </c>
      <c r="L246" s="426" t="s">
        <v>588</v>
      </c>
      <c r="M246" s="424"/>
      <c r="N246" s="424"/>
      <c r="O246" s="424"/>
      <c r="P246" s="424" t="s">
        <v>573</v>
      </c>
      <c r="Q246" s="424" t="s">
        <v>1530</v>
      </c>
      <c r="R246" s="428"/>
      <c r="S246" s="428"/>
      <c r="T246" s="441">
        <v>43285</v>
      </c>
      <c r="U246" s="161" t="s">
        <v>1581</v>
      </c>
      <c r="V246" s="424"/>
      <c r="W246" s="360"/>
      <c r="X246" s="387"/>
    </row>
    <row r="247" spans="1:24" s="68" customFormat="1" ht="14.25" customHeight="1">
      <c r="A247" s="424" t="s">
        <v>37</v>
      </c>
      <c r="B247" s="426" t="s">
        <v>863</v>
      </c>
      <c r="C247" s="426" t="s">
        <v>1577</v>
      </c>
      <c r="D247" s="387"/>
      <c r="E247" s="424"/>
      <c r="F247" s="424"/>
      <c r="G247" s="424"/>
      <c r="H247" s="424"/>
      <c r="I247" s="424"/>
      <c r="J247" s="424" t="s">
        <v>1099</v>
      </c>
      <c r="K247" s="424" t="s">
        <v>43</v>
      </c>
      <c r="L247" s="424" t="s">
        <v>588</v>
      </c>
      <c r="M247" s="424"/>
      <c r="N247" s="424"/>
      <c r="O247" s="424"/>
      <c r="P247" s="424" t="s">
        <v>573</v>
      </c>
      <c r="Q247" s="424" t="s">
        <v>1530</v>
      </c>
      <c r="R247" s="428"/>
      <c r="S247" s="428"/>
      <c r="T247" s="441">
        <v>43285</v>
      </c>
      <c r="U247" s="430" t="s">
        <v>1581</v>
      </c>
      <c r="V247" s="424"/>
      <c r="W247" s="424"/>
      <c r="X247" s="387"/>
    </row>
    <row r="248" spans="1:24" s="68" customFormat="1" ht="14.25" customHeight="1">
      <c r="A248" s="424" t="s">
        <v>37</v>
      </c>
      <c r="B248" s="426" t="s">
        <v>863</v>
      </c>
      <c r="C248" s="426" t="s">
        <v>1717</v>
      </c>
      <c r="D248" s="427" t="s">
        <v>2987</v>
      </c>
      <c r="E248" s="424" t="s">
        <v>1266</v>
      </c>
      <c r="F248" s="424" t="s">
        <v>863</v>
      </c>
      <c r="G248" s="424">
        <v>0</v>
      </c>
      <c r="H248" s="424" t="s">
        <v>41</v>
      </c>
      <c r="I248" s="424" t="s">
        <v>1035</v>
      </c>
      <c r="J248" s="424" t="s">
        <v>43</v>
      </c>
      <c r="K248" s="424" t="s">
        <v>43</v>
      </c>
      <c r="L248" s="426" t="s">
        <v>43</v>
      </c>
      <c r="M248" s="424" t="s">
        <v>44</v>
      </c>
      <c r="N248" s="424">
        <v>26.350176000000001</v>
      </c>
      <c r="O248" s="424">
        <v>96.711387999999999</v>
      </c>
      <c r="P248" s="424" t="s">
        <v>573</v>
      </c>
      <c r="Q248" s="424" t="s">
        <v>667</v>
      </c>
      <c r="R248" s="436">
        <v>133</v>
      </c>
      <c r="S248" s="429">
        <v>629</v>
      </c>
      <c r="T248" s="441">
        <v>43444</v>
      </c>
      <c r="U248" s="430" t="s">
        <v>1716</v>
      </c>
      <c r="V248" s="424" t="s">
        <v>867</v>
      </c>
      <c r="W248" s="360" t="s">
        <v>1716</v>
      </c>
      <c r="X248" s="427"/>
    </row>
    <row r="249" spans="1:24" s="68" customFormat="1" ht="14.25" customHeight="1">
      <c r="A249" s="424" t="s">
        <v>37</v>
      </c>
      <c r="B249" s="426" t="s">
        <v>863</v>
      </c>
      <c r="C249" s="426" t="s">
        <v>1567</v>
      </c>
      <c r="D249" s="387" t="s">
        <v>1719</v>
      </c>
      <c r="E249" s="426" t="s">
        <v>1263</v>
      </c>
      <c r="F249" s="424" t="s">
        <v>863</v>
      </c>
      <c r="G249" s="424">
        <v>0</v>
      </c>
      <c r="H249" s="424"/>
      <c r="I249" s="424" t="s">
        <v>1619</v>
      </c>
      <c r="J249" s="424" t="s">
        <v>43</v>
      </c>
      <c r="K249" s="424" t="s">
        <v>43</v>
      </c>
      <c r="L249" s="424" t="s">
        <v>572</v>
      </c>
      <c r="M249" s="424" t="s">
        <v>44</v>
      </c>
      <c r="N249" s="424"/>
      <c r="O249" s="424"/>
      <c r="P249" s="424" t="s">
        <v>573</v>
      </c>
      <c r="Q249" s="424" t="s">
        <v>667</v>
      </c>
      <c r="R249" s="428"/>
      <c r="S249" s="428"/>
      <c r="T249" s="441">
        <v>43444</v>
      </c>
      <c r="U249" s="430" t="s">
        <v>2120</v>
      </c>
      <c r="V249" s="424"/>
      <c r="W249" s="360" t="s">
        <v>1718</v>
      </c>
      <c r="X249" s="387"/>
    </row>
    <row r="250" spans="1:24" s="68" customFormat="1" ht="14.25" customHeight="1">
      <c r="A250" s="433" t="s">
        <v>37</v>
      </c>
      <c r="B250" s="432" t="s">
        <v>863</v>
      </c>
      <c r="C250" s="426" t="s">
        <v>865</v>
      </c>
      <c r="D250" s="427" t="s">
        <v>2987</v>
      </c>
      <c r="E250" s="426" t="s">
        <v>1264</v>
      </c>
      <c r="F250" s="424" t="s">
        <v>863</v>
      </c>
      <c r="G250" s="424">
        <v>0</v>
      </c>
      <c r="H250" s="424" t="s">
        <v>41</v>
      </c>
      <c r="I250" s="424" t="s">
        <v>1035</v>
      </c>
      <c r="J250" s="424" t="s">
        <v>43</v>
      </c>
      <c r="K250" s="424" t="s">
        <v>43</v>
      </c>
      <c r="L250" s="424" t="s">
        <v>43</v>
      </c>
      <c r="M250" s="424" t="s">
        <v>44</v>
      </c>
      <c r="N250" s="424">
        <v>26.351690999999999</v>
      </c>
      <c r="O250" s="424">
        <v>96.690871999999999</v>
      </c>
      <c r="P250" s="424" t="s">
        <v>573</v>
      </c>
      <c r="Q250" s="424" t="s">
        <v>667</v>
      </c>
      <c r="R250" s="436">
        <v>37</v>
      </c>
      <c r="S250" s="429">
        <v>171</v>
      </c>
      <c r="T250" s="441">
        <v>42983</v>
      </c>
      <c r="U250" s="430" t="s">
        <v>864</v>
      </c>
      <c r="V250" s="424"/>
      <c r="W250" s="424" t="s">
        <v>1748</v>
      </c>
      <c r="X250" s="427"/>
    </row>
    <row r="251" spans="1:24" s="68" customFormat="1" ht="14.25" customHeight="1">
      <c r="A251" s="424" t="s">
        <v>37</v>
      </c>
      <c r="B251" s="424" t="s">
        <v>863</v>
      </c>
      <c r="C251" s="424" t="s">
        <v>1615</v>
      </c>
      <c r="D251" s="427" t="s">
        <v>2987</v>
      </c>
      <c r="E251" s="424" t="s">
        <v>1265</v>
      </c>
      <c r="F251" s="424" t="s">
        <v>863</v>
      </c>
      <c r="G251" s="424">
        <v>0</v>
      </c>
      <c r="H251" s="424" t="s">
        <v>41</v>
      </c>
      <c r="I251" s="424" t="s">
        <v>2117</v>
      </c>
      <c r="J251" s="424" t="s">
        <v>43</v>
      </c>
      <c r="K251" s="424" t="s">
        <v>43</v>
      </c>
      <c r="L251" s="424" t="s">
        <v>43</v>
      </c>
      <c r="M251" s="424" t="s">
        <v>44</v>
      </c>
      <c r="N251" s="424">
        <v>26.356223</v>
      </c>
      <c r="O251" s="424">
        <v>96.721439000000004</v>
      </c>
      <c r="P251" s="424" t="s">
        <v>573</v>
      </c>
      <c r="Q251" s="424" t="s">
        <v>667</v>
      </c>
      <c r="R251" s="436">
        <v>110</v>
      </c>
      <c r="S251" s="429">
        <v>486</v>
      </c>
      <c r="T251" s="441">
        <v>42983</v>
      </c>
      <c r="U251" s="430" t="s">
        <v>866</v>
      </c>
      <c r="V251" s="424"/>
      <c r="W251" s="424" t="s">
        <v>1749</v>
      </c>
      <c r="X251" s="427"/>
    </row>
    <row r="252" spans="1:24" s="68" customFormat="1" ht="14.25" customHeight="1">
      <c r="A252" s="424" t="s">
        <v>37</v>
      </c>
      <c r="B252" s="424" t="s">
        <v>863</v>
      </c>
      <c r="C252" s="424" t="s">
        <v>1539</v>
      </c>
      <c r="D252" s="387"/>
      <c r="E252" s="424"/>
      <c r="F252" s="424"/>
      <c r="G252" s="424"/>
      <c r="H252" s="424"/>
      <c r="I252" s="424"/>
      <c r="J252" s="424" t="s">
        <v>1099</v>
      </c>
      <c r="K252" s="424" t="s">
        <v>43</v>
      </c>
      <c r="L252" s="424" t="s">
        <v>43</v>
      </c>
      <c r="M252" s="424" t="s">
        <v>44</v>
      </c>
      <c r="N252" s="424"/>
      <c r="O252" s="424"/>
      <c r="P252" s="424" t="s">
        <v>573</v>
      </c>
      <c r="Q252" s="424" t="s">
        <v>1530</v>
      </c>
      <c r="R252" s="428"/>
      <c r="S252" s="429"/>
      <c r="T252" s="441">
        <v>43270</v>
      </c>
      <c r="U252" s="430"/>
      <c r="V252" s="424"/>
      <c r="W252" s="424"/>
      <c r="X252" s="387"/>
    </row>
    <row r="253" spans="1:24" s="68" customFormat="1" ht="14.25" customHeight="1">
      <c r="A253" s="424" t="s">
        <v>37</v>
      </c>
      <c r="B253" s="424" t="s">
        <v>142</v>
      </c>
      <c r="C253" s="424" t="s">
        <v>236</v>
      </c>
      <c r="D253" s="427" t="s">
        <v>2987</v>
      </c>
      <c r="E253" s="424" t="s">
        <v>1165</v>
      </c>
      <c r="F253" s="424" t="s">
        <v>1413</v>
      </c>
      <c r="G253" s="424" t="s">
        <v>1411</v>
      </c>
      <c r="H253" s="424" t="s">
        <v>41</v>
      </c>
      <c r="I253" s="424" t="s">
        <v>1035</v>
      </c>
      <c r="J253" s="424" t="s">
        <v>43</v>
      </c>
      <c r="K253" s="424" t="s">
        <v>43</v>
      </c>
      <c r="L253" s="424" t="s">
        <v>43</v>
      </c>
      <c r="M253" s="424" t="s">
        <v>590</v>
      </c>
      <c r="N253" s="424">
        <v>25.220278</v>
      </c>
      <c r="O253" s="424">
        <v>97.915833000000006</v>
      </c>
      <c r="P253" s="424" t="s">
        <v>573</v>
      </c>
      <c r="Q253" s="424" t="s">
        <v>592</v>
      </c>
      <c r="R253" s="436">
        <v>115</v>
      </c>
      <c r="S253" s="429">
        <v>405</v>
      </c>
      <c r="T253" s="441"/>
      <c r="U253" s="430"/>
      <c r="V253" s="424" t="s">
        <v>236</v>
      </c>
      <c r="W253" s="424"/>
      <c r="X253" s="427"/>
    </row>
    <row r="254" spans="1:24" s="68" customFormat="1" ht="14.25" customHeight="1">
      <c r="A254" s="424" t="s">
        <v>37</v>
      </c>
      <c r="B254" s="424" t="s">
        <v>142</v>
      </c>
      <c r="C254" s="424" t="s">
        <v>219</v>
      </c>
      <c r="D254" s="387"/>
      <c r="E254" s="424"/>
      <c r="F254" s="424"/>
      <c r="G254" s="424"/>
      <c r="H254" s="424"/>
      <c r="I254" s="426"/>
      <c r="J254" s="424" t="s">
        <v>1099</v>
      </c>
      <c r="K254" s="424" t="s">
        <v>43</v>
      </c>
      <c r="L254" s="424" t="s">
        <v>755</v>
      </c>
      <c r="M254" s="424" t="s">
        <v>590</v>
      </c>
      <c r="N254" s="424"/>
      <c r="O254" s="424"/>
      <c r="P254" s="424" t="s">
        <v>573</v>
      </c>
      <c r="Q254" s="424" t="s">
        <v>592</v>
      </c>
      <c r="R254" s="428"/>
      <c r="S254" s="428"/>
      <c r="T254" s="441"/>
      <c r="U254" s="430" t="s">
        <v>823</v>
      </c>
      <c r="V254" s="424" t="s">
        <v>219</v>
      </c>
      <c r="W254" s="424"/>
      <c r="X254" s="387"/>
    </row>
    <row r="255" spans="1:24" s="68" customFormat="1" ht="14.25" customHeight="1">
      <c r="A255" s="429" t="s">
        <v>37</v>
      </c>
      <c r="B255" s="432" t="s">
        <v>142</v>
      </c>
      <c r="C255" s="433" t="s">
        <v>2726</v>
      </c>
      <c r="D255" s="427" t="s">
        <v>2987</v>
      </c>
      <c r="E255" s="424" t="s">
        <v>2737</v>
      </c>
      <c r="F255" s="424" t="s">
        <v>2740</v>
      </c>
      <c r="G255" s="424" t="s">
        <v>2172</v>
      </c>
      <c r="H255" s="424"/>
      <c r="I255" s="776" t="s">
        <v>2747</v>
      </c>
      <c r="J255" s="424" t="s">
        <v>43</v>
      </c>
      <c r="K255" s="424" t="s">
        <v>43</v>
      </c>
      <c r="L255" s="424" t="s">
        <v>588</v>
      </c>
      <c r="M255" s="424" t="s">
        <v>44</v>
      </c>
      <c r="N255" s="424"/>
      <c r="O255" s="424"/>
      <c r="P255" s="424"/>
      <c r="Q255" s="424" t="s">
        <v>2746</v>
      </c>
      <c r="R255" s="436">
        <v>29</v>
      </c>
      <c r="S255" s="429">
        <v>166</v>
      </c>
      <c r="T255" s="441">
        <v>44662</v>
      </c>
      <c r="U255" s="430" t="s">
        <v>2745</v>
      </c>
      <c r="V255" s="428"/>
      <c r="W255" s="682" t="s">
        <v>2750</v>
      </c>
      <c r="X255" s="427"/>
    </row>
    <row r="256" spans="1:24" s="68" customFormat="1" ht="14.25" customHeight="1">
      <c r="A256" s="429" t="s">
        <v>37</v>
      </c>
      <c r="B256" s="432" t="s">
        <v>142</v>
      </c>
      <c r="C256" s="433" t="s">
        <v>2727</v>
      </c>
      <c r="D256" s="427" t="s">
        <v>2987</v>
      </c>
      <c r="E256" s="424" t="s">
        <v>2738</v>
      </c>
      <c r="F256" s="424" t="s">
        <v>2740</v>
      </c>
      <c r="G256" s="424" t="s">
        <v>2172</v>
      </c>
      <c r="H256" s="424"/>
      <c r="I256" s="776" t="s">
        <v>2747</v>
      </c>
      <c r="J256" s="424" t="s">
        <v>43</v>
      </c>
      <c r="K256" s="424" t="s">
        <v>43</v>
      </c>
      <c r="L256" s="424" t="s">
        <v>588</v>
      </c>
      <c r="M256" s="424" t="s">
        <v>44</v>
      </c>
      <c r="N256" s="424"/>
      <c r="O256" s="424"/>
      <c r="P256" s="424"/>
      <c r="Q256" s="424" t="s">
        <v>2746</v>
      </c>
      <c r="R256" s="436">
        <v>20</v>
      </c>
      <c r="S256" s="429">
        <v>132</v>
      </c>
      <c r="T256" s="441">
        <v>44662</v>
      </c>
      <c r="U256" s="430" t="s">
        <v>2745</v>
      </c>
      <c r="V256" s="428"/>
      <c r="W256" s="682" t="s">
        <v>2750</v>
      </c>
      <c r="X256" s="427"/>
    </row>
    <row r="257" spans="1:24" s="68" customFormat="1" ht="14.25" customHeight="1">
      <c r="A257" s="424" t="s">
        <v>37</v>
      </c>
      <c r="B257" s="424" t="s">
        <v>142</v>
      </c>
      <c r="C257" s="424" t="s">
        <v>220</v>
      </c>
      <c r="D257" s="387"/>
      <c r="E257" s="424"/>
      <c r="F257" s="424"/>
      <c r="G257" s="424"/>
      <c r="H257" s="424"/>
      <c r="I257" s="424"/>
      <c r="J257" s="424" t="s">
        <v>1099</v>
      </c>
      <c r="K257" s="424" t="s">
        <v>43</v>
      </c>
      <c r="L257" s="424" t="s">
        <v>755</v>
      </c>
      <c r="M257" s="424" t="s">
        <v>590</v>
      </c>
      <c r="N257" s="424"/>
      <c r="O257" s="424"/>
      <c r="P257" s="424" t="s">
        <v>573</v>
      </c>
      <c r="Q257" s="424" t="s">
        <v>592</v>
      </c>
      <c r="R257" s="428"/>
      <c r="S257" s="428"/>
      <c r="T257" s="441"/>
      <c r="U257" s="430" t="s">
        <v>823</v>
      </c>
      <c r="V257" s="424" t="s">
        <v>220</v>
      </c>
      <c r="W257" s="424"/>
      <c r="X257" s="387"/>
    </row>
    <row r="258" spans="1:24" s="68" customFormat="1" ht="14.25" customHeight="1">
      <c r="A258" s="424" t="s">
        <v>37</v>
      </c>
      <c r="B258" s="424" t="s">
        <v>142</v>
      </c>
      <c r="C258" s="424" t="s">
        <v>771</v>
      </c>
      <c r="D258" s="427" t="s">
        <v>2987</v>
      </c>
      <c r="E258" s="424" t="s">
        <v>1172</v>
      </c>
      <c r="F258" s="424" t="s">
        <v>1465</v>
      </c>
      <c r="G258" s="424" t="s">
        <v>1466</v>
      </c>
      <c r="H258" s="424"/>
      <c r="I258" s="424" t="s">
        <v>1619</v>
      </c>
      <c r="J258" s="424" t="s">
        <v>43</v>
      </c>
      <c r="K258" s="424" t="s">
        <v>43</v>
      </c>
      <c r="L258" s="424" t="s">
        <v>588</v>
      </c>
      <c r="M258" s="424" t="s">
        <v>44</v>
      </c>
      <c r="N258" s="424">
        <v>25.305008999999998</v>
      </c>
      <c r="O258" s="424">
        <v>97.430321000000006</v>
      </c>
      <c r="P258" s="424" t="s">
        <v>573</v>
      </c>
      <c r="Q258" s="424" t="s">
        <v>611</v>
      </c>
      <c r="R258" s="436">
        <v>64</v>
      </c>
      <c r="S258" s="429">
        <v>377</v>
      </c>
      <c r="T258" s="441">
        <v>42916</v>
      </c>
      <c r="U258" s="430" t="s">
        <v>772</v>
      </c>
      <c r="V258" s="424"/>
      <c r="W258" s="424"/>
      <c r="X258" s="427"/>
    </row>
    <row r="259" spans="1:24" s="68" customFormat="1" ht="14.25" customHeight="1">
      <c r="A259" s="424" t="s">
        <v>37</v>
      </c>
      <c r="B259" s="424" t="s">
        <v>142</v>
      </c>
      <c r="C259" s="424" t="s">
        <v>268</v>
      </c>
      <c r="D259" s="427" t="s">
        <v>2987</v>
      </c>
      <c r="E259" s="426" t="s">
        <v>1174</v>
      </c>
      <c r="F259" s="424" t="s">
        <v>1418</v>
      </c>
      <c r="G259" s="424" t="s">
        <v>1418</v>
      </c>
      <c r="H259" s="424" t="s">
        <v>41</v>
      </c>
      <c r="I259" s="426" t="s">
        <v>242</v>
      </c>
      <c r="J259" s="424" t="s">
        <v>43</v>
      </c>
      <c r="K259" s="424" t="s">
        <v>43</v>
      </c>
      <c r="L259" s="424" t="s">
        <v>43</v>
      </c>
      <c r="M259" s="424" t="s">
        <v>44</v>
      </c>
      <c r="N259" s="424">
        <v>25.321710740740698</v>
      </c>
      <c r="O259" s="424">
        <v>97.404195925926004</v>
      </c>
      <c r="P259" s="424" t="s">
        <v>573</v>
      </c>
      <c r="Q259" s="424" t="s">
        <v>592</v>
      </c>
      <c r="R259" s="436">
        <v>59</v>
      </c>
      <c r="S259" s="429">
        <v>298</v>
      </c>
      <c r="T259" s="441"/>
      <c r="U259" s="430"/>
      <c r="V259" s="424" t="s">
        <v>268</v>
      </c>
      <c r="W259" s="424"/>
      <c r="X259" s="427"/>
    </row>
    <row r="260" spans="1:24" s="68" customFormat="1" ht="14.25" customHeight="1">
      <c r="A260" s="424" t="s">
        <v>37</v>
      </c>
      <c r="B260" s="424" t="s">
        <v>142</v>
      </c>
      <c r="C260" s="424" t="s">
        <v>175</v>
      </c>
      <c r="D260" s="427" t="s">
        <v>2987</v>
      </c>
      <c r="E260" s="426" t="s">
        <v>1164</v>
      </c>
      <c r="F260" s="424" t="s">
        <v>1411</v>
      </c>
      <c r="G260" s="424" t="s">
        <v>1412</v>
      </c>
      <c r="H260" s="424" t="s">
        <v>41</v>
      </c>
      <c r="I260" s="424" t="s">
        <v>2117</v>
      </c>
      <c r="J260" s="424" t="s">
        <v>43</v>
      </c>
      <c r="K260" s="424" t="s">
        <v>43</v>
      </c>
      <c r="L260" s="424" t="s">
        <v>43</v>
      </c>
      <c r="M260" s="424" t="s">
        <v>590</v>
      </c>
      <c r="N260" s="424">
        <v>25.200333000000001</v>
      </c>
      <c r="O260" s="424">
        <v>97.807182999999995</v>
      </c>
      <c r="P260" s="424" t="s">
        <v>573</v>
      </c>
      <c r="Q260" s="424" t="s">
        <v>592</v>
      </c>
      <c r="R260" s="436">
        <v>138</v>
      </c>
      <c r="S260" s="429">
        <v>891</v>
      </c>
      <c r="T260" s="441"/>
      <c r="U260" s="430"/>
      <c r="V260" s="424" t="s">
        <v>175</v>
      </c>
      <c r="W260" s="360"/>
      <c r="X260" s="427"/>
    </row>
    <row r="261" spans="1:24" s="68" customFormat="1" ht="14.25" customHeight="1">
      <c r="A261" s="424" t="s">
        <v>37</v>
      </c>
      <c r="B261" s="424" t="s">
        <v>142</v>
      </c>
      <c r="C261" s="424" t="s">
        <v>224</v>
      </c>
      <c r="D261" s="427" t="s">
        <v>2987</v>
      </c>
      <c r="E261" s="424" t="s">
        <v>1152</v>
      </c>
      <c r="F261" s="424" t="s">
        <v>1341</v>
      </c>
      <c r="G261" s="424">
        <v>0</v>
      </c>
      <c r="H261" s="424"/>
      <c r="I261" s="424" t="s">
        <v>1619</v>
      </c>
      <c r="J261" s="424" t="s">
        <v>43</v>
      </c>
      <c r="K261" s="424" t="s">
        <v>43</v>
      </c>
      <c r="L261" s="424" t="s">
        <v>755</v>
      </c>
      <c r="M261" s="424" t="s">
        <v>590</v>
      </c>
      <c r="N261" s="424">
        <v>24.752471</v>
      </c>
      <c r="O261" s="424">
        <v>97.541793999999996</v>
      </c>
      <c r="P261" s="424" t="s">
        <v>573</v>
      </c>
      <c r="Q261" s="424" t="s">
        <v>574</v>
      </c>
      <c r="R261" s="436">
        <v>0</v>
      </c>
      <c r="S261" s="429">
        <v>366</v>
      </c>
      <c r="T261" s="441"/>
      <c r="U261" s="430"/>
      <c r="V261" s="424" t="s">
        <v>224</v>
      </c>
      <c r="W261" s="424"/>
      <c r="X261" s="427"/>
    </row>
    <row r="262" spans="1:24" s="68" customFormat="1" ht="14.25" customHeight="1">
      <c r="A262" s="424" t="s">
        <v>37</v>
      </c>
      <c r="B262" s="424" t="s">
        <v>142</v>
      </c>
      <c r="C262" s="424" t="s">
        <v>753</v>
      </c>
      <c r="D262" s="387" t="s">
        <v>1300</v>
      </c>
      <c r="E262" s="424" t="s">
        <v>1151</v>
      </c>
      <c r="F262" s="424" t="s">
        <v>1341</v>
      </c>
      <c r="G262" s="424" t="s">
        <v>1341</v>
      </c>
      <c r="H262" s="424" t="s">
        <v>41</v>
      </c>
      <c r="I262" s="424" t="s">
        <v>1035</v>
      </c>
      <c r="J262" s="424" t="s">
        <v>43</v>
      </c>
      <c r="K262" s="424" t="s">
        <v>43</v>
      </c>
      <c r="L262" s="424" t="s">
        <v>572</v>
      </c>
      <c r="M262" s="424" t="s">
        <v>590</v>
      </c>
      <c r="N262" s="424">
        <v>24.747212999999999</v>
      </c>
      <c r="O262" s="424">
        <v>97.551507000000001</v>
      </c>
      <c r="P262" s="424" t="s">
        <v>573</v>
      </c>
      <c r="Q262" s="424"/>
      <c r="R262" s="428">
        <v>0</v>
      </c>
      <c r="S262" s="428">
        <v>0</v>
      </c>
      <c r="T262" s="441"/>
      <c r="U262" s="430"/>
      <c r="V262" s="424" t="s">
        <v>754</v>
      </c>
      <c r="W262" s="424" t="s">
        <v>1665</v>
      </c>
      <c r="X262" s="387"/>
    </row>
    <row r="263" spans="1:24" s="68" customFormat="1" ht="14.25" customHeight="1">
      <c r="A263" s="424" t="s">
        <v>37</v>
      </c>
      <c r="B263" s="424" t="s">
        <v>142</v>
      </c>
      <c r="C263" s="424" t="s">
        <v>767</v>
      </c>
      <c r="D263" s="387" t="s">
        <v>2256</v>
      </c>
      <c r="E263" s="424" t="s">
        <v>1163</v>
      </c>
      <c r="F263" s="424"/>
      <c r="G263" s="424"/>
      <c r="H263" s="424"/>
      <c r="I263" s="424"/>
      <c r="J263" s="424" t="s">
        <v>43</v>
      </c>
      <c r="K263" s="424" t="s">
        <v>43</v>
      </c>
      <c r="L263" s="424" t="s">
        <v>43</v>
      </c>
      <c r="M263" s="424" t="s">
        <v>590</v>
      </c>
      <c r="N263" s="424">
        <v>25.108011999999999</v>
      </c>
      <c r="O263" s="424">
        <v>97.718008999999995</v>
      </c>
      <c r="P263" s="17" t="s">
        <v>573</v>
      </c>
      <c r="Q263" s="424"/>
      <c r="R263" s="428"/>
      <c r="S263" s="428"/>
      <c r="T263" s="441"/>
      <c r="U263" s="430"/>
      <c r="V263" s="424" t="s">
        <v>767</v>
      </c>
      <c r="W263" s="424"/>
      <c r="X263" s="387"/>
    </row>
    <row r="264" spans="1:24" s="68" customFormat="1" ht="14.25" customHeight="1">
      <c r="A264" s="433" t="s">
        <v>37</v>
      </c>
      <c r="B264" s="432" t="s">
        <v>142</v>
      </c>
      <c r="C264" s="433" t="s">
        <v>3005</v>
      </c>
      <c r="D264" s="427" t="s">
        <v>2987</v>
      </c>
      <c r="E264" s="429" t="s">
        <v>3027</v>
      </c>
      <c r="F264" s="424" t="s">
        <v>3042</v>
      </c>
      <c r="G264" s="424" t="s">
        <v>3042</v>
      </c>
      <c r="H264" s="424"/>
      <c r="I264" s="424" t="s">
        <v>3075</v>
      </c>
      <c r="J264" s="424" t="s">
        <v>43</v>
      </c>
      <c r="K264" s="424" t="s">
        <v>43</v>
      </c>
      <c r="L264" s="424" t="s">
        <v>588</v>
      </c>
      <c r="M264" s="424" t="s">
        <v>44</v>
      </c>
      <c r="N264" s="424"/>
      <c r="O264" s="424"/>
      <c r="P264" s="424" t="s">
        <v>573</v>
      </c>
      <c r="Q264" s="424" t="s">
        <v>3059</v>
      </c>
      <c r="R264" s="436">
        <v>25</v>
      </c>
      <c r="S264" s="429">
        <v>115</v>
      </c>
      <c r="T264" s="441">
        <v>45009</v>
      </c>
      <c r="U264" s="430" t="s">
        <v>3060</v>
      </c>
      <c r="V264" s="424"/>
      <c r="W264" s="428" t="s">
        <v>3071</v>
      </c>
      <c r="X264" s="427"/>
    </row>
    <row r="265" spans="1:24" s="68" customFormat="1" ht="14.25" customHeight="1">
      <c r="A265" s="429" t="s">
        <v>37</v>
      </c>
      <c r="B265" s="432" t="s">
        <v>142</v>
      </c>
      <c r="C265" s="433" t="s">
        <v>2725</v>
      </c>
      <c r="D265" s="427" t="s">
        <v>2987</v>
      </c>
      <c r="E265" s="424" t="s">
        <v>2736</v>
      </c>
      <c r="F265" s="424" t="s">
        <v>1348</v>
      </c>
      <c r="G265" s="424" t="s">
        <v>2744</v>
      </c>
      <c r="H265" s="424"/>
      <c r="I265" s="776" t="s">
        <v>2747</v>
      </c>
      <c r="J265" s="424" t="s">
        <v>43</v>
      </c>
      <c r="K265" s="424" t="s">
        <v>43</v>
      </c>
      <c r="L265" s="424" t="s">
        <v>3076</v>
      </c>
      <c r="M265" s="424" t="s">
        <v>44</v>
      </c>
      <c r="N265" s="424"/>
      <c r="O265" s="424"/>
      <c r="P265" s="424"/>
      <c r="Q265" s="424" t="s">
        <v>2746</v>
      </c>
      <c r="R265" s="436">
        <v>86</v>
      </c>
      <c r="S265" s="429">
        <v>519</v>
      </c>
      <c r="T265" s="441">
        <v>44662</v>
      </c>
      <c r="U265" s="430" t="s">
        <v>2745</v>
      </c>
      <c r="V265" s="428"/>
      <c r="W265" s="682" t="s">
        <v>2750</v>
      </c>
      <c r="X265" s="427"/>
    </row>
    <row r="266" spans="1:24" s="68" customFormat="1" ht="14.25" customHeight="1">
      <c r="A266" s="433" t="s">
        <v>37</v>
      </c>
      <c r="B266" s="432" t="s">
        <v>142</v>
      </c>
      <c r="C266" s="433" t="s">
        <v>3008</v>
      </c>
      <c r="D266" s="427" t="s">
        <v>2987</v>
      </c>
      <c r="E266" s="429" t="s">
        <v>3030</v>
      </c>
      <c r="F266" s="424" t="s">
        <v>3046</v>
      </c>
      <c r="G266" s="424"/>
      <c r="H266" s="424"/>
      <c r="I266" s="424" t="s">
        <v>3075</v>
      </c>
      <c r="J266" s="424" t="s">
        <v>43</v>
      </c>
      <c r="K266" s="424" t="s">
        <v>43</v>
      </c>
      <c r="L266" s="424" t="s">
        <v>588</v>
      </c>
      <c r="M266" s="424" t="s">
        <v>44</v>
      </c>
      <c r="N266" s="424"/>
      <c r="O266" s="424"/>
      <c r="P266" s="424" t="s">
        <v>573</v>
      </c>
      <c r="Q266" s="424" t="s">
        <v>3059</v>
      </c>
      <c r="R266" s="436">
        <v>24</v>
      </c>
      <c r="S266" s="429">
        <v>130</v>
      </c>
      <c r="T266" s="441">
        <v>45009</v>
      </c>
      <c r="U266" s="430" t="s">
        <v>3060</v>
      </c>
      <c r="V266" s="426"/>
      <c r="W266" s="428" t="s">
        <v>3071</v>
      </c>
      <c r="X266" s="427"/>
    </row>
    <row r="267" spans="1:24" s="68" customFormat="1" ht="14.25" customHeight="1">
      <c r="A267" s="429" t="s">
        <v>37</v>
      </c>
      <c r="B267" s="432" t="s">
        <v>142</v>
      </c>
      <c r="C267" s="433" t="s">
        <v>2722</v>
      </c>
      <c r="D267" s="427" t="s">
        <v>2987</v>
      </c>
      <c r="E267" s="424" t="s">
        <v>2733</v>
      </c>
      <c r="F267" s="424" t="s">
        <v>1348</v>
      </c>
      <c r="G267" s="424" t="s">
        <v>2744</v>
      </c>
      <c r="H267" s="424"/>
      <c r="I267" s="776" t="s">
        <v>2747</v>
      </c>
      <c r="J267" s="424" t="s">
        <v>43</v>
      </c>
      <c r="K267" s="424" t="s">
        <v>43</v>
      </c>
      <c r="L267" s="424" t="s">
        <v>3076</v>
      </c>
      <c r="M267" s="424" t="s">
        <v>44</v>
      </c>
      <c r="N267" s="424">
        <v>25.210599999999999</v>
      </c>
      <c r="O267" s="424">
        <v>97.264700000000005</v>
      </c>
      <c r="P267" s="424"/>
      <c r="Q267" s="424" t="s">
        <v>2746</v>
      </c>
      <c r="R267" s="436">
        <v>40</v>
      </c>
      <c r="S267" s="429">
        <v>223</v>
      </c>
      <c r="T267" s="441">
        <v>44662</v>
      </c>
      <c r="U267" s="430" t="s">
        <v>2745</v>
      </c>
      <c r="V267" s="428"/>
      <c r="W267" s="682" t="s">
        <v>2750</v>
      </c>
      <c r="X267" s="427"/>
    </row>
    <row r="268" spans="1:24" s="68" customFormat="1" ht="14.25" customHeight="1">
      <c r="A268" s="424" t="s">
        <v>37</v>
      </c>
      <c r="B268" s="424" t="s">
        <v>142</v>
      </c>
      <c r="C268" s="424" t="s">
        <v>176</v>
      </c>
      <c r="D268" s="427" t="s">
        <v>2987</v>
      </c>
      <c r="E268" s="426" t="s">
        <v>1184</v>
      </c>
      <c r="F268" s="424" t="s">
        <v>1423</v>
      </c>
      <c r="G268" s="424" t="s">
        <v>1424</v>
      </c>
      <c r="H268" s="424" t="s">
        <v>41</v>
      </c>
      <c r="I268" s="424" t="s">
        <v>2117</v>
      </c>
      <c r="J268" s="424" t="s">
        <v>43</v>
      </c>
      <c r="K268" s="424" t="s">
        <v>43</v>
      </c>
      <c r="L268" s="424" t="s">
        <v>43</v>
      </c>
      <c r="M268" s="424" t="s">
        <v>44</v>
      </c>
      <c r="N268" s="424">
        <v>25.356632000000001</v>
      </c>
      <c r="O268" s="424">
        <v>97.451965000000001</v>
      </c>
      <c r="P268" s="424" t="s">
        <v>573</v>
      </c>
      <c r="Q268" s="424" t="s">
        <v>592</v>
      </c>
      <c r="R268" s="436">
        <v>40</v>
      </c>
      <c r="S268" s="429">
        <v>242</v>
      </c>
      <c r="T268" s="441"/>
      <c r="U268" s="430"/>
      <c r="V268" s="424" t="s">
        <v>176</v>
      </c>
      <c r="W268" s="424"/>
      <c r="X268" s="427"/>
    </row>
    <row r="269" spans="1:24" s="68" customFormat="1" ht="14.25" customHeight="1">
      <c r="A269" s="424" t="s">
        <v>37</v>
      </c>
      <c r="B269" s="424" t="s">
        <v>142</v>
      </c>
      <c r="C269" s="424" t="s">
        <v>177</v>
      </c>
      <c r="D269" s="427" t="s">
        <v>2987</v>
      </c>
      <c r="E269" s="426" t="s">
        <v>1158</v>
      </c>
      <c r="F269" s="424" t="s">
        <v>1408</v>
      </c>
      <c r="G269" s="424" t="s">
        <v>1410</v>
      </c>
      <c r="H269" s="424" t="s">
        <v>41</v>
      </c>
      <c r="I269" s="424" t="s">
        <v>1035</v>
      </c>
      <c r="J269" s="424" t="s">
        <v>43</v>
      </c>
      <c r="K269" s="424" t="s">
        <v>697</v>
      </c>
      <c r="L269" s="424" t="s">
        <v>43</v>
      </c>
      <c r="M269" s="424" t="s">
        <v>590</v>
      </c>
      <c r="N269" s="424">
        <v>24.980250000000002</v>
      </c>
      <c r="O269" s="424">
        <v>97.715230000000005</v>
      </c>
      <c r="P269" s="424" t="s">
        <v>573</v>
      </c>
      <c r="Q269" s="424" t="s">
        <v>592</v>
      </c>
      <c r="R269" s="436">
        <v>421</v>
      </c>
      <c r="S269" s="429">
        <v>1668</v>
      </c>
      <c r="T269" s="441"/>
      <c r="U269" s="430" t="s">
        <v>760</v>
      </c>
      <c r="V269" s="424" t="s">
        <v>177</v>
      </c>
      <c r="W269" s="424"/>
      <c r="X269" s="427"/>
    </row>
    <row r="270" spans="1:24" s="68" customFormat="1" ht="14.25" customHeight="1">
      <c r="A270" s="424" t="s">
        <v>37</v>
      </c>
      <c r="B270" s="424" t="s">
        <v>142</v>
      </c>
      <c r="C270" s="424" t="s">
        <v>269</v>
      </c>
      <c r="D270" s="427" t="s">
        <v>2987</v>
      </c>
      <c r="E270" s="424" t="s">
        <v>1210</v>
      </c>
      <c r="F270" s="424" t="s">
        <v>1431</v>
      </c>
      <c r="G270" s="424" t="s">
        <v>1431</v>
      </c>
      <c r="H270" s="424" t="s">
        <v>41</v>
      </c>
      <c r="I270" s="424" t="s">
        <v>242</v>
      </c>
      <c r="J270" s="424" t="s">
        <v>43</v>
      </c>
      <c r="K270" s="424" t="s">
        <v>43</v>
      </c>
      <c r="L270" s="424" t="s">
        <v>43</v>
      </c>
      <c r="M270" s="424" t="s">
        <v>44</v>
      </c>
      <c r="N270" s="424">
        <v>25.424529444444399</v>
      </c>
      <c r="O270" s="424">
        <v>97.433419259259296</v>
      </c>
      <c r="P270" s="424" t="s">
        <v>573</v>
      </c>
      <c r="Q270" s="424" t="s">
        <v>592</v>
      </c>
      <c r="R270" s="436">
        <v>353</v>
      </c>
      <c r="S270" s="429">
        <v>2136</v>
      </c>
      <c r="T270" s="441"/>
      <c r="U270" s="430"/>
      <c r="V270" s="424" t="s">
        <v>269</v>
      </c>
      <c r="W270" s="360"/>
      <c r="X270" s="427"/>
    </row>
    <row r="271" spans="1:24" s="68" customFormat="1" ht="14.25" customHeight="1">
      <c r="A271" s="424" t="s">
        <v>37</v>
      </c>
      <c r="B271" s="424" t="s">
        <v>142</v>
      </c>
      <c r="C271" s="424" t="s">
        <v>237</v>
      </c>
      <c r="D271" s="427" t="s">
        <v>2987</v>
      </c>
      <c r="E271" s="424" t="s">
        <v>1204</v>
      </c>
      <c r="F271" s="424" t="s">
        <v>1431</v>
      </c>
      <c r="G271" s="424" t="s">
        <v>1431</v>
      </c>
      <c r="H271" s="424" t="s">
        <v>41</v>
      </c>
      <c r="I271" s="424" t="s">
        <v>1035</v>
      </c>
      <c r="J271" s="424" t="s">
        <v>43</v>
      </c>
      <c r="K271" s="424" t="s">
        <v>43</v>
      </c>
      <c r="L271" s="424" t="s">
        <v>43</v>
      </c>
      <c r="M271" s="424" t="s">
        <v>44</v>
      </c>
      <c r="N271" s="424">
        <v>25.415667500000001</v>
      </c>
      <c r="O271" s="424">
        <v>97.437782499999997</v>
      </c>
      <c r="P271" s="424" t="s">
        <v>573</v>
      </c>
      <c r="Q271" s="424" t="s">
        <v>592</v>
      </c>
      <c r="R271" s="436">
        <v>274</v>
      </c>
      <c r="S271" s="429">
        <v>1490</v>
      </c>
      <c r="T271" s="441"/>
      <c r="U271" s="430"/>
      <c r="V271" s="424" t="s">
        <v>237</v>
      </c>
      <c r="W271" s="360"/>
      <c r="X271" s="427"/>
    </row>
    <row r="272" spans="1:24" s="68" customFormat="1" ht="14.25" customHeight="1">
      <c r="A272" s="429" t="s">
        <v>37</v>
      </c>
      <c r="B272" s="432" t="s">
        <v>142</v>
      </c>
      <c r="C272" s="433" t="s">
        <v>178</v>
      </c>
      <c r="D272" s="427" t="s">
        <v>2987</v>
      </c>
      <c r="E272" s="424" t="s">
        <v>1201</v>
      </c>
      <c r="F272" s="424" t="s">
        <v>1431</v>
      </c>
      <c r="G272" s="424" t="s">
        <v>1431</v>
      </c>
      <c r="H272" s="424" t="s">
        <v>41</v>
      </c>
      <c r="I272" s="424" t="s">
        <v>2117</v>
      </c>
      <c r="J272" s="424" t="s">
        <v>43</v>
      </c>
      <c r="K272" s="424" t="s">
        <v>43</v>
      </c>
      <c r="L272" s="424" t="s">
        <v>43</v>
      </c>
      <c r="M272" s="424" t="s">
        <v>44</v>
      </c>
      <c r="N272" s="424">
        <v>25.4118005797101</v>
      </c>
      <c r="O272" s="424">
        <v>97.434855869565197</v>
      </c>
      <c r="P272" s="424" t="s">
        <v>573</v>
      </c>
      <c r="Q272" s="424" t="s">
        <v>592</v>
      </c>
      <c r="R272" s="436">
        <v>530</v>
      </c>
      <c r="S272" s="429">
        <v>2930</v>
      </c>
      <c r="T272" s="441"/>
      <c r="U272" s="430"/>
      <c r="V272" s="428" t="s">
        <v>178</v>
      </c>
      <c r="W272" s="428" t="s">
        <v>1750</v>
      </c>
      <c r="X272" s="427"/>
    </row>
    <row r="273" spans="1:32" s="68" customFormat="1" ht="14.25" customHeight="1">
      <c r="A273" s="429" t="s">
        <v>37</v>
      </c>
      <c r="B273" s="426" t="s">
        <v>142</v>
      </c>
      <c r="C273" s="682" t="s">
        <v>179</v>
      </c>
      <c r="D273" s="427" t="s">
        <v>2987</v>
      </c>
      <c r="E273" s="424" t="s">
        <v>1199</v>
      </c>
      <c r="F273" s="424" t="s">
        <v>1431</v>
      </c>
      <c r="G273" s="424" t="s">
        <v>1431</v>
      </c>
      <c r="H273" s="424" t="s">
        <v>41</v>
      </c>
      <c r="I273" s="424" t="s">
        <v>2117</v>
      </c>
      <c r="J273" s="424" t="s">
        <v>43</v>
      </c>
      <c r="K273" s="424" t="s">
        <v>43</v>
      </c>
      <c r="L273" s="424" t="s">
        <v>43</v>
      </c>
      <c r="M273" s="424" t="s">
        <v>44</v>
      </c>
      <c r="N273" s="424">
        <v>25.409612685185198</v>
      </c>
      <c r="O273" s="424">
        <v>97.426536944444507</v>
      </c>
      <c r="P273" s="424" t="s">
        <v>573</v>
      </c>
      <c r="Q273" s="424" t="s">
        <v>592</v>
      </c>
      <c r="R273" s="436">
        <v>57</v>
      </c>
      <c r="S273" s="429">
        <v>291</v>
      </c>
      <c r="T273" s="441"/>
      <c r="U273" s="430"/>
      <c r="V273" s="428" t="s">
        <v>179</v>
      </c>
      <c r="W273" s="361" t="s">
        <v>1751</v>
      </c>
      <c r="X273" s="427"/>
    </row>
    <row r="274" spans="1:32" s="68" customFormat="1" ht="14.25" customHeight="1">
      <c r="A274" s="433" t="s">
        <v>37</v>
      </c>
      <c r="B274" s="432" t="s">
        <v>142</v>
      </c>
      <c r="C274" s="426" t="s">
        <v>2876</v>
      </c>
      <c r="D274" s="427" t="s">
        <v>2987</v>
      </c>
      <c r="E274" s="426" t="s">
        <v>1176</v>
      </c>
      <c r="F274" s="424" t="s">
        <v>1348</v>
      </c>
      <c r="G274" s="424" t="s">
        <v>1373</v>
      </c>
      <c r="H274" s="426" t="s">
        <v>41</v>
      </c>
      <c r="I274" s="426" t="s">
        <v>242</v>
      </c>
      <c r="J274" s="424" t="s">
        <v>43</v>
      </c>
      <c r="K274" s="424" t="s">
        <v>43</v>
      </c>
      <c r="L274" s="426" t="s">
        <v>43</v>
      </c>
      <c r="M274" s="424" t="s">
        <v>44</v>
      </c>
      <c r="N274" s="424">
        <v>25.345918166666699</v>
      </c>
      <c r="O274" s="424">
        <v>97.437472666666693</v>
      </c>
      <c r="P274" s="17" t="s">
        <v>573</v>
      </c>
      <c r="Q274" s="424" t="s">
        <v>592</v>
      </c>
      <c r="R274" s="436">
        <v>46</v>
      </c>
      <c r="S274" s="429">
        <v>229</v>
      </c>
      <c r="T274" s="441"/>
      <c r="U274" s="434"/>
      <c r="V274" s="426" t="s">
        <v>272</v>
      </c>
      <c r="W274" s="424"/>
      <c r="X274" s="427"/>
    </row>
    <row r="275" spans="1:32" s="68" customFormat="1" ht="14.25" customHeight="1">
      <c r="A275" s="424" t="s">
        <v>37</v>
      </c>
      <c r="B275" s="424" t="s">
        <v>142</v>
      </c>
      <c r="C275" s="424" t="s">
        <v>2583</v>
      </c>
      <c r="D275" s="427" t="s">
        <v>2987</v>
      </c>
      <c r="E275" s="424" t="s">
        <v>2576</v>
      </c>
      <c r="F275" s="424" t="s">
        <v>1431</v>
      </c>
      <c r="G275" s="424" t="s">
        <v>1431</v>
      </c>
      <c r="H275" s="424"/>
      <c r="I275" s="424"/>
      <c r="J275" s="424" t="s">
        <v>620</v>
      </c>
      <c r="K275" s="424" t="s">
        <v>620</v>
      </c>
      <c r="L275" s="424" t="s">
        <v>2881</v>
      </c>
      <c r="M275" s="424" t="s">
        <v>44</v>
      </c>
      <c r="N275" s="424">
        <v>25.415667500000001</v>
      </c>
      <c r="O275" s="424">
        <v>97.437782499999997</v>
      </c>
      <c r="P275" s="424"/>
      <c r="Q275" s="424" t="s">
        <v>2592</v>
      </c>
      <c r="R275" s="436">
        <v>95</v>
      </c>
      <c r="S275" s="429">
        <v>499</v>
      </c>
      <c r="T275" s="441">
        <v>44166</v>
      </c>
      <c r="U275" s="430"/>
      <c r="V275" s="424"/>
      <c r="W275" s="424"/>
      <c r="X275" s="427"/>
    </row>
    <row r="276" spans="1:32" s="68" customFormat="1" ht="14.25" customHeight="1">
      <c r="A276" s="424" t="s">
        <v>37</v>
      </c>
      <c r="B276" s="424" t="s">
        <v>142</v>
      </c>
      <c r="C276" s="424" t="s">
        <v>2875</v>
      </c>
      <c r="D276" s="427" t="s">
        <v>2987</v>
      </c>
      <c r="E276" s="424" t="s">
        <v>2634</v>
      </c>
      <c r="F276" s="424" t="s">
        <v>2635</v>
      </c>
      <c r="G276" s="424" t="s">
        <v>2636</v>
      </c>
      <c r="H276" s="424"/>
      <c r="I276" s="424"/>
      <c r="J276" s="424" t="s">
        <v>43</v>
      </c>
      <c r="K276" s="424" t="s">
        <v>43</v>
      </c>
      <c r="L276" s="424" t="s">
        <v>43</v>
      </c>
      <c r="M276" s="424" t="s">
        <v>44</v>
      </c>
      <c r="N276" s="424">
        <v>25.428995</v>
      </c>
      <c r="O276" s="424">
        <v>97.957487999999998</v>
      </c>
      <c r="P276" s="424" t="s">
        <v>573</v>
      </c>
      <c r="Q276" s="424" t="s">
        <v>2637</v>
      </c>
      <c r="R276" s="436">
        <v>38</v>
      </c>
      <c r="S276" s="429">
        <v>222</v>
      </c>
      <c r="T276" s="441">
        <v>44232</v>
      </c>
      <c r="U276" s="430"/>
      <c r="V276" s="424"/>
      <c r="W276" s="424" t="s">
        <v>2638</v>
      </c>
      <c r="X276" s="427"/>
    </row>
    <row r="277" spans="1:32" s="68" customFormat="1" ht="14.25" customHeight="1">
      <c r="A277" s="429" t="s">
        <v>37</v>
      </c>
      <c r="B277" s="432" t="s">
        <v>142</v>
      </c>
      <c r="C277" s="433" t="s">
        <v>2728</v>
      </c>
      <c r="D277" s="427" t="s">
        <v>2987</v>
      </c>
      <c r="E277" s="424" t="s">
        <v>2739</v>
      </c>
      <c r="F277" s="424" t="s">
        <v>268</v>
      </c>
      <c r="G277" s="424" t="s">
        <v>268</v>
      </c>
      <c r="H277" s="424"/>
      <c r="I277" s="776" t="s">
        <v>2747</v>
      </c>
      <c r="J277" s="424" t="s">
        <v>43</v>
      </c>
      <c r="K277" s="424" t="s">
        <v>43</v>
      </c>
      <c r="L277" s="424" t="s">
        <v>3076</v>
      </c>
      <c r="M277" s="424" t="s">
        <v>44</v>
      </c>
      <c r="N277" s="424"/>
      <c r="O277" s="424"/>
      <c r="P277" s="424"/>
      <c r="Q277" s="424" t="s">
        <v>2746</v>
      </c>
      <c r="R277" s="436">
        <v>6</v>
      </c>
      <c r="S277" s="429">
        <v>31</v>
      </c>
      <c r="T277" s="441">
        <v>44662</v>
      </c>
      <c r="U277" s="430" t="s">
        <v>2745</v>
      </c>
      <c r="V277" s="428"/>
      <c r="W277" s="682" t="s">
        <v>2750</v>
      </c>
      <c r="X277" s="427"/>
    </row>
    <row r="278" spans="1:32" s="68" customFormat="1" ht="14.25" customHeight="1">
      <c r="A278" s="429" t="s">
        <v>37</v>
      </c>
      <c r="B278" s="432" t="s">
        <v>142</v>
      </c>
      <c r="C278" s="433" t="s">
        <v>2719</v>
      </c>
      <c r="D278" s="427" t="s">
        <v>2987</v>
      </c>
      <c r="E278" s="424" t="s">
        <v>2730</v>
      </c>
      <c r="F278" s="424" t="s">
        <v>1348</v>
      </c>
      <c r="G278" s="424" t="s">
        <v>2742</v>
      </c>
      <c r="H278" s="424" t="s">
        <v>41</v>
      </c>
      <c r="I278" s="776" t="s">
        <v>242</v>
      </c>
      <c r="J278" s="424" t="s">
        <v>43</v>
      </c>
      <c r="K278" s="424" t="s">
        <v>43</v>
      </c>
      <c r="L278" s="424" t="s">
        <v>588</v>
      </c>
      <c r="M278" s="424" t="s">
        <v>44</v>
      </c>
      <c r="N278" s="424">
        <v>25.221299999999999</v>
      </c>
      <c r="O278" s="424">
        <v>97.255300000000005</v>
      </c>
      <c r="P278" s="424"/>
      <c r="Q278" s="424" t="s">
        <v>2746</v>
      </c>
      <c r="R278" s="436">
        <v>10</v>
      </c>
      <c r="S278" s="429">
        <v>62</v>
      </c>
      <c r="T278" s="441">
        <v>44662</v>
      </c>
      <c r="U278" s="430" t="s">
        <v>2745</v>
      </c>
      <c r="V278" s="428"/>
      <c r="W278" s="682" t="s">
        <v>2749</v>
      </c>
      <c r="X278" s="427"/>
    </row>
    <row r="279" spans="1:32" s="68" customFormat="1" ht="14.25" customHeight="1">
      <c r="A279" s="424" t="s">
        <v>37</v>
      </c>
      <c r="B279" s="424" t="s">
        <v>142</v>
      </c>
      <c r="C279" s="424" t="s">
        <v>270</v>
      </c>
      <c r="D279" s="427" t="s">
        <v>2987</v>
      </c>
      <c r="E279" s="424" t="s">
        <v>1181</v>
      </c>
      <c r="F279" s="424" t="s">
        <v>1421</v>
      </c>
      <c r="G279" s="424" t="s">
        <v>1422</v>
      </c>
      <c r="H279" s="424" t="s">
        <v>41</v>
      </c>
      <c r="I279" s="424" t="s">
        <v>242</v>
      </c>
      <c r="J279" s="424" t="s">
        <v>43</v>
      </c>
      <c r="K279" s="424" t="s">
        <v>43</v>
      </c>
      <c r="L279" s="424" t="s">
        <v>43</v>
      </c>
      <c r="M279" s="424" t="s">
        <v>44</v>
      </c>
      <c r="N279" s="424">
        <v>25.351965</v>
      </c>
      <c r="O279" s="424">
        <v>97.345039</v>
      </c>
      <c r="P279" s="424" t="s">
        <v>573</v>
      </c>
      <c r="Q279" s="424" t="s">
        <v>592</v>
      </c>
      <c r="R279" s="436">
        <v>19</v>
      </c>
      <c r="S279" s="429">
        <v>86</v>
      </c>
      <c r="T279" s="441"/>
      <c r="U279" s="430"/>
      <c r="V279" s="424" t="s">
        <v>270</v>
      </c>
      <c r="W279" s="424"/>
      <c r="X279" s="427"/>
    </row>
    <row r="280" spans="1:32" s="68" customFormat="1" ht="14.25" customHeight="1">
      <c r="A280" s="424" t="s">
        <v>37</v>
      </c>
      <c r="B280" s="424" t="s">
        <v>142</v>
      </c>
      <c r="C280" s="424" t="s">
        <v>180</v>
      </c>
      <c r="D280" s="427" t="s">
        <v>2987</v>
      </c>
      <c r="E280" s="424" t="s">
        <v>1157</v>
      </c>
      <c r="F280" s="424" t="s">
        <v>1408</v>
      </c>
      <c r="G280" s="424" t="s">
        <v>1409</v>
      </c>
      <c r="H280" s="424" t="s">
        <v>41</v>
      </c>
      <c r="I280" s="424" t="s">
        <v>2117</v>
      </c>
      <c r="J280" s="424" t="s">
        <v>43</v>
      </c>
      <c r="K280" s="424" t="s">
        <v>697</v>
      </c>
      <c r="L280" s="424" t="s">
        <v>43</v>
      </c>
      <c r="M280" s="424" t="s">
        <v>590</v>
      </c>
      <c r="N280" s="424">
        <v>24.831944</v>
      </c>
      <c r="O280" s="424">
        <v>97.751389000000003</v>
      </c>
      <c r="P280" s="424" t="s">
        <v>573</v>
      </c>
      <c r="Q280" s="424" t="s">
        <v>592</v>
      </c>
      <c r="R280" s="436">
        <v>166</v>
      </c>
      <c r="S280" s="429">
        <v>967</v>
      </c>
      <c r="T280" s="441"/>
      <c r="U280" s="430" t="s">
        <v>760</v>
      </c>
      <c r="V280" s="424" t="s">
        <v>761</v>
      </c>
      <c r="W280" s="424"/>
      <c r="X280" s="427"/>
    </row>
    <row r="281" spans="1:32" ht="14.25" customHeight="1">
      <c r="A281" s="396" t="s">
        <v>37</v>
      </c>
      <c r="B281" s="443" t="s">
        <v>142</v>
      </c>
      <c r="C281" s="396" t="s">
        <v>2723</v>
      </c>
      <c r="D281" s="427" t="s">
        <v>2987</v>
      </c>
      <c r="E281" s="424" t="s">
        <v>2734</v>
      </c>
      <c r="F281" s="424" t="s">
        <v>1348</v>
      </c>
      <c r="G281" s="424" t="s">
        <v>2744</v>
      </c>
      <c r="H281" s="424"/>
      <c r="I281" s="776" t="s">
        <v>2747</v>
      </c>
      <c r="J281" s="424" t="s">
        <v>43</v>
      </c>
      <c r="K281" s="424" t="s">
        <v>43</v>
      </c>
      <c r="L281" s="424" t="s">
        <v>588</v>
      </c>
      <c r="M281" s="424" t="s">
        <v>44</v>
      </c>
      <c r="N281" s="424">
        <v>25.2057</v>
      </c>
      <c r="O281" s="424">
        <v>97.262200000000007</v>
      </c>
      <c r="P281" s="424"/>
      <c r="Q281" s="424" t="s">
        <v>2746</v>
      </c>
      <c r="R281" s="436">
        <v>61</v>
      </c>
      <c r="S281" s="429">
        <v>294</v>
      </c>
      <c r="T281" s="441">
        <v>44662</v>
      </c>
      <c r="U281" s="430" t="s">
        <v>2745</v>
      </c>
      <c r="V281" s="428"/>
      <c r="W281" s="682" t="s">
        <v>2877</v>
      </c>
      <c r="X281" s="427"/>
      <c r="Y281" s="45"/>
      <c r="Z281" s="17"/>
      <c r="AA281" s="89"/>
      <c r="AB281" s="17"/>
      <c r="AC281" s="17"/>
      <c r="AD281" s="17"/>
      <c r="AF281" s="17"/>
    </row>
    <row r="282" spans="1:32" ht="14.25" customHeight="1">
      <c r="A282" s="440" t="s">
        <v>37</v>
      </c>
      <c r="B282" s="440" t="s">
        <v>142</v>
      </c>
      <c r="C282" s="440" t="s">
        <v>238</v>
      </c>
      <c r="D282" s="387" t="s">
        <v>2647</v>
      </c>
      <c r="E282" s="424" t="s">
        <v>1168</v>
      </c>
      <c r="F282" s="424" t="s">
        <v>1411</v>
      </c>
      <c r="G282" s="424" t="s">
        <v>1411</v>
      </c>
      <c r="H282" s="424" t="s">
        <v>41</v>
      </c>
      <c r="I282" s="424" t="s">
        <v>1035</v>
      </c>
      <c r="J282" s="424" t="s">
        <v>43</v>
      </c>
      <c r="K282" s="424" t="s">
        <v>43</v>
      </c>
      <c r="L282" s="424" t="s">
        <v>572</v>
      </c>
      <c r="M282" s="424" t="s">
        <v>590</v>
      </c>
      <c r="N282" s="424">
        <v>25.265277999999999</v>
      </c>
      <c r="O282" s="424">
        <v>97.990555999999998</v>
      </c>
      <c r="P282" s="424" t="s">
        <v>573</v>
      </c>
      <c r="Q282" s="424" t="s">
        <v>592</v>
      </c>
      <c r="R282" s="428">
        <v>0</v>
      </c>
      <c r="S282" s="428">
        <v>0</v>
      </c>
      <c r="T282" s="441"/>
      <c r="U282" s="430"/>
      <c r="V282" s="424" t="s">
        <v>238</v>
      </c>
      <c r="W282" s="424" t="s">
        <v>2880</v>
      </c>
      <c r="X282" s="387"/>
      <c r="Y282" s="45"/>
      <c r="Z282" s="17"/>
      <c r="AA282" s="89"/>
      <c r="AB282" s="17"/>
      <c r="AC282" s="17"/>
      <c r="AD282" s="17"/>
      <c r="AF282" s="17"/>
    </row>
    <row r="283" spans="1:32" ht="14.25" customHeight="1">
      <c r="A283" s="440" t="s">
        <v>37</v>
      </c>
      <c r="B283" s="440" t="s">
        <v>142</v>
      </c>
      <c r="C283" s="440" t="s">
        <v>271</v>
      </c>
      <c r="D283" s="427" t="s">
        <v>2987</v>
      </c>
      <c r="E283" s="424" t="s">
        <v>1182</v>
      </c>
      <c r="F283" s="424" t="s">
        <v>1348</v>
      </c>
      <c r="G283" s="424" t="s">
        <v>1338</v>
      </c>
      <c r="H283" s="424" t="s">
        <v>41</v>
      </c>
      <c r="I283" s="424" t="s">
        <v>242</v>
      </c>
      <c r="J283" s="424" t="s">
        <v>43</v>
      </c>
      <c r="K283" s="424" t="s">
        <v>43</v>
      </c>
      <c r="L283" s="424" t="s">
        <v>43</v>
      </c>
      <c r="M283" s="424" t="s">
        <v>44</v>
      </c>
      <c r="N283" s="424">
        <v>25.3540362037037</v>
      </c>
      <c r="O283" s="424">
        <v>97.441166388888902</v>
      </c>
      <c r="P283" s="424" t="s">
        <v>573</v>
      </c>
      <c r="Q283" s="424" t="s">
        <v>592</v>
      </c>
      <c r="R283" s="436">
        <v>111</v>
      </c>
      <c r="S283" s="429">
        <v>501</v>
      </c>
      <c r="T283" s="441"/>
      <c r="U283" s="430"/>
      <c r="V283" s="424" t="s">
        <v>271</v>
      </c>
      <c r="W283" s="424"/>
      <c r="X283" s="427"/>
      <c r="Y283" s="45"/>
      <c r="Z283" s="17"/>
      <c r="AA283" s="89"/>
      <c r="AB283" s="17"/>
      <c r="AC283" s="17"/>
      <c r="AD283" s="17"/>
      <c r="AF283" s="17"/>
    </row>
    <row r="284" spans="1:32" ht="14.25" customHeight="1">
      <c r="A284" s="440" t="s">
        <v>37</v>
      </c>
      <c r="B284" s="440" t="s">
        <v>142</v>
      </c>
      <c r="C284" s="440" t="s">
        <v>181</v>
      </c>
      <c r="D284" s="427" t="s">
        <v>2987</v>
      </c>
      <c r="E284" s="424" t="s">
        <v>1180</v>
      </c>
      <c r="F284" s="424" t="s">
        <v>1348</v>
      </c>
      <c r="G284" s="424" t="s">
        <v>1338</v>
      </c>
      <c r="H284" s="424" t="s">
        <v>41</v>
      </c>
      <c r="I284" s="424" t="s">
        <v>2117</v>
      </c>
      <c r="J284" s="424" t="s">
        <v>43</v>
      </c>
      <c r="K284" s="424" t="s">
        <v>43</v>
      </c>
      <c r="L284" s="424" t="s">
        <v>43</v>
      </c>
      <c r="M284" s="424" t="s">
        <v>44</v>
      </c>
      <c r="N284" s="424">
        <v>25.351724999999998</v>
      </c>
      <c r="O284" s="424">
        <v>97.438432380952406</v>
      </c>
      <c r="P284" s="424" t="s">
        <v>573</v>
      </c>
      <c r="Q284" s="424" t="s">
        <v>592</v>
      </c>
      <c r="R284" s="436">
        <v>73</v>
      </c>
      <c r="S284" s="429">
        <v>365</v>
      </c>
      <c r="T284" s="441"/>
      <c r="U284" s="430"/>
      <c r="V284" s="424" t="s">
        <v>181</v>
      </c>
      <c r="W284" s="360"/>
      <c r="X284" s="427"/>
      <c r="Y284" s="45"/>
      <c r="Z284" s="17"/>
      <c r="AA284" s="89"/>
      <c r="AB284" s="17"/>
      <c r="AC284" s="17"/>
      <c r="AD284" s="17"/>
      <c r="AF284" s="17"/>
    </row>
    <row r="285" spans="1:32" ht="14.25" customHeight="1">
      <c r="A285" s="440" t="s">
        <v>37</v>
      </c>
      <c r="B285" s="440" t="s">
        <v>142</v>
      </c>
      <c r="C285" s="440" t="s">
        <v>273</v>
      </c>
      <c r="D285" s="387" t="s">
        <v>1610</v>
      </c>
      <c r="E285" s="424" t="s">
        <v>1177</v>
      </c>
      <c r="F285" s="424" t="s">
        <v>1348</v>
      </c>
      <c r="G285" s="424" t="s">
        <v>1419</v>
      </c>
      <c r="H285" s="424" t="s">
        <v>41</v>
      </c>
      <c r="I285" s="424" t="s">
        <v>242</v>
      </c>
      <c r="J285" s="424" t="s">
        <v>43</v>
      </c>
      <c r="K285" s="426" t="s">
        <v>43</v>
      </c>
      <c r="L285" s="426" t="s">
        <v>572</v>
      </c>
      <c r="M285" s="424" t="s">
        <v>44</v>
      </c>
      <c r="N285" s="424">
        <v>25.350809000000002</v>
      </c>
      <c r="O285" s="424">
        <v>97.432495000000003</v>
      </c>
      <c r="P285" s="17" t="s">
        <v>573</v>
      </c>
      <c r="Q285" s="424" t="s">
        <v>592</v>
      </c>
      <c r="R285" s="428"/>
      <c r="S285" s="428"/>
      <c r="T285" s="441"/>
      <c r="U285" s="430"/>
      <c r="V285" s="424" t="s">
        <v>273</v>
      </c>
      <c r="W285" s="360" t="s">
        <v>1666</v>
      </c>
      <c r="X285" s="387"/>
      <c r="Y285" s="45"/>
      <c r="Z285" s="17"/>
      <c r="AA285" s="89"/>
      <c r="AB285" s="17"/>
      <c r="AC285" s="17"/>
      <c r="AD285" s="17"/>
      <c r="AF285" s="17"/>
    </row>
    <row r="286" spans="1:32" ht="14.25" customHeight="1">
      <c r="A286" s="440" t="s">
        <v>37</v>
      </c>
      <c r="B286" s="440" t="s">
        <v>142</v>
      </c>
      <c r="C286" s="440" t="s">
        <v>778</v>
      </c>
      <c r="D286" s="427" t="s">
        <v>2987</v>
      </c>
      <c r="E286" s="440" t="s">
        <v>1560</v>
      </c>
      <c r="F286" s="426" t="s">
        <v>778</v>
      </c>
      <c r="G286" s="424" t="s">
        <v>778</v>
      </c>
      <c r="H286" s="424"/>
      <c r="I286" s="424" t="s">
        <v>1619</v>
      </c>
      <c r="J286" s="424" t="s">
        <v>43</v>
      </c>
      <c r="K286" s="424" t="s">
        <v>43</v>
      </c>
      <c r="L286" s="424" t="s">
        <v>588</v>
      </c>
      <c r="M286" s="424" t="s">
        <v>44</v>
      </c>
      <c r="N286" s="424">
        <v>25.391428000000001</v>
      </c>
      <c r="O286" s="424">
        <v>97.898184999999998</v>
      </c>
      <c r="P286" s="424" t="s">
        <v>573</v>
      </c>
      <c r="Q286" s="424" t="s">
        <v>1530</v>
      </c>
      <c r="R286" s="436">
        <v>17</v>
      </c>
      <c r="S286" s="429">
        <v>107</v>
      </c>
      <c r="T286" s="441">
        <v>43276</v>
      </c>
      <c r="U286" s="430"/>
      <c r="V286" s="424"/>
      <c r="W286" s="360" t="s">
        <v>1667</v>
      </c>
      <c r="X286" s="427"/>
      <c r="Y286" s="45"/>
      <c r="Z286" s="17"/>
      <c r="AA286" s="89"/>
      <c r="AB286" s="17"/>
      <c r="AC286" s="17"/>
      <c r="AD286" s="17"/>
      <c r="AF286" s="17"/>
    </row>
    <row r="287" spans="1:32" ht="14.25" customHeight="1">
      <c r="A287" s="396" t="s">
        <v>37</v>
      </c>
      <c r="B287" s="443" t="s">
        <v>142</v>
      </c>
      <c r="C287" s="396" t="s">
        <v>3010</v>
      </c>
      <c r="D287" s="427" t="s">
        <v>2987</v>
      </c>
      <c r="E287" s="429"/>
      <c r="F287" s="424" t="s">
        <v>3046</v>
      </c>
      <c r="G287" s="424"/>
      <c r="H287" s="424"/>
      <c r="I287" s="424" t="s">
        <v>2117</v>
      </c>
      <c r="J287" s="424" t="s">
        <v>43</v>
      </c>
      <c r="K287" s="424" t="s">
        <v>43</v>
      </c>
      <c r="L287" s="424" t="s">
        <v>588</v>
      </c>
      <c r="M287" s="424" t="s">
        <v>44</v>
      </c>
      <c r="N287" s="424"/>
      <c r="O287" s="424"/>
      <c r="P287" s="424" t="s">
        <v>573</v>
      </c>
      <c r="Q287" s="424" t="s">
        <v>3059</v>
      </c>
      <c r="R287" s="436">
        <v>52</v>
      </c>
      <c r="S287" s="429">
        <v>318</v>
      </c>
      <c r="T287" s="441">
        <v>45009</v>
      </c>
      <c r="U287" s="430" t="s">
        <v>3060</v>
      </c>
      <c r="V287" s="424"/>
      <c r="W287" s="428" t="s">
        <v>3073</v>
      </c>
      <c r="X287" s="427"/>
      <c r="Y287" s="45"/>
      <c r="Z287" s="17"/>
      <c r="AA287" s="89"/>
      <c r="AB287" s="17"/>
      <c r="AC287" s="17"/>
      <c r="AD287" s="17"/>
      <c r="AF287" s="17"/>
    </row>
    <row r="288" spans="1:32" ht="14.25" customHeight="1">
      <c r="A288" s="396" t="s">
        <v>37</v>
      </c>
      <c r="B288" s="443" t="s">
        <v>142</v>
      </c>
      <c r="C288" s="396" t="s">
        <v>3007</v>
      </c>
      <c r="D288" s="427" t="s">
        <v>2987</v>
      </c>
      <c r="E288" s="429" t="s">
        <v>3029</v>
      </c>
      <c r="F288" s="424" t="s">
        <v>3045</v>
      </c>
      <c r="G288" s="424"/>
      <c r="H288" s="424"/>
      <c r="I288" s="424" t="s">
        <v>3075</v>
      </c>
      <c r="J288" s="424" t="s">
        <v>43</v>
      </c>
      <c r="K288" s="424" t="s">
        <v>43</v>
      </c>
      <c r="L288" s="424" t="s">
        <v>588</v>
      </c>
      <c r="M288" s="424" t="s">
        <v>44</v>
      </c>
      <c r="N288" s="424"/>
      <c r="O288" s="424"/>
      <c r="P288" s="424" t="s">
        <v>573</v>
      </c>
      <c r="Q288" s="424" t="s">
        <v>3059</v>
      </c>
      <c r="R288" s="436">
        <v>33</v>
      </c>
      <c r="S288" s="429">
        <v>178</v>
      </c>
      <c r="T288" s="441">
        <v>45009</v>
      </c>
      <c r="U288" s="430" t="s">
        <v>3060</v>
      </c>
      <c r="V288" s="424"/>
      <c r="W288" s="428" t="s">
        <v>3071</v>
      </c>
      <c r="X288" s="427"/>
      <c r="Y288" s="45"/>
      <c r="Z288" s="17"/>
      <c r="AA288" s="89"/>
      <c r="AB288" s="17"/>
      <c r="AC288" s="17"/>
      <c r="AD288" s="17"/>
      <c r="AF288" s="17"/>
    </row>
    <row r="289" spans="1:32" ht="14.25" customHeight="1">
      <c r="A289" s="440" t="s">
        <v>37</v>
      </c>
      <c r="B289" s="440" t="s">
        <v>142</v>
      </c>
      <c r="C289" s="440" t="s">
        <v>143</v>
      </c>
      <c r="D289" s="427" t="s">
        <v>2987</v>
      </c>
      <c r="E289" s="424" t="s">
        <v>1262</v>
      </c>
      <c r="F289" s="424" t="s">
        <v>1408</v>
      </c>
      <c r="G289" s="424" t="s">
        <v>1409</v>
      </c>
      <c r="H289" s="424" t="s">
        <v>41</v>
      </c>
      <c r="I289" s="424" t="s">
        <v>2117</v>
      </c>
      <c r="J289" s="424" t="s">
        <v>43</v>
      </c>
      <c r="K289" s="424" t="s">
        <v>43</v>
      </c>
      <c r="L289" s="424" t="s">
        <v>43</v>
      </c>
      <c r="M289" s="424" t="s">
        <v>590</v>
      </c>
      <c r="N289" s="424">
        <v>25.418084</v>
      </c>
      <c r="O289" s="424">
        <v>98.025662999999994</v>
      </c>
      <c r="P289" s="424" t="s">
        <v>573</v>
      </c>
      <c r="Q289" s="424" t="s">
        <v>611</v>
      </c>
      <c r="R289" s="436">
        <v>380</v>
      </c>
      <c r="S289" s="429">
        <v>1878</v>
      </c>
      <c r="T289" s="441">
        <v>42916</v>
      </c>
      <c r="U289" s="430" t="s">
        <v>861</v>
      </c>
      <c r="V289" s="424"/>
      <c r="W289" s="424" t="s">
        <v>1752</v>
      </c>
      <c r="X289" s="427"/>
      <c r="Y289" s="45"/>
      <c r="Z289" s="17"/>
      <c r="AA289" s="89"/>
      <c r="AB289" s="17"/>
      <c r="AC289" s="17"/>
      <c r="AD289" s="17"/>
      <c r="AF289" s="17"/>
    </row>
    <row r="290" spans="1:32" ht="14.25" customHeight="1">
      <c r="A290" s="396" t="s">
        <v>37</v>
      </c>
      <c r="B290" s="443" t="s">
        <v>142</v>
      </c>
      <c r="C290" s="440" t="s">
        <v>182</v>
      </c>
      <c r="D290" s="427" t="s">
        <v>2987</v>
      </c>
      <c r="E290" s="440" t="s">
        <v>1206</v>
      </c>
      <c r="F290" s="426" t="s">
        <v>1434</v>
      </c>
      <c r="G290" s="426" t="s">
        <v>1435</v>
      </c>
      <c r="H290" s="424" t="s">
        <v>41</v>
      </c>
      <c r="I290" s="424" t="s">
        <v>2117</v>
      </c>
      <c r="J290" s="424" t="s">
        <v>43</v>
      </c>
      <c r="K290" s="424" t="s">
        <v>43</v>
      </c>
      <c r="L290" s="424" t="s">
        <v>43</v>
      </c>
      <c r="M290" s="424" t="s">
        <v>44</v>
      </c>
      <c r="N290" s="424">
        <v>25.418084</v>
      </c>
      <c r="O290" s="424">
        <v>98.025662999999994</v>
      </c>
      <c r="P290" s="426" t="s">
        <v>573</v>
      </c>
      <c r="Q290" s="424" t="s">
        <v>592</v>
      </c>
      <c r="R290" s="436">
        <v>216</v>
      </c>
      <c r="S290" s="429">
        <v>1190</v>
      </c>
      <c r="T290" s="441"/>
      <c r="U290" s="434"/>
      <c r="V290" s="426" t="s">
        <v>182</v>
      </c>
      <c r="W290" s="360" t="s">
        <v>1753</v>
      </c>
      <c r="X290" s="427"/>
      <c r="Y290" s="45"/>
      <c r="Z290" s="17"/>
      <c r="AA290" s="89"/>
      <c r="AB290" s="17"/>
      <c r="AC290" s="17"/>
      <c r="AD290" s="17"/>
      <c r="AF290" s="17"/>
    </row>
    <row r="291" spans="1:32" ht="14.25" customHeight="1">
      <c r="A291" s="396" t="s">
        <v>37</v>
      </c>
      <c r="B291" s="443" t="s">
        <v>142</v>
      </c>
      <c r="C291" s="396" t="s">
        <v>2995</v>
      </c>
      <c r="D291" s="427" t="s">
        <v>2987</v>
      </c>
      <c r="E291" s="396" t="s">
        <v>3017</v>
      </c>
      <c r="F291" s="424" t="s">
        <v>2740</v>
      </c>
      <c r="G291" s="424" t="s">
        <v>3051</v>
      </c>
      <c r="H291" s="424"/>
      <c r="I291" s="424" t="s">
        <v>3075</v>
      </c>
      <c r="J291" s="424" t="s">
        <v>43</v>
      </c>
      <c r="K291" s="424" t="s">
        <v>43</v>
      </c>
      <c r="L291" s="424" t="s">
        <v>588</v>
      </c>
      <c r="M291" s="424" t="s">
        <v>44</v>
      </c>
      <c r="N291" s="424"/>
      <c r="O291" s="424" t="s">
        <v>3058</v>
      </c>
      <c r="P291" s="424" t="s">
        <v>573</v>
      </c>
      <c r="Q291" s="424" t="s">
        <v>3059</v>
      </c>
      <c r="R291" s="436">
        <v>30</v>
      </c>
      <c r="S291" s="429">
        <v>157</v>
      </c>
      <c r="T291" s="441">
        <v>45009</v>
      </c>
      <c r="U291" s="430" t="s">
        <v>3060</v>
      </c>
      <c r="V291" s="424"/>
      <c r="W291" s="428" t="s">
        <v>3064</v>
      </c>
      <c r="X291" s="427"/>
      <c r="Y291" s="45"/>
      <c r="Z291" s="17"/>
      <c r="AA291" s="89"/>
      <c r="AB291" s="17"/>
      <c r="AC291" s="17"/>
      <c r="AD291" s="17"/>
      <c r="AF291" s="17"/>
    </row>
    <row r="292" spans="1:32" ht="14.25" customHeight="1">
      <c r="A292" s="440" t="s">
        <v>37</v>
      </c>
      <c r="B292" s="440" t="s">
        <v>142</v>
      </c>
      <c r="C292" s="440" t="s">
        <v>274</v>
      </c>
      <c r="D292" s="427" t="s">
        <v>2987</v>
      </c>
      <c r="E292" s="424" t="s">
        <v>1175</v>
      </c>
      <c r="F292" s="424" t="s">
        <v>1348</v>
      </c>
      <c r="G292" s="424" t="s">
        <v>1419</v>
      </c>
      <c r="H292" s="424" t="s">
        <v>41</v>
      </c>
      <c r="I292" s="424" t="s">
        <v>242</v>
      </c>
      <c r="J292" s="424" t="s">
        <v>43</v>
      </c>
      <c r="K292" s="424" t="s">
        <v>43</v>
      </c>
      <c r="L292" s="424" t="s">
        <v>43</v>
      </c>
      <c r="M292" s="424" t="s">
        <v>44</v>
      </c>
      <c r="N292" s="424">
        <v>25.333683333333301</v>
      </c>
      <c r="O292" s="424">
        <v>97.428251153846105</v>
      </c>
      <c r="P292" s="424" t="s">
        <v>573</v>
      </c>
      <c r="Q292" s="424" t="s">
        <v>592</v>
      </c>
      <c r="R292" s="436">
        <v>43</v>
      </c>
      <c r="S292" s="429">
        <v>186</v>
      </c>
      <c r="T292" s="441"/>
      <c r="U292" s="430"/>
      <c r="V292" s="424" t="s">
        <v>274</v>
      </c>
      <c r="W292" s="424"/>
      <c r="X292" s="427"/>
      <c r="Y292" s="45"/>
      <c r="Z292" s="17"/>
      <c r="AA292" s="89"/>
      <c r="AB292" s="17"/>
      <c r="AC292" s="17"/>
      <c r="AD292" s="17"/>
      <c r="AF292" s="17"/>
    </row>
    <row r="293" spans="1:32" ht="14.25" customHeight="1">
      <c r="A293" s="440" t="s">
        <v>37</v>
      </c>
      <c r="B293" s="440" t="s">
        <v>142</v>
      </c>
      <c r="C293" s="440" t="s">
        <v>1611</v>
      </c>
      <c r="D293" s="427" t="s">
        <v>2987</v>
      </c>
      <c r="E293" s="424" t="s">
        <v>1557</v>
      </c>
      <c r="F293" s="424"/>
      <c r="G293" s="424"/>
      <c r="H293" s="424" t="s">
        <v>41</v>
      </c>
      <c r="I293" s="424" t="s">
        <v>2117</v>
      </c>
      <c r="J293" s="424" t="s">
        <v>43</v>
      </c>
      <c r="K293" s="424" t="s">
        <v>43</v>
      </c>
      <c r="L293" s="424" t="s">
        <v>43</v>
      </c>
      <c r="M293" s="424" t="s">
        <v>44</v>
      </c>
      <c r="N293" s="424">
        <v>25.350989999999999</v>
      </c>
      <c r="O293" s="424">
        <v>97.442809999999994</v>
      </c>
      <c r="P293" s="424" t="s">
        <v>573</v>
      </c>
      <c r="Q293" s="424" t="s">
        <v>1530</v>
      </c>
      <c r="R293" s="436">
        <v>81</v>
      </c>
      <c r="S293" s="429">
        <v>387</v>
      </c>
      <c r="T293" s="441">
        <v>43276</v>
      </c>
      <c r="U293" s="430" t="s">
        <v>1579</v>
      </c>
      <c r="V293" s="424"/>
      <c r="W293" s="360" t="s">
        <v>1754</v>
      </c>
      <c r="X293" s="427"/>
      <c r="Y293" s="45"/>
      <c r="Z293" s="17"/>
      <c r="AA293" s="89"/>
      <c r="AB293" s="17"/>
      <c r="AC293" s="17"/>
      <c r="AD293" s="17"/>
      <c r="AF293" s="17"/>
    </row>
    <row r="294" spans="1:32" ht="14.25" customHeight="1">
      <c r="A294" s="396" t="s">
        <v>37</v>
      </c>
      <c r="B294" s="443" t="s">
        <v>142</v>
      </c>
      <c r="C294" s="440" t="s">
        <v>275</v>
      </c>
      <c r="D294" s="427" t="s">
        <v>2987</v>
      </c>
      <c r="E294" s="440" t="s">
        <v>1179</v>
      </c>
      <c r="F294" s="426" t="s">
        <v>1348</v>
      </c>
      <c r="G294" s="426" t="s">
        <v>1373</v>
      </c>
      <c r="H294" s="426" t="s">
        <v>41</v>
      </c>
      <c r="I294" s="426" t="s">
        <v>242</v>
      </c>
      <c r="J294" s="424" t="s">
        <v>43</v>
      </c>
      <c r="K294" s="424" t="s">
        <v>43</v>
      </c>
      <c r="L294" s="424" t="s">
        <v>43</v>
      </c>
      <c r="M294" s="424" t="s">
        <v>44</v>
      </c>
      <c r="N294" s="426">
        <v>25.351250396825399</v>
      </c>
      <c r="O294" s="426">
        <v>97.444283730158702</v>
      </c>
      <c r="P294" s="424" t="s">
        <v>573</v>
      </c>
      <c r="Q294" s="424" t="s">
        <v>592</v>
      </c>
      <c r="R294" s="436">
        <v>76</v>
      </c>
      <c r="S294" s="429">
        <v>319</v>
      </c>
      <c r="T294" s="441"/>
      <c r="U294" s="434"/>
      <c r="V294" s="440" t="s">
        <v>275</v>
      </c>
      <c r="W294" s="424"/>
      <c r="X294" s="427"/>
      <c r="Y294" s="45"/>
      <c r="Z294" s="17"/>
      <c r="AA294" s="89"/>
      <c r="AB294" s="17"/>
      <c r="AC294" s="17"/>
      <c r="AD294" s="17"/>
      <c r="AF294" s="17"/>
    </row>
    <row r="295" spans="1:32" ht="14.25" customHeight="1">
      <c r="A295" s="440" t="s">
        <v>37</v>
      </c>
      <c r="B295" s="440" t="s">
        <v>142</v>
      </c>
      <c r="C295" s="440" t="s">
        <v>773</v>
      </c>
      <c r="D295" s="387" t="s">
        <v>1300</v>
      </c>
      <c r="E295" s="426" t="s">
        <v>1183</v>
      </c>
      <c r="F295" s="424" t="s">
        <v>1348</v>
      </c>
      <c r="G295" s="424" t="s">
        <v>1338</v>
      </c>
      <c r="H295" s="424" t="s">
        <v>41</v>
      </c>
      <c r="I295" s="424" t="s">
        <v>141</v>
      </c>
      <c r="J295" s="424" t="s">
        <v>43</v>
      </c>
      <c r="K295" s="424" t="s">
        <v>43</v>
      </c>
      <c r="L295" s="424" t="s">
        <v>572</v>
      </c>
      <c r="M295" s="424" t="s">
        <v>44</v>
      </c>
      <c r="N295" s="424">
        <v>25.355841999999999</v>
      </c>
      <c r="O295" s="424">
        <v>97.438259000000002</v>
      </c>
      <c r="P295" s="424" t="s">
        <v>573</v>
      </c>
      <c r="Q295" s="424" t="s">
        <v>592</v>
      </c>
      <c r="R295" s="428">
        <v>0</v>
      </c>
      <c r="S295" s="428">
        <v>0</v>
      </c>
      <c r="T295" s="441"/>
      <c r="U295" s="430" t="s">
        <v>774</v>
      </c>
      <c r="V295" s="424" t="s">
        <v>773</v>
      </c>
      <c r="W295" s="360" t="s">
        <v>1668</v>
      </c>
      <c r="X295" s="387"/>
      <c r="Y295" s="45"/>
      <c r="Z295" s="17"/>
      <c r="AA295" s="89"/>
      <c r="AB295" s="17"/>
      <c r="AC295" s="17"/>
      <c r="AD295" s="17"/>
      <c r="AF295" s="17"/>
    </row>
    <row r="296" spans="1:32" ht="14.25" customHeight="1">
      <c r="A296" s="440" t="s">
        <v>37</v>
      </c>
      <c r="B296" s="440" t="s">
        <v>142</v>
      </c>
      <c r="C296" s="440" t="s">
        <v>1540</v>
      </c>
      <c r="D296" s="387"/>
      <c r="E296" s="440"/>
      <c r="F296" s="424"/>
      <c r="G296" s="424"/>
      <c r="H296" s="424"/>
      <c r="I296" s="424"/>
      <c r="J296" s="424" t="s">
        <v>1099</v>
      </c>
      <c r="K296" s="424" t="s">
        <v>43</v>
      </c>
      <c r="L296" s="424" t="s">
        <v>43</v>
      </c>
      <c r="M296" s="424" t="s">
        <v>44</v>
      </c>
      <c r="N296" s="424"/>
      <c r="O296" s="424"/>
      <c r="P296" s="424" t="s">
        <v>573</v>
      </c>
      <c r="Q296" s="424" t="s">
        <v>1530</v>
      </c>
      <c r="R296" s="428"/>
      <c r="S296" s="429"/>
      <c r="T296" s="441">
        <v>43270</v>
      </c>
      <c r="U296" s="430"/>
      <c r="V296" s="424"/>
      <c r="W296" s="424"/>
      <c r="X296" s="387"/>
      <c r="Y296" s="45"/>
      <c r="Z296" s="17"/>
      <c r="AA296" s="89"/>
      <c r="AB296" s="17"/>
      <c r="AC296" s="17"/>
      <c r="AD296" s="17"/>
      <c r="AF296" s="17"/>
    </row>
    <row r="297" spans="1:32" ht="14.25" customHeight="1">
      <c r="A297" s="396" t="s">
        <v>37</v>
      </c>
      <c r="B297" s="443" t="s">
        <v>142</v>
      </c>
      <c r="C297" s="396" t="s">
        <v>2721</v>
      </c>
      <c r="D297" s="427" t="s">
        <v>2850</v>
      </c>
      <c r="E297" s="440" t="s">
        <v>2732</v>
      </c>
      <c r="F297" s="424" t="s">
        <v>1348</v>
      </c>
      <c r="G297" s="424" t="s">
        <v>2743</v>
      </c>
      <c r="H297" s="424"/>
      <c r="I297" s="776" t="s">
        <v>2747</v>
      </c>
      <c r="J297" s="424" t="s">
        <v>43</v>
      </c>
      <c r="K297" s="424" t="s">
        <v>43</v>
      </c>
      <c r="L297" s="424" t="s">
        <v>572</v>
      </c>
      <c r="M297" s="424" t="s">
        <v>44</v>
      </c>
      <c r="N297" s="424">
        <v>25.211600000000001</v>
      </c>
      <c r="O297" s="424">
        <v>97.262799999999999</v>
      </c>
      <c r="P297" s="424"/>
      <c r="Q297" s="424" t="s">
        <v>2746</v>
      </c>
      <c r="R297" s="436"/>
      <c r="S297" s="429"/>
      <c r="T297" s="441">
        <v>44662</v>
      </c>
      <c r="U297" s="430" t="s">
        <v>2745</v>
      </c>
      <c r="V297" s="428"/>
      <c r="W297" s="682" t="s">
        <v>2750</v>
      </c>
      <c r="X297" s="427"/>
      <c r="Y297" s="45"/>
      <c r="Z297" s="17"/>
      <c r="AA297" s="89"/>
      <c r="AB297" s="17"/>
      <c r="AC297" s="17"/>
      <c r="AD297" s="17"/>
      <c r="AF297" s="17"/>
    </row>
    <row r="298" spans="1:32" ht="14.25" customHeight="1">
      <c r="A298" s="396" t="s">
        <v>37</v>
      </c>
      <c r="B298" s="443" t="s">
        <v>142</v>
      </c>
      <c r="C298" s="396" t="s">
        <v>2720</v>
      </c>
      <c r="D298" s="427" t="s">
        <v>2987</v>
      </c>
      <c r="E298" s="424" t="s">
        <v>2731</v>
      </c>
      <c r="F298" s="424" t="s">
        <v>1348</v>
      </c>
      <c r="G298" s="424" t="s">
        <v>2743</v>
      </c>
      <c r="H298" s="424"/>
      <c r="I298" s="776" t="s">
        <v>2747</v>
      </c>
      <c r="J298" s="424" t="s">
        <v>43</v>
      </c>
      <c r="K298" s="424" t="s">
        <v>43</v>
      </c>
      <c r="L298" s="424" t="s">
        <v>588</v>
      </c>
      <c r="M298" s="424" t="s">
        <v>44</v>
      </c>
      <c r="N298" s="424">
        <v>25.211500000000001</v>
      </c>
      <c r="O298" s="424">
        <v>97.261799999999994</v>
      </c>
      <c r="P298" s="424"/>
      <c r="Q298" s="424" t="s">
        <v>2746</v>
      </c>
      <c r="R298" s="436">
        <v>24</v>
      </c>
      <c r="S298" s="429">
        <v>124</v>
      </c>
      <c r="T298" s="441">
        <v>44662</v>
      </c>
      <c r="U298" s="430" t="s">
        <v>2745</v>
      </c>
      <c r="V298" s="428"/>
      <c r="W298" s="682" t="s">
        <v>2750</v>
      </c>
      <c r="X298" s="427"/>
      <c r="Y298" s="45"/>
      <c r="Z298" s="17"/>
      <c r="AA298" s="89"/>
      <c r="AB298" s="17"/>
      <c r="AC298" s="17"/>
      <c r="AD298" s="17"/>
      <c r="AF298" s="17"/>
    </row>
    <row r="299" spans="1:32" ht="14.25" customHeight="1">
      <c r="A299" s="440" t="s">
        <v>37</v>
      </c>
      <c r="B299" s="440" t="s">
        <v>142</v>
      </c>
      <c r="C299" s="440" t="s">
        <v>221</v>
      </c>
      <c r="D299" s="427" t="s">
        <v>2987</v>
      </c>
      <c r="E299" s="426" t="s">
        <v>1153</v>
      </c>
      <c r="F299" s="424" t="s">
        <v>1341</v>
      </c>
      <c r="G299" s="424" t="s">
        <v>1341</v>
      </c>
      <c r="H299" s="424" t="s">
        <v>41</v>
      </c>
      <c r="I299" s="424" t="s">
        <v>1035</v>
      </c>
      <c r="J299" s="424" t="s">
        <v>43</v>
      </c>
      <c r="K299" s="424" t="s">
        <v>43</v>
      </c>
      <c r="L299" s="424" t="s">
        <v>43</v>
      </c>
      <c r="M299" s="424" t="s">
        <v>590</v>
      </c>
      <c r="N299" s="424">
        <v>24.755253</v>
      </c>
      <c r="O299" s="424">
        <v>97.546893999999995</v>
      </c>
      <c r="P299" s="424" t="s">
        <v>573</v>
      </c>
      <c r="Q299" s="424" t="s">
        <v>592</v>
      </c>
      <c r="R299" s="436">
        <v>1352</v>
      </c>
      <c r="S299" s="429">
        <v>7253</v>
      </c>
      <c r="T299" s="441"/>
      <c r="U299" s="430"/>
      <c r="V299" s="426" t="s">
        <v>221</v>
      </c>
      <c r="W299" s="424" t="s">
        <v>1755</v>
      </c>
      <c r="X299" s="427"/>
      <c r="Y299" s="45"/>
      <c r="Z299" s="17"/>
      <c r="AA299" s="89"/>
      <c r="AB299" s="17"/>
      <c r="AC299" s="17"/>
      <c r="AD299" s="17"/>
      <c r="AF299" s="17"/>
    </row>
    <row r="300" spans="1:32" ht="14.25" customHeight="1">
      <c r="A300" s="440" t="s">
        <v>37</v>
      </c>
      <c r="B300" s="440" t="s">
        <v>142</v>
      </c>
      <c r="C300" s="440" t="s">
        <v>223</v>
      </c>
      <c r="D300" s="387"/>
      <c r="E300" s="426"/>
      <c r="F300" s="424"/>
      <c r="G300" s="424"/>
      <c r="H300" s="424"/>
      <c r="I300" s="424"/>
      <c r="J300" s="424" t="s">
        <v>1099</v>
      </c>
      <c r="K300" s="424" t="s">
        <v>43</v>
      </c>
      <c r="L300" s="424" t="s">
        <v>871</v>
      </c>
      <c r="M300" s="424" t="s">
        <v>590</v>
      </c>
      <c r="N300" s="424"/>
      <c r="O300" s="424"/>
      <c r="P300" s="424" t="s">
        <v>573</v>
      </c>
      <c r="Q300" s="424" t="s">
        <v>592</v>
      </c>
      <c r="R300" s="428"/>
      <c r="S300" s="429"/>
      <c r="T300" s="441"/>
      <c r="U300" s="430" t="s">
        <v>823</v>
      </c>
      <c r="V300" s="424"/>
      <c r="W300" s="360"/>
      <c r="X300" s="387"/>
      <c r="Y300" s="45"/>
      <c r="Z300" s="17"/>
      <c r="AA300" s="89"/>
      <c r="AB300" s="17"/>
      <c r="AC300" s="17"/>
      <c r="AD300" s="17"/>
      <c r="AF300" s="17"/>
    </row>
    <row r="301" spans="1:32" ht="14.25" customHeight="1">
      <c r="A301" s="396" t="s">
        <v>37</v>
      </c>
      <c r="B301" s="443" t="s">
        <v>142</v>
      </c>
      <c r="C301" s="396" t="s">
        <v>222</v>
      </c>
      <c r="D301" s="427"/>
      <c r="E301" s="426"/>
      <c r="F301" s="424"/>
      <c r="G301" s="424"/>
      <c r="H301" s="424"/>
      <c r="I301" s="424"/>
      <c r="J301" s="424" t="s">
        <v>1099</v>
      </c>
      <c r="K301" s="424" t="s">
        <v>43</v>
      </c>
      <c r="L301" s="424" t="s">
        <v>584</v>
      </c>
      <c r="M301" s="424" t="s">
        <v>590</v>
      </c>
      <c r="N301" s="424"/>
      <c r="O301" s="424"/>
      <c r="P301" s="424" t="s">
        <v>585</v>
      </c>
      <c r="Q301" s="424" t="s">
        <v>592</v>
      </c>
      <c r="R301" s="436"/>
      <c r="S301" s="429"/>
      <c r="T301" s="441"/>
      <c r="U301" s="436" t="s">
        <v>823</v>
      </c>
      <c r="V301" s="424"/>
      <c r="W301" s="428"/>
      <c r="X301" s="427"/>
      <c r="Y301" s="45"/>
      <c r="Z301" s="17"/>
      <c r="AA301" s="89"/>
      <c r="AB301" s="17"/>
      <c r="AC301" s="17"/>
      <c r="AD301" s="17"/>
      <c r="AF301" s="17"/>
    </row>
    <row r="302" spans="1:32" ht="14.25" customHeight="1">
      <c r="A302" s="396" t="s">
        <v>37</v>
      </c>
      <c r="B302" s="443" t="s">
        <v>142</v>
      </c>
      <c r="C302" s="396" t="s">
        <v>3006</v>
      </c>
      <c r="D302" s="427" t="s">
        <v>2987</v>
      </c>
      <c r="E302" s="429" t="s">
        <v>3028</v>
      </c>
      <c r="F302" s="424" t="s">
        <v>3044</v>
      </c>
      <c r="G302" s="424"/>
      <c r="H302" s="424"/>
      <c r="I302" s="424" t="s">
        <v>3075</v>
      </c>
      <c r="J302" s="424" t="s">
        <v>43</v>
      </c>
      <c r="K302" s="424" t="s">
        <v>43</v>
      </c>
      <c r="L302" s="424" t="s">
        <v>588</v>
      </c>
      <c r="M302" s="424" t="s">
        <v>44</v>
      </c>
      <c r="N302" s="424"/>
      <c r="O302" s="424"/>
      <c r="P302" s="424" t="s">
        <v>573</v>
      </c>
      <c r="Q302" s="424" t="s">
        <v>3059</v>
      </c>
      <c r="R302" s="436">
        <v>16</v>
      </c>
      <c r="S302" s="429">
        <v>76</v>
      </c>
      <c r="T302" s="441">
        <v>45009</v>
      </c>
      <c r="U302" s="430" t="s">
        <v>3060</v>
      </c>
      <c r="V302" s="424"/>
      <c r="W302" s="428" t="s">
        <v>3071</v>
      </c>
      <c r="X302" s="427"/>
      <c r="Y302" s="45"/>
      <c r="Z302" s="17"/>
      <c r="AA302" s="89"/>
      <c r="AB302" s="17"/>
      <c r="AC302" s="17"/>
      <c r="AD302" s="17"/>
      <c r="AF302" s="17"/>
    </row>
    <row r="303" spans="1:32" ht="14.25" customHeight="1">
      <c r="A303" s="396" t="s">
        <v>37</v>
      </c>
      <c r="B303" s="443" t="s">
        <v>142</v>
      </c>
      <c r="C303" s="396" t="s">
        <v>2724</v>
      </c>
      <c r="D303" s="427" t="s">
        <v>2987</v>
      </c>
      <c r="E303" s="426" t="s">
        <v>2735</v>
      </c>
      <c r="F303" s="424" t="s">
        <v>1348</v>
      </c>
      <c r="G303" s="424" t="s">
        <v>2744</v>
      </c>
      <c r="H303" s="424"/>
      <c r="I303" s="776" t="s">
        <v>2747</v>
      </c>
      <c r="J303" s="424" t="s">
        <v>43</v>
      </c>
      <c r="K303" s="424" t="s">
        <v>43</v>
      </c>
      <c r="L303" s="424" t="s">
        <v>3076</v>
      </c>
      <c r="M303" s="424" t="s">
        <v>44</v>
      </c>
      <c r="N303" s="424">
        <v>25.2056</v>
      </c>
      <c r="O303" s="424">
        <v>97.260800000000003</v>
      </c>
      <c r="P303" s="424"/>
      <c r="Q303" s="424" t="s">
        <v>2746</v>
      </c>
      <c r="R303" s="436">
        <v>28</v>
      </c>
      <c r="S303" s="429">
        <v>152</v>
      </c>
      <c r="T303" s="441">
        <v>44662</v>
      </c>
      <c r="U303" s="430" t="s">
        <v>2745</v>
      </c>
      <c r="V303" s="443"/>
      <c r="W303" s="682" t="s">
        <v>2878</v>
      </c>
      <c r="X303" s="427"/>
      <c r="Y303" s="45"/>
      <c r="Z303" s="17"/>
      <c r="AA303" s="89"/>
      <c r="AB303" s="17"/>
      <c r="AC303" s="17"/>
      <c r="AD303" s="17"/>
      <c r="AF303" s="17"/>
    </row>
    <row r="304" spans="1:32" ht="14.25" customHeight="1">
      <c r="A304" s="396" t="s">
        <v>37</v>
      </c>
      <c r="B304" s="443" t="s">
        <v>142</v>
      </c>
      <c r="C304" s="396" t="s">
        <v>765</v>
      </c>
      <c r="D304" s="427" t="s">
        <v>1300</v>
      </c>
      <c r="E304" s="426" t="s">
        <v>1162</v>
      </c>
      <c r="F304" s="424" t="s">
        <v>1345</v>
      </c>
      <c r="G304" s="424" t="s">
        <v>1346</v>
      </c>
      <c r="H304" s="424" t="s">
        <v>41</v>
      </c>
      <c r="I304" s="424" t="s">
        <v>141</v>
      </c>
      <c r="J304" s="424" t="s">
        <v>43</v>
      </c>
      <c r="K304" s="424" t="s">
        <v>43</v>
      </c>
      <c r="L304" s="424" t="s">
        <v>572</v>
      </c>
      <c r="M304" s="424" t="s">
        <v>590</v>
      </c>
      <c r="N304" s="424">
        <v>25.106670000000001</v>
      </c>
      <c r="O304" s="424">
        <v>97.756789999999995</v>
      </c>
      <c r="P304" s="424" t="s">
        <v>573</v>
      </c>
      <c r="Q304" s="424" t="s">
        <v>592</v>
      </c>
      <c r="R304" s="436">
        <v>0</v>
      </c>
      <c r="S304" s="429">
        <v>0</v>
      </c>
      <c r="T304" s="441"/>
      <c r="U304" s="436" t="s">
        <v>760</v>
      </c>
      <c r="V304" s="426" t="s">
        <v>766</v>
      </c>
      <c r="W304" s="428" t="s">
        <v>1669</v>
      </c>
      <c r="X304" s="427"/>
      <c r="Y304" s="45"/>
      <c r="Z304" s="17"/>
      <c r="AA304" s="89"/>
      <c r="AB304" s="17"/>
      <c r="AC304" s="17"/>
      <c r="AD304" s="17"/>
      <c r="AF304" s="17"/>
    </row>
    <row r="305" spans="1:32" ht="14.25" customHeight="1">
      <c r="A305" s="396" t="s">
        <v>515</v>
      </c>
      <c r="B305" s="443" t="s">
        <v>534</v>
      </c>
      <c r="C305" s="396" t="s">
        <v>2213</v>
      </c>
      <c r="D305" s="387"/>
      <c r="E305" s="424"/>
      <c r="F305" s="424"/>
      <c r="G305" s="424"/>
      <c r="H305" s="424"/>
      <c r="I305" s="424"/>
      <c r="J305" s="424" t="s">
        <v>2098</v>
      </c>
      <c r="K305" s="424" t="s">
        <v>2082</v>
      </c>
      <c r="L305" s="424" t="s">
        <v>2082</v>
      </c>
      <c r="M305" s="424" t="s">
        <v>44</v>
      </c>
      <c r="N305" s="424"/>
      <c r="O305" s="424"/>
      <c r="P305" s="424" t="s">
        <v>1573</v>
      </c>
      <c r="Q305" s="424" t="s">
        <v>2173</v>
      </c>
      <c r="R305" s="428"/>
      <c r="S305" s="428"/>
      <c r="T305" s="441">
        <v>43759</v>
      </c>
      <c r="U305" s="430"/>
      <c r="V305" s="424"/>
      <c r="W305" s="361"/>
      <c r="X305" s="387"/>
      <c r="Y305" s="45"/>
      <c r="Z305" s="17"/>
      <c r="AA305" s="89"/>
      <c r="AB305" s="17"/>
      <c r="AC305" s="17"/>
      <c r="AD305" s="17"/>
      <c r="AF305" s="17"/>
    </row>
    <row r="306" spans="1:32" ht="14.25" customHeight="1">
      <c r="A306" s="396" t="s">
        <v>515</v>
      </c>
      <c r="B306" s="443" t="s">
        <v>534</v>
      </c>
      <c r="C306" s="396" t="s">
        <v>2209</v>
      </c>
      <c r="D306" s="387"/>
      <c r="E306" s="426"/>
      <c r="F306" s="424"/>
      <c r="G306" s="424"/>
      <c r="H306" s="424"/>
      <c r="I306" s="424"/>
      <c r="J306" s="424" t="s">
        <v>2098</v>
      </c>
      <c r="K306" s="424" t="s">
        <v>2082</v>
      </c>
      <c r="L306" s="424" t="s">
        <v>2082</v>
      </c>
      <c r="M306" s="424" t="s">
        <v>44</v>
      </c>
      <c r="N306" s="424"/>
      <c r="O306" s="424"/>
      <c r="P306" s="424" t="s">
        <v>1573</v>
      </c>
      <c r="Q306" s="424" t="s">
        <v>2173</v>
      </c>
      <c r="R306" s="436"/>
      <c r="S306" s="429"/>
      <c r="T306" s="441">
        <v>43759</v>
      </c>
      <c r="U306" s="430"/>
      <c r="V306" s="424"/>
      <c r="W306" s="361"/>
      <c r="X306" s="387"/>
      <c r="Y306" s="45"/>
      <c r="Z306" s="17"/>
      <c r="AA306" s="89"/>
      <c r="AB306" s="17"/>
      <c r="AC306" s="17"/>
      <c r="AD306" s="17"/>
      <c r="AF306" s="17"/>
    </row>
    <row r="307" spans="1:32" ht="14.25" customHeight="1">
      <c r="A307" s="396" t="s">
        <v>515</v>
      </c>
      <c r="B307" s="443" t="s">
        <v>534</v>
      </c>
      <c r="C307" s="396" t="s">
        <v>535</v>
      </c>
      <c r="D307" s="427" t="s">
        <v>2987</v>
      </c>
      <c r="E307" s="444" t="s">
        <v>2822</v>
      </c>
      <c r="F307" s="424" t="s">
        <v>535</v>
      </c>
      <c r="G307" s="424" t="s">
        <v>535</v>
      </c>
      <c r="H307" s="424" t="s">
        <v>41</v>
      </c>
      <c r="I307" s="424" t="s">
        <v>2118</v>
      </c>
      <c r="J307" s="424" t="s">
        <v>43</v>
      </c>
      <c r="K307" s="424" t="s">
        <v>43</v>
      </c>
      <c r="L307" s="424" t="s">
        <v>43</v>
      </c>
      <c r="M307" s="424" t="s">
        <v>44</v>
      </c>
      <c r="N307" s="424">
        <v>23.354268999999999</v>
      </c>
      <c r="O307" s="424">
        <v>98.218626999999998</v>
      </c>
      <c r="P307" s="424" t="s">
        <v>573</v>
      </c>
      <c r="Q307" s="424" t="s">
        <v>592</v>
      </c>
      <c r="R307" s="436">
        <v>33</v>
      </c>
      <c r="S307" s="429">
        <v>158</v>
      </c>
      <c r="T307" s="441"/>
      <c r="U307" s="430"/>
      <c r="V307" s="424" t="s">
        <v>535</v>
      </c>
      <c r="W307" s="361" t="s">
        <v>1670</v>
      </c>
      <c r="X307" s="424" t="s">
        <v>1064</v>
      </c>
      <c r="Y307" s="45"/>
      <c r="Z307" s="17"/>
      <c r="AA307" s="89"/>
      <c r="AB307" s="17"/>
      <c r="AC307" s="17"/>
      <c r="AD307" s="17"/>
      <c r="AF307" s="17"/>
    </row>
    <row r="308" spans="1:32" ht="14.25" customHeight="1">
      <c r="A308" s="396" t="s">
        <v>515</v>
      </c>
      <c r="B308" s="443" t="s">
        <v>534</v>
      </c>
      <c r="C308" s="396" t="s">
        <v>558</v>
      </c>
      <c r="D308" s="427" t="s">
        <v>2256</v>
      </c>
      <c r="E308" s="424" t="s">
        <v>1065</v>
      </c>
      <c r="F308" s="424" t="s">
        <v>1370</v>
      </c>
      <c r="G308" s="424" t="s">
        <v>1370</v>
      </c>
      <c r="H308" s="424"/>
      <c r="I308" s="424" t="s">
        <v>1619</v>
      </c>
      <c r="J308" s="424" t="s">
        <v>43</v>
      </c>
      <c r="K308" s="424" t="s">
        <v>697</v>
      </c>
      <c r="L308" s="424" t="s">
        <v>43</v>
      </c>
      <c r="M308" s="424" t="s">
        <v>590</v>
      </c>
      <c r="N308" s="424">
        <v>23.372409999999999</v>
      </c>
      <c r="O308" s="424">
        <v>98.352670000000003</v>
      </c>
      <c r="P308" s="424" t="s">
        <v>585</v>
      </c>
      <c r="Q308" s="424" t="s">
        <v>592</v>
      </c>
      <c r="R308" s="436"/>
      <c r="S308" s="429"/>
      <c r="T308" s="441">
        <v>43276</v>
      </c>
      <c r="U308" s="430" t="s">
        <v>1565</v>
      </c>
      <c r="V308" s="424" t="s">
        <v>558</v>
      </c>
      <c r="W308" s="428" t="s">
        <v>1671</v>
      </c>
      <c r="X308" s="427"/>
      <c r="Y308" s="45"/>
      <c r="Z308" s="17"/>
      <c r="AA308" s="89"/>
      <c r="AB308" s="17"/>
      <c r="AC308" s="17"/>
      <c r="AD308" s="17"/>
      <c r="AF308" s="17"/>
    </row>
    <row r="309" spans="1:32" ht="14.25" customHeight="1">
      <c r="A309" s="396" t="s">
        <v>515</v>
      </c>
      <c r="B309" s="443" t="s">
        <v>534</v>
      </c>
      <c r="C309" s="396" t="s">
        <v>563</v>
      </c>
      <c r="D309" s="387" t="s">
        <v>1300</v>
      </c>
      <c r="E309" s="424" t="s">
        <v>1063</v>
      </c>
      <c r="F309" s="424" t="s">
        <v>1304</v>
      </c>
      <c r="G309" s="424" t="s">
        <v>1304</v>
      </c>
      <c r="H309" s="424"/>
      <c r="I309" s="426">
        <v>0</v>
      </c>
      <c r="J309" s="424" t="s">
        <v>43</v>
      </c>
      <c r="K309" s="424" t="s">
        <v>43</v>
      </c>
      <c r="L309" s="424" t="s">
        <v>572</v>
      </c>
      <c r="M309" s="424" t="s">
        <v>44</v>
      </c>
      <c r="N309" s="424">
        <v>23.353999999999999</v>
      </c>
      <c r="O309" s="424">
        <v>98.221000000000004</v>
      </c>
      <c r="P309" s="424" t="s">
        <v>573</v>
      </c>
      <c r="Q309" s="424" t="s">
        <v>574</v>
      </c>
      <c r="R309" s="428">
        <v>0</v>
      </c>
      <c r="S309" s="428">
        <v>0</v>
      </c>
      <c r="T309" s="441"/>
      <c r="U309" s="430"/>
      <c r="V309" s="424"/>
      <c r="W309" s="361" t="s">
        <v>1672</v>
      </c>
      <c r="X309" s="387"/>
      <c r="Y309" s="45"/>
      <c r="Z309" s="17"/>
      <c r="AA309" s="89"/>
      <c r="AB309" s="17"/>
      <c r="AC309" s="17"/>
      <c r="AD309" s="17"/>
      <c r="AF309" s="17"/>
    </row>
    <row r="310" spans="1:32" ht="14.25" customHeight="1">
      <c r="A310" s="396" t="s">
        <v>515</v>
      </c>
      <c r="B310" s="443" t="s">
        <v>556</v>
      </c>
      <c r="C310" s="396" t="s">
        <v>2087</v>
      </c>
      <c r="D310" s="427"/>
      <c r="E310" s="424"/>
      <c r="F310" s="424"/>
      <c r="G310" s="424"/>
      <c r="H310" s="424"/>
      <c r="I310" s="424"/>
      <c r="J310" s="424" t="s">
        <v>2098</v>
      </c>
      <c r="K310" s="424" t="s">
        <v>2082</v>
      </c>
      <c r="L310" s="424" t="s">
        <v>2082</v>
      </c>
      <c r="M310" s="424" t="s">
        <v>44</v>
      </c>
      <c r="N310" s="424"/>
      <c r="O310" s="424"/>
      <c r="P310" s="424" t="s">
        <v>1573</v>
      </c>
      <c r="Q310" s="424"/>
      <c r="R310" s="436"/>
      <c r="S310" s="429"/>
      <c r="T310" s="441">
        <v>43567</v>
      </c>
      <c r="U310" s="430"/>
      <c r="V310" s="424"/>
      <c r="W310" s="428"/>
      <c r="X310" s="427"/>
      <c r="Y310" s="45"/>
      <c r="Z310" s="17"/>
      <c r="AA310" s="89"/>
      <c r="AB310" s="17"/>
      <c r="AC310" s="17"/>
      <c r="AD310" s="17"/>
      <c r="AF310" s="17"/>
    </row>
    <row r="311" spans="1:32" ht="14.25" customHeight="1">
      <c r="A311" s="396" t="s">
        <v>515</v>
      </c>
      <c r="B311" s="443" t="s">
        <v>556</v>
      </c>
      <c r="C311" s="396" t="s">
        <v>2660</v>
      </c>
      <c r="D311" s="427" t="s">
        <v>2850</v>
      </c>
      <c r="E311" s="775"/>
      <c r="F311" s="424" t="s">
        <v>2672</v>
      </c>
      <c r="G311" s="424" t="s">
        <v>2673</v>
      </c>
      <c r="H311" s="424"/>
      <c r="I311" s="424" t="s">
        <v>1619</v>
      </c>
      <c r="J311" s="424" t="s">
        <v>43</v>
      </c>
      <c r="K311" s="424" t="s">
        <v>43</v>
      </c>
      <c r="L311" s="424" t="s">
        <v>572</v>
      </c>
      <c r="M311" s="424" t="s">
        <v>44</v>
      </c>
      <c r="N311" s="424">
        <v>22.6923503875732</v>
      </c>
      <c r="O311" s="424">
        <v>97.434150695800795</v>
      </c>
      <c r="P311" s="424" t="s">
        <v>573</v>
      </c>
      <c r="Q311" s="424" t="s">
        <v>2665</v>
      </c>
      <c r="R311" s="436"/>
      <c r="S311" s="429"/>
      <c r="T311" s="441">
        <v>44544</v>
      </c>
      <c r="U311" s="430"/>
      <c r="V311" s="424"/>
      <c r="W311" s="428" t="s">
        <v>2674</v>
      </c>
      <c r="X311" s="424" t="s">
        <v>2671</v>
      </c>
      <c r="Y311" s="45"/>
      <c r="Z311" s="17"/>
      <c r="AA311" s="89"/>
      <c r="AB311" s="17"/>
      <c r="AC311" s="17"/>
      <c r="AD311" s="17"/>
      <c r="AF311" s="17"/>
    </row>
    <row r="312" spans="1:32" ht="14.25" customHeight="1">
      <c r="A312" s="396" t="s">
        <v>515</v>
      </c>
      <c r="B312" s="443" t="s">
        <v>556</v>
      </c>
      <c r="C312" s="396" t="s">
        <v>557</v>
      </c>
      <c r="D312" s="427" t="s">
        <v>2987</v>
      </c>
      <c r="E312" s="444" t="s">
        <v>2824</v>
      </c>
      <c r="F312" s="424" t="s">
        <v>1366</v>
      </c>
      <c r="G312" s="424" t="s">
        <v>1367</v>
      </c>
      <c r="H312" s="424"/>
      <c r="I312" s="424" t="s">
        <v>1619</v>
      </c>
      <c r="J312" s="424" t="s">
        <v>43</v>
      </c>
      <c r="K312" s="424" t="s">
        <v>43</v>
      </c>
      <c r="L312" s="424" t="s">
        <v>588</v>
      </c>
      <c r="M312" s="424" t="s">
        <v>44</v>
      </c>
      <c r="N312" s="424">
        <v>22.677008000000001</v>
      </c>
      <c r="O312" s="424">
        <v>97.314762999999999</v>
      </c>
      <c r="P312" s="424" t="s">
        <v>573</v>
      </c>
      <c r="Q312" s="424" t="s">
        <v>574</v>
      </c>
      <c r="R312" s="436">
        <v>37</v>
      </c>
      <c r="S312" s="429">
        <v>120</v>
      </c>
      <c r="T312" s="441"/>
      <c r="U312" s="430" t="s">
        <v>691</v>
      </c>
      <c r="V312" s="428" t="s">
        <v>692</v>
      </c>
      <c r="W312" s="428" t="s">
        <v>1673</v>
      </c>
      <c r="X312" s="424" t="s">
        <v>1055</v>
      </c>
      <c r="Y312" s="45"/>
      <c r="Z312" s="17"/>
      <c r="AA312" s="89"/>
      <c r="AB312" s="17"/>
      <c r="AC312" s="17"/>
      <c r="AD312" s="17"/>
      <c r="AF312" s="17"/>
    </row>
    <row r="313" spans="1:32" ht="14.25" customHeight="1">
      <c r="A313" s="396" t="s">
        <v>515</v>
      </c>
      <c r="B313" s="443" t="s">
        <v>556</v>
      </c>
      <c r="C313" s="396" t="s">
        <v>2088</v>
      </c>
      <c r="D313" s="427"/>
      <c r="E313" s="424"/>
      <c r="F313" s="424"/>
      <c r="G313" s="424"/>
      <c r="H313" s="424"/>
      <c r="I313" s="424"/>
      <c r="J313" s="424" t="s">
        <v>2098</v>
      </c>
      <c r="K313" s="424" t="s">
        <v>2082</v>
      </c>
      <c r="L313" s="424" t="s">
        <v>2082</v>
      </c>
      <c r="M313" s="424" t="s">
        <v>44</v>
      </c>
      <c r="N313" s="424"/>
      <c r="O313" s="424"/>
      <c r="P313" s="424" t="s">
        <v>1573</v>
      </c>
      <c r="Q313" s="424"/>
      <c r="R313" s="436"/>
      <c r="S313" s="429"/>
      <c r="T313" s="441">
        <v>43567</v>
      </c>
      <c r="U313" s="436"/>
      <c r="V313" s="426"/>
      <c r="W313" s="428"/>
      <c r="X313" s="427"/>
      <c r="Y313" s="45"/>
      <c r="Z313" s="17"/>
      <c r="AA313" s="89"/>
      <c r="AB313" s="17"/>
      <c r="AC313" s="17"/>
      <c r="AD313" s="17"/>
      <c r="AF313" s="17"/>
    </row>
    <row r="314" spans="1:32" ht="14.25" customHeight="1">
      <c r="A314" s="396" t="s">
        <v>515</v>
      </c>
      <c r="B314" s="443" t="s">
        <v>556</v>
      </c>
      <c r="C314" s="673" t="s">
        <v>2089</v>
      </c>
      <c r="D314" s="387"/>
      <c r="E314" s="424"/>
      <c r="F314" s="424"/>
      <c r="G314" s="424"/>
      <c r="H314" s="424"/>
      <c r="I314" s="426"/>
      <c r="J314" s="424" t="s">
        <v>2098</v>
      </c>
      <c r="K314" s="424" t="s">
        <v>2082</v>
      </c>
      <c r="L314" s="424" t="s">
        <v>2082</v>
      </c>
      <c r="M314" s="424" t="s">
        <v>44</v>
      </c>
      <c r="N314" s="424"/>
      <c r="O314" s="424"/>
      <c r="P314" s="424" t="s">
        <v>1573</v>
      </c>
      <c r="Q314" s="424"/>
      <c r="R314" s="428"/>
      <c r="S314" s="428"/>
      <c r="T314" s="441">
        <v>43567</v>
      </c>
      <c r="U314" s="430"/>
      <c r="V314" s="424"/>
      <c r="W314" s="361"/>
      <c r="X314" s="387"/>
      <c r="Y314" s="45"/>
      <c r="Z314" s="17"/>
      <c r="AA314" s="89"/>
      <c r="AB314" s="17"/>
      <c r="AC314" s="17"/>
      <c r="AD314" s="17"/>
      <c r="AF314" s="17"/>
    </row>
    <row r="315" spans="1:32" ht="14.25" customHeight="1">
      <c r="A315" s="396" t="s">
        <v>515</v>
      </c>
      <c r="B315" s="443" t="s">
        <v>519</v>
      </c>
      <c r="C315" s="396" t="s">
        <v>2896</v>
      </c>
      <c r="D315" s="427" t="s">
        <v>2987</v>
      </c>
      <c r="E315" s="444" t="s">
        <v>2825</v>
      </c>
      <c r="F315" s="424" t="s">
        <v>1374</v>
      </c>
      <c r="G315" s="424" t="s">
        <v>1375</v>
      </c>
      <c r="H315" s="424"/>
      <c r="I315" s="424"/>
      <c r="J315" s="424" t="s">
        <v>43</v>
      </c>
      <c r="K315" s="424" t="s">
        <v>43</v>
      </c>
      <c r="L315" s="424" t="s">
        <v>2591</v>
      </c>
      <c r="M315" s="424" t="s">
        <v>44</v>
      </c>
      <c r="N315" s="424">
        <v>23.400155999999999</v>
      </c>
      <c r="O315" s="424">
        <v>98.220614999999995</v>
      </c>
      <c r="P315" s="424" t="s">
        <v>585</v>
      </c>
      <c r="Q315" s="424" t="s">
        <v>2592</v>
      </c>
      <c r="R315" s="436">
        <v>27</v>
      </c>
      <c r="S315" s="429">
        <v>162</v>
      </c>
      <c r="T315" s="441">
        <v>44166</v>
      </c>
      <c r="U315" s="430"/>
      <c r="V315" s="433" t="s">
        <v>2587</v>
      </c>
      <c r="W315" s="361"/>
      <c r="X315" s="424" t="s">
        <v>2580</v>
      </c>
      <c r="Y315" s="45"/>
      <c r="Z315" s="17"/>
      <c r="AA315" s="89"/>
      <c r="AB315" s="17"/>
      <c r="AC315" s="17"/>
      <c r="AD315" s="17"/>
      <c r="AF315" s="17"/>
    </row>
    <row r="316" spans="1:32" ht="14.25" customHeight="1">
      <c r="A316" s="396" t="s">
        <v>515</v>
      </c>
      <c r="B316" s="443" t="s">
        <v>519</v>
      </c>
      <c r="C316" s="396" t="s">
        <v>1722</v>
      </c>
      <c r="D316" s="427"/>
      <c r="E316" s="424"/>
      <c r="F316" s="424"/>
      <c r="G316" s="424"/>
      <c r="H316" s="424"/>
      <c r="I316" s="424"/>
      <c r="J316" s="424" t="s">
        <v>2098</v>
      </c>
      <c r="K316" s="424" t="s">
        <v>2082</v>
      </c>
      <c r="L316" s="424" t="s">
        <v>2082</v>
      </c>
      <c r="M316" s="424" t="s">
        <v>44</v>
      </c>
      <c r="N316" s="424"/>
      <c r="O316" s="424"/>
      <c r="P316" s="424" t="s">
        <v>1573</v>
      </c>
      <c r="Q316" s="424" t="s">
        <v>2173</v>
      </c>
      <c r="R316" s="436"/>
      <c r="S316" s="429"/>
      <c r="T316" s="441">
        <v>43759</v>
      </c>
      <c r="U316" s="436"/>
      <c r="V316" s="424"/>
      <c r="W316" s="428"/>
      <c r="X316" s="427"/>
      <c r="Y316" s="45"/>
      <c r="Z316" s="17"/>
      <c r="AA316" s="89"/>
      <c r="AB316" s="17"/>
      <c r="AC316" s="17"/>
      <c r="AD316" s="17"/>
      <c r="AF316" s="17"/>
    </row>
    <row r="317" spans="1:32" ht="14.25" customHeight="1">
      <c r="A317" s="396" t="s">
        <v>515</v>
      </c>
      <c r="B317" s="443" t="s">
        <v>519</v>
      </c>
      <c r="C317" s="396" t="s">
        <v>1720</v>
      </c>
      <c r="D317" s="427" t="s">
        <v>2987</v>
      </c>
      <c r="E317" s="444" t="s">
        <v>2826</v>
      </c>
      <c r="F317" s="424" t="s">
        <v>1722</v>
      </c>
      <c r="G317" s="424" t="s">
        <v>1722</v>
      </c>
      <c r="H317" s="424"/>
      <c r="I317" s="424" t="s">
        <v>1619</v>
      </c>
      <c r="J317" s="424" t="s">
        <v>43</v>
      </c>
      <c r="K317" s="424" t="s">
        <v>43</v>
      </c>
      <c r="L317" s="424" t="s">
        <v>588</v>
      </c>
      <c r="M317" s="424" t="s">
        <v>44</v>
      </c>
      <c r="N317" s="424">
        <v>23.234137</v>
      </c>
      <c r="O317" s="424">
        <v>97.505339000000006</v>
      </c>
      <c r="P317" s="424" t="s">
        <v>573</v>
      </c>
      <c r="Q317" s="424" t="s">
        <v>1723</v>
      </c>
      <c r="R317" s="436">
        <v>86</v>
      </c>
      <c r="S317" s="429">
        <v>525</v>
      </c>
      <c r="T317" s="441">
        <v>43405</v>
      </c>
      <c r="U317" s="430" t="s">
        <v>1724</v>
      </c>
      <c r="V317" s="424" t="s">
        <v>1720</v>
      </c>
      <c r="W317" s="361" t="s">
        <v>1725</v>
      </c>
      <c r="X317" s="424" t="s">
        <v>1721</v>
      </c>
      <c r="Y317" s="45"/>
      <c r="Z317" s="17"/>
      <c r="AA317" s="89"/>
      <c r="AB317" s="17"/>
      <c r="AC317" s="17"/>
      <c r="AD317" s="17"/>
      <c r="AF317" s="17"/>
    </row>
    <row r="318" spans="1:32" ht="14.25" customHeight="1">
      <c r="A318" s="396" t="s">
        <v>515</v>
      </c>
      <c r="B318" s="443" t="s">
        <v>519</v>
      </c>
      <c r="C318" s="673" t="s">
        <v>2897</v>
      </c>
      <c r="D318" s="427" t="s">
        <v>2987</v>
      </c>
      <c r="E318" s="424" t="s">
        <v>1072</v>
      </c>
      <c r="F318" s="424" t="s">
        <v>1371</v>
      </c>
      <c r="G318" s="424" t="s">
        <v>1373</v>
      </c>
      <c r="H318" s="424" t="s">
        <v>41</v>
      </c>
      <c r="I318" s="426" t="s">
        <v>1041</v>
      </c>
      <c r="J318" s="424" t="s">
        <v>43</v>
      </c>
      <c r="K318" s="424" t="s">
        <v>43</v>
      </c>
      <c r="L318" s="424" t="s">
        <v>43</v>
      </c>
      <c r="M318" s="424" t="s">
        <v>44</v>
      </c>
      <c r="N318" s="424">
        <v>23.38503</v>
      </c>
      <c r="O318" s="424">
        <v>97.837040000000002</v>
      </c>
      <c r="P318" s="424" t="s">
        <v>573</v>
      </c>
      <c r="Q318" s="424" t="s">
        <v>592</v>
      </c>
      <c r="R318" s="436">
        <v>26</v>
      </c>
      <c r="S318" s="429">
        <v>132</v>
      </c>
      <c r="T318" s="441"/>
      <c r="U318" s="430"/>
      <c r="V318" s="450" t="s">
        <v>520</v>
      </c>
      <c r="W318" s="361" t="s">
        <v>1677</v>
      </c>
      <c r="X318" s="427"/>
      <c r="Y318" s="45"/>
      <c r="Z318" s="17"/>
      <c r="AA318" s="89"/>
      <c r="AB318" s="17"/>
      <c r="AC318" s="17"/>
      <c r="AD318" s="17"/>
      <c r="AF318" s="17"/>
    </row>
    <row r="319" spans="1:32" ht="14.25" customHeight="1">
      <c r="A319" s="396" t="s">
        <v>515</v>
      </c>
      <c r="B319" s="443" t="s">
        <v>519</v>
      </c>
      <c r="C319" s="396" t="s">
        <v>1726</v>
      </c>
      <c r="D319" s="427" t="s">
        <v>2987</v>
      </c>
      <c r="E319" s="444" t="s">
        <v>2827</v>
      </c>
      <c r="F319" s="424" t="s">
        <v>1728</v>
      </c>
      <c r="G319" s="424"/>
      <c r="H319" s="424" t="s">
        <v>41</v>
      </c>
      <c r="I319" s="424" t="s">
        <v>1041</v>
      </c>
      <c r="J319" s="424" t="s">
        <v>43</v>
      </c>
      <c r="K319" s="424" t="s">
        <v>43</v>
      </c>
      <c r="L319" s="424" t="s">
        <v>43</v>
      </c>
      <c r="M319" s="424" t="s">
        <v>44</v>
      </c>
      <c r="N319" s="424">
        <v>23.638999999999999</v>
      </c>
      <c r="O319" s="424">
        <v>97.861999999999995</v>
      </c>
      <c r="P319" s="424" t="s">
        <v>573</v>
      </c>
      <c r="Q319" s="424" t="s">
        <v>1723</v>
      </c>
      <c r="R319" s="436">
        <v>31</v>
      </c>
      <c r="S319" s="429">
        <v>134</v>
      </c>
      <c r="T319" s="441"/>
      <c r="U319" s="430" t="s">
        <v>1729</v>
      </c>
      <c r="V319" s="424" t="s">
        <v>1726</v>
      </c>
      <c r="W319" s="428" t="s">
        <v>1732</v>
      </c>
      <c r="X319" s="424" t="s">
        <v>1727</v>
      </c>
      <c r="Y319" s="45"/>
      <c r="Z319" s="17"/>
      <c r="AA319" s="89"/>
      <c r="AB319" s="17"/>
      <c r="AC319" s="17"/>
      <c r="AD319" s="17"/>
      <c r="AF319" s="17"/>
    </row>
    <row r="320" spans="1:32" ht="14.25" customHeight="1">
      <c r="A320" s="396" t="s">
        <v>515</v>
      </c>
      <c r="B320" s="443" t="s">
        <v>519</v>
      </c>
      <c r="C320" s="396" t="s">
        <v>2214</v>
      </c>
      <c r="D320" s="387"/>
      <c r="E320" s="424"/>
      <c r="F320" s="424"/>
      <c r="G320" s="424"/>
      <c r="H320" s="424"/>
      <c r="I320" s="424"/>
      <c r="J320" s="424" t="s">
        <v>2098</v>
      </c>
      <c r="K320" s="424" t="s">
        <v>2082</v>
      </c>
      <c r="L320" s="424" t="s">
        <v>2082</v>
      </c>
      <c r="M320" s="424" t="s">
        <v>44</v>
      </c>
      <c r="N320" s="424"/>
      <c r="O320" s="424"/>
      <c r="P320" s="424" t="s">
        <v>1573</v>
      </c>
      <c r="Q320" s="424" t="s">
        <v>2173</v>
      </c>
      <c r="R320" s="428"/>
      <c r="S320" s="428"/>
      <c r="T320" s="441">
        <v>43759</v>
      </c>
      <c r="U320" s="430"/>
      <c r="V320" s="424"/>
      <c r="W320" s="361"/>
      <c r="X320" s="387"/>
      <c r="Y320" s="45"/>
      <c r="Z320" s="17"/>
      <c r="AA320" s="89"/>
      <c r="AB320" s="17"/>
      <c r="AC320" s="17"/>
      <c r="AD320" s="17"/>
      <c r="AF320" s="17"/>
    </row>
    <row r="321" spans="1:32" ht="14.25" customHeight="1">
      <c r="A321" s="396" t="s">
        <v>515</v>
      </c>
      <c r="B321" s="443" t="s">
        <v>519</v>
      </c>
      <c r="C321" s="396" t="s">
        <v>540</v>
      </c>
      <c r="D321" s="387" t="s">
        <v>1300</v>
      </c>
      <c r="E321" s="424" t="s">
        <v>1068</v>
      </c>
      <c r="F321" s="424" t="s">
        <v>1305</v>
      </c>
      <c r="G321" s="424" t="s">
        <v>1306</v>
      </c>
      <c r="H321" s="424" t="s">
        <v>41</v>
      </c>
      <c r="I321" s="424" t="s">
        <v>141</v>
      </c>
      <c r="J321" s="424" t="s">
        <v>43</v>
      </c>
      <c r="K321" s="424" t="s">
        <v>697</v>
      </c>
      <c r="L321" s="424" t="s">
        <v>572</v>
      </c>
      <c r="M321" s="424" t="s">
        <v>44</v>
      </c>
      <c r="N321" s="424">
        <v>23.4008</v>
      </c>
      <c r="O321" s="424">
        <v>97.848529999999997</v>
      </c>
      <c r="P321" s="424" t="s">
        <v>573</v>
      </c>
      <c r="Q321" s="424" t="s">
        <v>592</v>
      </c>
      <c r="R321" s="428">
        <v>0</v>
      </c>
      <c r="S321" s="428">
        <v>0</v>
      </c>
      <c r="T321" s="441">
        <v>43049</v>
      </c>
      <c r="U321" s="430" t="s">
        <v>699</v>
      </c>
      <c r="V321" s="424" t="s">
        <v>540</v>
      </c>
      <c r="W321" s="361" t="s">
        <v>1674</v>
      </c>
      <c r="X321" s="387"/>
      <c r="Y321" s="45"/>
      <c r="Z321" s="17"/>
      <c r="AA321" s="89"/>
      <c r="AB321" s="17"/>
      <c r="AC321" s="17"/>
      <c r="AD321" s="17"/>
      <c r="AF321" s="17"/>
    </row>
    <row r="322" spans="1:32" ht="14.25" customHeight="1">
      <c r="A322" s="396" t="s">
        <v>515</v>
      </c>
      <c r="B322" s="443" t="s">
        <v>519</v>
      </c>
      <c r="C322" s="396" t="s">
        <v>830</v>
      </c>
      <c r="D322" s="387"/>
      <c r="E322" s="424"/>
      <c r="F322" s="424"/>
      <c r="G322" s="424"/>
      <c r="H322" s="424"/>
      <c r="I322" s="424"/>
      <c r="J322" s="424" t="s">
        <v>1099</v>
      </c>
      <c r="K322" s="424" t="s">
        <v>43</v>
      </c>
      <c r="L322" s="424" t="s">
        <v>826</v>
      </c>
      <c r="M322" s="424" t="s">
        <v>44</v>
      </c>
      <c r="N322" s="424"/>
      <c r="O322" s="424"/>
      <c r="P322" s="424" t="s">
        <v>573</v>
      </c>
      <c r="Q322" s="424" t="s">
        <v>592</v>
      </c>
      <c r="R322" s="428"/>
      <c r="S322" s="428"/>
      <c r="T322" s="441"/>
      <c r="U322" s="430" t="s">
        <v>823</v>
      </c>
      <c r="V322" s="424" t="s">
        <v>830</v>
      </c>
      <c r="W322" s="361"/>
      <c r="X322" s="387"/>
      <c r="Y322" s="45"/>
      <c r="Z322" s="17"/>
      <c r="AA322" s="89"/>
      <c r="AB322" s="17"/>
      <c r="AC322" s="17"/>
      <c r="AD322" s="17"/>
      <c r="AF322" s="17"/>
    </row>
    <row r="323" spans="1:32" ht="14.25" customHeight="1">
      <c r="A323" s="396" t="s">
        <v>515</v>
      </c>
      <c r="B323" s="443" t="s">
        <v>519</v>
      </c>
      <c r="C323" s="396" t="s">
        <v>541</v>
      </c>
      <c r="D323" s="427" t="s">
        <v>2987</v>
      </c>
      <c r="E323" s="424" t="s">
        <v>1070</v>
      </c>
      <c r="F323" s="424" t="s">
        <v>1371</v>
      </c>
      <c r="G323" s="424" t="s">
        <v>1372</v>
      </c>
      <c r="H323" s="424" t="s">
        <v>41</v>
      </c>
      <c r="I323" s="424" t="s">
        <v>2118</v>
      </c>
      <c r="J323" s="424" t="s">
        <v>43</v>
      </c>
      <c r="K323" s="424" t="s">
        <v>43</v>
      </c>
      <c r="L323" s="424" t="s">
        <v>43</v>
      </c>
      <c r="M323" s="424" t="s">
        <v>44</v>
      </c>
      <c r="N323" s="424">
        <v>23.450914000000001</v>
      </c>
      <c r="O323" s="424">
        <v>97.926813999999993</v>
      </c>
      <c r="P323" s="424" t="s">
        <v>573</v>
      </c>
      <c r="Q323" s="424" t="s">
        <v>592</v>
      </c>
      <c r="R323" s="436">
        <v>39</v>
      </c>
      <c r="S323" s="429">
        <v>243</v>
      </c>
      <c r="T323" s="441"/>
      <c r="U323" s="430"/>
      <c r="V323" s="424" t="s">
        <v>541</v>
      </c>
      <c r="W323" s="428" t="s">
        <v>1675</v>
      </c>
      <c r="X323" s="427"/>
      <c r="Y323" s="45"/>
      <c r="Z323" s="17"/>
      <c r="AA323" s="89"/>
      <c r="AB323" s="17"/>
      <c r="AC323" s="17"/>
      <c r="AD323" s="17"/>
      <c r="AF323" s="17"/>
    </row>
    <row r="324" spans="1:32" ht="14.25" customHeight="1">
      <c r="A324" s="396" t="s">
        <v>515</v>
      </c>
      <c r="B324" s="443" t="s">
        <v>519</v>
      </c>
      <c r="C324" s="396" t="s">
        <v>546</v>
      </c>
      <c r="D324" s="427" t="s">
        <v>2987</v>
      </c>
      <c r="E324" s="424" t="s">
        <v>2830</v>
      </c>
      <c r="F324" s="424" t="s">
        <v>1371</v>
      </c>
      <c r="G324" s="424" t="s">
        <v>1303</v>
      </c>
      <c r="H324" s="424" t="s">
        <v>41</v>
      </c>
      <c r="I324" s="424" t="s">
        <v>2118</v>
      </c>
      <c r="J324" s="424" t="s">
        <v>43</v>
      </c>
      <c r="K324" s="424" t="s">
        <v>43</v>
      </c>
      <c r="L324" s="424" t="s">
        <v>43</v>
      </c>
      <c r="M324" s="424" t="s">
        <v>44</v>
      </c>
      <c r="N324" s="424">
        <v>23.460349999999998</v>
      </c>
      <c r="O324" s="424">
        <v>97.947360000000003</v>
      </c>
      <c r="P324" s="424" t="s">
        <v>573</v>
      </c>
      <c r="Q324" s="424" t="s">
        <v>574</v>
      </c>
      <c r="R324" s="436">
        <v>31</v>
      </c>
      <c r="S324" s="429">
        <v>153</v>
      </c>
      <c r="T324" s="441">
        <v>42836</v>
      </c>
      <c r="U324" s="430" t="s">
        <v>700</v>
      </c>
      <c r="V324" s="424"/>
      <c r="W324" s="361" t="s">
        <v>1676</v>
      </c>
      <c r="X324" s="424" t="s">
        <v>1071</v>
      </c>
      <c r="Y324" s="45"/>
      <c r="Z324" s="17"/>
      <c r="AA324" s="89"/>
      <c r="AB324" s="17"/>
      <c r="AC324" s="17"/>
      <c r="AD324" s="17"/>
      <c r="AF324" s="17"/>
    </row>
    <row r="325" spans="1:32" ht="14.25" customHeight="1">
      <c r="A325" s="396" t="s">
        <v>515</v>
      </c>
      <c r="B325" s="443" t="s">
        <v>519</v>
      </c>
      <c r="C325" s="396" t="s">
        <v>564</v>
      </c>
      <c r="D325" s="427"/>
      <c r="E325" s="424"/>
      <c r="F325" s="424"/>
      <c r="G325" s="424"/>
      <c r="H325" s="424"/>
      <c r="I325" s="424"/>
      <c r="J325" s="424" t="s">
        <v>1099</v>
      </c>
      <c r="K325" s="424" t="s">
        <v>43</v>
      </c>
      <c r="L325" s="424" t="s">
        <v>43</v>
      </c>
      <c r="M325" s="424" t="s">
        <v>44</v>
      </c>
      <c r="N325" s="424"/>
      <c r="O325" s="424"/>
      <c r="P325" s="424" t="s">
        <v>573</v>
      </c>
      <c r="Q325" s="424" t="s">
        <v>592</v>
      </c>
      <c r="R325" s="436"/>
      <c r="S325" s="429"/>
      <c r="T325" s="441">
        <v>42747</v>
      </c>
      <c r="U325" s="436"/>
      <c r="V325" s="424"/>
      <c r="W325" s="428"/>
      <c r="X325" s="427"/>
      <c r="Y325" s="45"/>
      <c r="Z325" s="17"/>
      <c r="AA325" s="89"/>
      <c r="AB325" s="17"/>
      <c r="AC325" s="17"/>
      <c r="AD325" s="17"/>
      <c r="AF325" s="17"/>
    </row>
    <row r="326" spans="1:32" ht="14.25" customHeight="1">
      <c r="A326" s="396" t="s">
        <v>515</v>
      </c>
      <c r="B326" s="443" t="s">
        <v>519</v>
      </c>
      <c r="C326" s="396" t="s">
        <v>1616</v>
      </c>
      <c r="D326" s="427" t="s">
        <v>2987</v>
      </c>
      <c r="E326" s="424" t="s">
        <v>2831</v>
      </c>
      <c r="F326" s="424" t="s">
        <v>1376</v>
      </c>
      <c r="G326" s="424" t="s">
        <v>1376</v>
      </c>
      <c r="H326" s="424" t="s">
        <v>41</v>
      </c>
      <c r="I326" s="424" t="s">
        <v>1041</v>
      </c>
      <c r="J326" s="424" t="s">
        <v>43</v>
      </c>
      <c r="K326" s="424" t="s">
        <v>43</v>
      </c>
      <c r="L326" s="424" t="s">
        <v>43</v>
      </c>
      <c r="M326" s="424" t="s">
        <v>44</v>
      </c>
      <c r="N326" s="424">
        <v>23.591999999999999</v>
      </c>
      <c r="O326" s="424">
        <v>97.796999999999997</v>
      </c>
      <c r="P326" s="424" t="s">
        <v>573</v>
      </c>
      <c r="Q326" s="424" t="s">
        <v>592</v>
      </c>
      <c r="R326" s="436">
        <v>75</v>
      </c>
      <c r="S326" s="429">
        <v>395</v>
      </c>
      <c r="T326" s="441" t="s">
        <v>612</v>
      </c>
      <c r="U326" s="430"/>
      <c r="V326" s="424"/>
      <c r="W326" s="361" t="s">
        <v>1678</v>
      </c>
      <c r="X326" s="424" t="s">
        <v>1075</v>
      </c>
      <c r="Y326" s="45"/>
      <c r="Z326" s="17"/>
      <c r="AA326" s="89"/>
      <c r="AB326" s="17"/>
      <c r="AC326" s="17"/>
      <c r="AD326" s="17"/>
      <c r="AF326" s="17"/>
    </row>
    <row r="327" spans="1:32" ht="14.25" customHeight="1">
      <c r="A327" s="433" t="s">
        <v>515</v>
      </c>
      <c r="B327" s="443" t="s">
        <v>519</v>
      </c>
      <c r="C327" s="396" t="s">
        <v>554</v>
      </c>
      <c r="D327" s="427" t="s">
        <v>2987</v>
      </c>
      <c r="E327" s="424" t="s">
        <v>2832</v>
      </c>
      <c r="F327" s="424" t="s">
        <v>1459</v>
      </c>
      <c r="G327" s="424" t="s">
        <v>554</v>
      </c>
      <c r="H327" s="424"/>
      <c r="I327" s="424" t="s">
        <v>1619</v>
      </c>
      <c r="J327" s="424" t="s">
        <v>43</v>
      </c>
      <c r="K327" s="424" t="s">
        <v>43</v>
      </c>
      <c r="L327" s="424" t="s">
        <v>588</v>
      </c>
      <c r="M327" s="424" t="s">
        <v>44</v>
      </c>
      <c r="N327" s="424">
        <v>23.621317999999999</v>
      </c>
      <c r="O327" s="424">
        <v>97.795981999999995</v>
      </c>
      <c r="P327" s="424" t="s">
        <v>573</v>
      </c>
      <c r="Q327" s="424" t="s">
        <v>611</v>
      </c>
      <c r="R327" s="436">
        <v>24</v>
      </c>
      <c r="S327" s="429">
        <v>84</v>
      </c>
      <c r="T327" s="441" t="s">
        <v>811</v>
      </c>
      <c r="U327" s="430"/>
      <c r="V327" s="424"/>
      <c r="W327" s="428" t="s">
        <v>1679</v>
      </c>
      <c r="X327" s="424" t="s">
        <v>1261</v>
      </c>
      <c r="Y327" s="45"/>
      <c r="Z327" s="17"/>
      <c r="AA327" s="89"/>
      <c r="AB327" s="17"/>
      <c r="AC327" s="17"/>
      <c r="AD327" s="17"/>
      <c r="AF327" s="17"/>
    </row>
    <row r="328" spans="1:32" ht="14.25" customHeight="1">
      <c r="A328" s="433" t="s">
        <v>515</v>
      </c>
      <c r="B328" s="443" t="s">
        <v>519</v>
      </c>
      <c r="C328" s="673" t="s">
        <v>2218</v>
      </c>
      <c r="D328" s="387"/>
      <c r="E328" s="424"/>
      <c r="F328" s="424"/>
      <c r="G328" s="424"/>
      <c r="H328" s="424"/>
      <c r="I328" s="426"/>
      <c r="J328" s="424" t="s">
        <v>2098</v>
      </c>
      <c r="K328" s="424" t="s">
        <v>2082</v>
      </c>
      <c r="L328" s="424" t="s">
        <v>2082</v>
      </c>
      <c r="M328" s="424" t="s">
        <v>44</v>
      </c>
      <c r="N328" s="424"/>
      <c r="O328" s="424"/>
      <c r="P328" s="424" t="s">
        <v>1573</v>
      </c>
      <c r="Q328" s="424" t="s">
        <v>2173</v>
      </c>
      <c r="R328" s="428"/>
      <c r="S328" s="428"/>
      <c r="T328" s="441">
        <v>43759</v>
      </c>
      <c r="U328" s="430"/>
      <c r="V328" s="424"/>
      <c r="W328" s="361"/>
      <c r="X328" s="387"/>
      <c r="Y328" s="45"/>
      <c r="Z328" s="17"/>
      <c r="AA328" s="89"/>
      <c r="AB328" s="17"/>
      <c r="AC328" s="17"/>
      <c r="AD328" s="17"/>
      <c r="AF328" s="17"/>
    </row>
    <row r="329" spans="1:32" ht="14.25" customHeight="1">
      <c r="A329" s="433" t="s">
        <v>515</v>
      </c>
      <c r="B329" s="443" t="s">
        <v>519</v>
      </c>
      <c r="C329" s="396" t="s">
        <v>1617</v>
      </c>
      <c r="D329" s="427" t="s">
        <v>2987</v>
      </c>
      <c r="E329" s="424" t="s">
        <v>1074</v>
      </c>
      <c r="F329" s="424" t="s">
        <v>1376</v>
      </c>
      <c r="G329" s="424" t="s">
        <v>1376</v>
      </c>
      <c r="H329" s="424" t="s">
        <v>41</v>
      </c>
      <c r="I329" s="424" t="s">
        <v>1041</v>
      </c>
      <c r="J329" s="424" t="s">
        <v>43</v>
      </c>
      <c r="K329" s="424" t="s">
        <v>697</v>
      </c>
      <c r="L329" s="424" t="s">
        <v>43</v>
      </c>
      <c r="M329" s="424" t="s">
        <v>44</v>
      </c>
      <c r="N329" s="424">
        <v>23.588920000000002</v>
      </c>
      <c r="O329" s="424">
        <v>97.793019999999999</v>
      </c>
      <c r="P329" s="424" t="s">
        <v>573</v>
      </c>
      <c r="Q329" s="424" t="s">
        <v>592</v>
      </c>
      <c r="R329" s="436">
        <v>66</v>
      </c>
      <c r="S329" s="429">
        <v>255</v>
      </c>
      <c r="T329" s="441"/>
      <c r="U329" s="430"/>
      <c r="V329" s="424" t="s">
        <v>549</v>
      </c>
      <c r="W329" s="361" t="s">
        <v>1680</v>
      </c>
      <c r="X329" s="427"/>
      <c r="Y329" s="45"/>
      <c r="Z329" s="17"/>
      <c r="AA329" s="89"/>
      <c r="AB329" s="17"/>
      <c r="AC329" s="17"/>
      <c r="AD329" s="17"/>
      <c r="AF329" s="17"/>
    </row>
    <row r="330" spans="1:32" ht="14.25" customHeight="1">
      <c r="A330" s="433" t="s">
        <v>515</v>
      </c>
      <c r="B330" s="443" t="s">
        <v>519</v>
      </c>
      <c r="C330" s="396" t="s">
        <v>842</v>
      </c>
      <c r="D330" s="387"/>
      <c r="E330" s="424"/>
      <c r="F330" s="424"/>
      <c r="G330" s="424"/>
      <c r="H330" s="424"/>
      <c r="I330" s="424"/>
      <c r="J330" s="424" t="s">
        <v>1099</v>
      </c>
      <c r="K330" s="424" t="s">
        <v>43</v>
      </c>
      <c r="L330" s="424" t="s">
        <v>43</v>
      </c>
      <c r="M330" s="424" t="s">
        <v>44</v>
      </c>
      <c r="N330" s="424"/>
      <c r="O330" s="424"/>
      <c r="P330" s="424" t="s">
        <v>573</v>
      </c>
      <c r="Q330" s="424" t="s">
        <v>592</v>
      </c>
      <c r="R330" s="428"/>
      <c r="S330" s="428"/>
      <c r="T330" s="441"/>
      <c r="U330" s="430" t="s">
        <v>823</v>
      </c>
      <c r="V330" s="424"/>
      <c r="W330" s="361"/>
      <c r="X330" s="387"/>
      <c r="Y330" s="45"/>
      <c r="Z330" s="17"/>
      <c r="AA330" s="89"/>
      <c r="AB330" s="17"/>
      <c r="AC330" s="17"/>
      <c r="AD330" s="17"/>
      <c r="AF330" s="17"/>
    </row>
    <row r="331" spans="1:32" ht="14.25" customHeight="1">
      <c r="A331" s="433" t="s">
        <v>515</v>
      </c>
      <c r="B331" s="443" t="s">
        <v>519</v>
      </c>
      <c r="C331" s="396" t="s">
        <v>545</v>
      </c>
      <c r="D331" s="427" t="s">
        <v>2987</v>
      </c>
      <c r="E331" s="424" t="s">
        <v>2833</v>
      </c>
      <c r="F331" s="424" t="s">
        <v>1380</v>
      </c>
      <c r="G331" s="424" t="s">
        <v>1381</v>
      </c>
      <c r="H331" s="424"/>
      <c r="I331" s="424" t="s">
        <v>1619</v>
      </c>
      <c r="J331" s="424" t="s">
        <v>43</v>
      </c>
      <c r="K331" s="424" t="s">
        <v>43</v>
      </c>
      <c r="L331" s="424" t="s">
        <v>588</v>
      </c>
      <c r="M331" s="424" t="s">
        <v>44</v>
      </c>
      <c r="N331" s="424">
        <v>23.850999999999999</v>
      </c>
      <c r="O331" s="424">
        <v>98.337999999999994</v>
      </c>
      <c r="P331" s="424" t="s">
        <v>573</v>
      </c>
      <c r="Q331" s="424" t="s">
        <v>574</v>
      </c>
      <c r="R331" s="436">
        <v>30</v>
      </c>
      <c r="S331" s="429">
        <v>170</v>
      </c>
      <c r="T331" s="441"/>
      <c r="U331" s="430" t="s">
        <v>711</v>
      </c>
      <c r="V331" s="424"/>
      <c r="W331" s="428" t="s">
        <v>1681</v>
      </c>
      <c r="X331" s="424" t="s">
        <v>1092</v>
      </c>
      <c r="Y331" s="45"/>
      <c r="Z331" s="17"/>
      <c r="AA331" s="89"/>
      <c r="AB331" s="17"/>
      <c r="AC331" s="17"/>
      <c r="AD331" s="17"/>
      <c r="AF331" s="17"/>
    </row>
    <row r="332" spans="1:32" ht="14.25" customHeight="1">
      <c r="A332" s="433" t="s">
        <v>515</v>
      </c>
      <c r="B332" s="443" t="s">
        <v>519</v>
      </c>
      <c r="C332" s="396" t="s">
        <v>528</v>
      </c>
      <c r="D332" s="387" t="s">
        <v>2603</v>
      </c>
      <c r="E332" s="424" t="s">
        <v>1067</v>
      </c>
      <c r="F332" s="424"/>
      <c r="G332" s="424"/>
      <c r="H332" s="424" t="s">
        <v>41</v>
      </c>
      <c r="I332" s="424" t="s">
        <v>2118</v>
      </c>
      <c r="J332" s="424" t="s">
        <v>43</v>
      </c>
      <c r="K332" s="424" t="s">
        <v>697</v>
      </c>
      <c r="L332" s="424" t="s">
        <v>572</v>
      </c>
      <c r="M332" s="424" t="s">
        <v>44</v>
      </c>
      <c r="N332" s="424">
        <v>23.400155999999999</v>
      </c>
      <c r="O332" s="424">
        <v>98.220614999999995</v>
      </c>
      <c r="P332" s="424" t="s">
        <v>573</v>
      </c>
      <c r="Q332" s="424" t="s">
        <v>592</v>
      </c>
      <c r="R332" s="428"/>
      <c r="S332" s="428"/>
      <c r="T332" s="441"/>
      <c r="U332" s="430"/>
      <c r="V332" s="424" t="s">
        <v>698</v>
      </c>
      <c r="W332" s="361" t="s">
        <v>1682</v>
      </c>
      <c r="X332" s="387"/>
      <c r="Y332" s="45"/>
      <c r="Z332" s="17"/>
      <c r="AA332" s="89"/>
      <c r="AB332" s="17"/>
      <c r="AC332" s="17"/>
      <c r="AD332" s="17"/>
      <c r="AF332" s="17"/>
    </row>
    <row r="333" spans="1:32" ht="14.25" customHeight="1">
      <c r="A333" s="433" t="s">
        <v>515</v>
      </c>
      <c r="B333" s="443" t="s">
        <v>519</v>
      </c>
      <c r="C333" s="396" t="s">
        <v>524</v>
      </c>
      <c r="D333" s="387" t="s">
        <v>2633</v>
      </c>
      <c r="E333" s="424" t="s">
        <v>1073</v>
      </c>
      <c r="F333" s="424" t="s">
        <v>1374</v>
      </c>
      <c r="G333" s="424" t="s">
        <v>1375</v>
      </c>
      <c r="H333" s="424" t="s">
        <v>41</v>
      </c>
      <c r="I333" s="424" t="s">
        <v>1041</v>
      </c>
      <c r="J333" s="424" t="s">
        <v>43</v>
      </c>
      <c r="K333" s="424" t="s">
        <v>43</v>
      </c>
      <c r="L333" s="424" t="s">
        <v>572</v>
      </c>
      <c r="M333" s="424" t="s">
        <v>44</v>
      </c>
      <c r="N333" s="424">
        <v>23.463000000000001</v>
      </c>
      <c r="O333" s="424">
        <v>98.248999999999995</v>
      </c>
      <c r="P333" s="424" t="s">
        <v>573</v>
      </c>
      <c r="Q333" s="424" t="s">
        <v>592</v>
      </c>
      <c r="R333" s="428"/>
      <c r="S333" s="428"/>
      <c r="T333" s="441"/>
      <c r="U333" s="430"/>
      <c r="V333" s="424" t="s">
        <v>701</v>
      </c>
      <c r="W333" s="361" t="s">
        <v>1683</v>
      </c>
      <c r="X333" s="387"/>
      <c r="Y333" s="45"/>
      <c r="Z333" s="17"/>
      <c r="AA333" s="89"/>
      <c r="AB333" s="17"/>
      <c r="AC333" s="17"/>
      <c r="AD333" s="17"/>
      <c r="AF333" s="17"/>
    </row>
    <row r="334" spans="1:32" ht="14.25" customHeight="1">
      <c r="A334" s="433" t="s">
        <v>515</v>
      </c>
      <c r="B334" s="443" t="s">
        <v>519</v>
      </c>
      <c r="C334" s="396" t="s">
        <v>846</v>
      </c>
      <c r="D334" s="427"/>
      <c r="E334" s="424"/>
      <c r="F334" s="424"/>
      <c r="G334" s="424"/>
      <c r="H334" s="424"/>
      <c r="I334" s="424"/>
      <c r="J334" s="424" t="s">
        <v>1099</v>
      </c>
      <c r="K334" s="424" t="s">
        <v>43</v>
      </c>
      <c r="L334" s="424" t="s">
        <v>826</v>
      </c>
      <c r="M334" s="424" t="s">
        <v>44</v>
      </c>
      <c r="N334" s="424"/>
      <c r="O334" s="424"/>
      <c r="P334" s="424" t="s">
        <v>573</v>
      </c>
      <c r="Q334" s="424" t="s">
        <v>592</v>
      </c>
      <c r="R334" s="436"/>
      <c r="S334" s="429"/>
      <c r="T334" s="441"/>
      <c r="U334" s="436" t="s">
        <v>823</v>
      </c>
      <c r="V334" s="424" t="s">
        <v>847</v>
      </c>
      <c r="W334" s="428"/>
      <c r="X334" s="427"/>
      <c r="Y334" s="45"/>
      <c r="Z334" s="17"/>
      <c r="AA334" s="89"/>
      <c r="AB334" s="17"/>
      <c r="AC334" s="17"/>
      <c r="AD334" s="17"/>
      <c r="AF334" s="17"/>
    </row>
    <row r="335" spans="1:32" ht="14.25" customHeight="1">
      <c r="A335" s="433" t="s">
        <v>515</v>
      </c>
      <c r="B335" s="443" t="s">
        <v>519</v>
      </c>
      <c r="C335" s="396" t="s">
        <v>531</v>
      </c>
      <c r="D335" s="427" t="s">
        <v>2987</v>
      </c>
      <c r="E335" s="424" t="s">
        <v>1079</v>
      </c>
      <c r="F335" s="424" t="s">
        <v>1377</v>
      </c>
      <c r="G335" s="424" t="s">
        <v>1378</v>
      </c>
      <c r="H335" s="424" t="s">
        <v>41</v>
      </c>
      <c r="I335" s="424" t="s">
        <v>2118</v>
      </c>
      <c r="J335" s="424" t="s">
        <v>43</v>
      </c>
      <c r="K335" s="424" t="s">
        <v>43</v>
      </c>
      <c r="L335" s="424" t="s">
        <v>43</v>
      </c>
      <c r="M335" s="424" t="s">
        <v>44</v>
      </c>
      <c r="N335" s="424">
        <v>23.694130000000001</v>
      </c>
      <c r="O335" s="424">
        <v>97.818979999999996</v>
      </c>
      <c r="P335" s="424" t="s">
        <v>573</v>
      </c>
      <c r="Q335" s="424" t="s">
        <v>592</v>
      </c>
      <c r="R335" s="436">
        <v>57</v>
      </c>
      <c r="S335" s="429">
        <v>300</v>
      </c>
      <c r="T335" s="441"/>
      <c r="U335" s="430"/>
      <c r="V335" s="424" t="s">
        <v>531</v>
      </c>
      <c r="W335" s="361" t="s">
        <v>1684</v>
      </c>
      <c r="X335" s="427"/>
      <c r="Y335" s="45"/>
      <c r="Z335" s="17"/>
      <c r="AA335" s="89"/>
      <c r="AB335" s="17"/>
      <c r="AC335" s="17"/>
      <c r="AD335" s="17"/>
      <c r="AF335" s="17"/>
    </row>
    <row r="336" spans="1:32" ht="14.25" customHeight="1">
      <c r="A336" s="433" t="s">
        <v>515</v>
      </c>
      <c r="B336" s="443" t="s">
        <v>519</v>
      </c>
      <c r="C336" s="396" t="s">
        <v>1618</v>
      </c>
      <c r="D336" s="427" t="s">
        <v>2987</v>
      </c>
      <c r="E336" s="424" t="s">
        <v>2834</v>
      </c>
      <c r="F336" s="424"/>
      <c r="G336" s="424"/>
      <c r="H336" s="424" t="s">
        <v>41</v>
      </c>
      <c r="I336" s="424" t="s">
        <v>1041</v>
      </c>
      <c r="J336" s="424" t="s">
        <v>43</v>
      </c>
      <c r="K336" s="424" t="s">
        <v>43</v>
      </c>
      <c r="L336" s="424" t="s">
        <v>43</v>
      </c>
      <c r="M336" s="424" t="s">
        <v>44</v>
      </c>
      <c r="N336" s="424">
        <v>23.682887999999998</v>
      </c>
      <c r="O336" s="424">
        <v>97.810101000000003</v>
      </c>
      <c r="P336" s="424" t="s">
        <v>573</v>
      </c>
      <c r="Q336" s="424" t="s">
        <v>592</v>
      </c>
      <c r="R336" s="436">
        <v>35</v>
      </c>
      <c r="S336" s="429">
        <v>156</v>
      </c>
      <c r="T336" s="441" t="s">
        <v>612</v>
      </c>
      <c r="U336" s="430"/>
      <c r="V336" s="424"/>
      <c r="W336" s="361" t="s">
        <v>1685</v>
      </c>
      <c r="X336" s="424" t="s">
        <v>1078</v>
      </c>
      <c r="Y336" s="45"/>
      <c r="Z336" s="17"/>
      <c r="AA336" s="89"/>
      <c r="AB336" s="17"/>
      <c r="AC336" s="17"/>
      <c r="AD336" s="17"/>
      <c r="AF336" s="17"/>
    </row>
    <row r="337" spans="1:32" ht="14.25" customHeight="1">
      <c r="A337" s="433" t="s">
        <v>515</v>
      </c>
      <c r="B337" s="443" t="s">
        <v>519</v>
      </c>
      <c r="C337" s="396" t="s">
        <v>2205</v>
      </c>
      <c r="D337" s="427"/>
      <c r="E337" s="424"/>
      <c r="F337" s="424"/>
      <c r="G337" s="424"/>
      <c r="H337" s="424"/>
      <c r="I337" s="424"/>
      <c r="J337" s="424" t="s">
        <v>2098</v>
      </c>
      <c r="K337" s="424" t="s">
        <v>2082</v>
      </c>
      <c r="L337" s="424" t="s">
        <v>2082</v>
      </c>
      <c r="M337" s="424" t="s">
        <v>44</v>
      </c>
      <c r="N337" s="424"/>
      <c r="O337" s="424"/>
      <c r="P337" s="424" t="s">
        <v>1573</v>
      </c>
      <c r="Q337" s="424" t="s">
        <v>2173</v>
      </c>
      <c r="R337" s="436"/>
      <c r="S337" s="429"/>
      <c r="T337" s="441">
        <v>43759</v>
      </c>
      <c r="U337" s="436"/>
      <c r="V337" s="424"/>
      <c r="W337" s="428"/>
      <c r="X337" s="427"/>
      <c r="Y337" s="45"/>
      <c r="Z337" s="17"/>
      <c r="AA337" s="89"/>
      <c r="AB337" s="17"/>
      <c r="AC337" s="17"/>
      <c r="AD337" s="17"/>
      <c r="AF337" s="17"/>
    </row>
    <row r="338" spans="1:32" ht="14.25" customHeight="1">
      <c r="A338" s="433" t="s">
        <v>515</v>
      </c>
      <c r="B338" s="443" t="s">
        <v>519</v>
      </c>
      <c r="C338" s="396" t="s">
        <v>542</v>
      </c>
      <c r="D338" s="427" t="s">
        <v>2987</v>
      </c>
      <c r="E338" s="424" t="s">
        <v>2835</v>
      </c>
      <c r="F338" s="431" t="s">
        <v>1305</v>
      </c>
      <c r="G338" s="424">
        <v>0</v>
      </c>
      <c r="H338" s="424" t="s">
        <v>41</v>
      </c>
      <c r="I338" s="424" t="s">
        <v>1041</v>
      </c>
      <c r="J338" s="424" t="s">
        <v>43</v>
      </c>
      <c r="K338" s="424" t="s">
        <v>697</v>
      </c>
      <c r="L338" s="424" t="s">
        <v>43</v>
      </c>
      <c r="M338" s="424" t="s">
        <v>44</v>
      </c>
      <c r="N338" s="424">
        <v>23.447111</v>
      </c>
      <c r="O338" s="424">
        <v>97.868876999999998</v>
      </c>
      <c r="P338" s="424" t="s">
        <v>573</v>
      </c>
      <c r="Q338" s="424" t="s">
        <v>574</v>
      </c>
      <c r="R338" s="436">
        <v>127</v>
      </c>
      <c r="S338" s="429">
        <v>713</v>
      </c>
      <c r="T338" s="441"/>
      <c r="U338" s="436"/>
      <c r="V338" s="424"/>
      <c r="W338" s="428" t="s">
        <v>1686</v>
      </c>
      <c r="X338" s="424" t="s">
        <v>1069</v>
      </c>
      <c r="Y338" s="45"/>
      <c r="Z338" s="17"/>
      <c r="AA338" s="89"/>
      <c r="AB338" s="17"/>
      <c r="AC338" s="17"/>
      <c r="AD338" s="17"/>
      <c r="AF338" s="17"/>
    </row>
    <row r="339" spans="1:32" ht="14.25" customHeight="1">
      <c r="A339" s="433" t="s">
        <v>515</v>
      </c>
      <c r="B339" s="443" t="s">
        <v>519</v>
      </c>
      <c r="C339" s="396" t="s">
        <v>561</v>
      </c>
      <c r="D339" s="427" t="s">
        <v>2987</v>
      </c>
      <c r="E339" s="424" t="s">
        <v>2836</v>
      </c>
      <c r="F339" s="424" t="s">
        <v>561</v>
      </c>
      <c r="G339" s="424" t="s">
        <v>561</v>
      </c>
      <c r="H339" s="424" t="s">
        <v>41</v>
      </c>
      <c r="I339" s="424" t="s">
        <v>1041</v>
      </c>
      <c r="J339" s="424" t="s">
        <v>43</v>
      </c>
      <c r="K339" s="424" t="s">
        <v>43</v>
      </c>
      <c r="L339" s="424" t="s">
        <v>43</v>
      </c>
      <c r="M339" s="424" t="s">
        <v>44</v>
      </c>
      <c r="N339" s="424">
        <v>23.59</v>
      </c>
      <c r="O339" s="424">
        <v>97.805999999999997</v>
      </c>
      <c r="P339" s="424" t="s">
        <v>573</v>
      </c>
      <c r="Q339" s="424"/>
      <c r="R339" s="436">
        <v>47</v>
      </c>
      <c r="S339" s="429">
        <v>235</v>
      </c>
      <c r="T339" s="441"/>
      <c r="U339" s="436" t="s">
        <v>873</v>
      </c>
      <c r="V339" s="424"/>
      <c r="W339" s="428" t="s">
        <v>1687</v>
      </c>
      <c r="X339" s="424" t="s">
        <v>1492</v>
      </c>
      <c r="Y339" s="45"/>
      <c r="Z339" s="17"/>
      <c r="AA339" s="89"/>
      <c r="AB339" s="17"/>
      <c r="AC339" s="17"/>
      <c r="AD339" s="17"/>
      <c r="AF339" s="17"/>
    </row>
    <row r="340" spans="1:32" ht="14.25" customHeight="1">
      <c r="A340" s="433" t="s">
        <v>515</v>
      </c>
      <c r="B340" s="443" t="s">
        <v>519</v>
      </c>
      <c r="C340" s="396" t="s">
        <v>2216</v>
      </c>
      <c r="D340" s="387"/>
      <c r="E340" s="424"/>
      <c r="F340" s="424"/>
      <c r="G340" s="424"/>
      <c r="H340" s="424"/>
      <c r="I340" s="424"/>
      <c r="J340" s="424" t="s">
        <v>2098</v>
      </c>
      <c r="K340" s="424" t="s">
        <v>2082</v>
      </c>
      <c r="L340" s="424" t="s">
        <v>2082</v>
      </c>
      <c r="M340" s="424" t="s">
        <v>44</v>
      </c>
      <c r="N340" s="424"/>
      <c r="O340" s="424"/>
      <c r="P340" s="424" t="s">
        <v>1573</v>
      </c>
      <c r="Q340" s="424" t="s">
        <v>2173</v>
      </c>
      <c r="R340" s="428"/>
      <c r="S340" s="428"/>
      <c r="T340" s="441">
        <v>43759</v>
      </c>
      <c r="U340" s="430"/>
      <c r="V340" s="439"/>
      <c r="W340" s="361"/>
      <c r="X340" s="387"/>
      <c r="Y340" s="45"/>
      <c r="Z340" s="17"/>
      <c r="AA340" s="89"/>
      <c r="AB340" s="17"/>
      <c r="AC340" s="17"/>
      <c r="AD340" s="17"/>
      <c r="AF340" s="17"/>
    </row>
    <row r="341" spans="1:32" ht="14.25" customHeight="1">
      <c r="A341" s="433" t="s">
        <v>515</v>
      </c>
      <c r="B341" s="443" t="s">
        <v>519</v>
      </c>
      <c r="C341" s="396" t="s">
        <v>2217</v>
      </c>
      <c r="D341" s="427"/>
      <c r="E341" s="424"/>
      <c r="F341" s="424"/>
      <c r="G341" s="424"/>
      <c r="H341" s="424"/>
      <c r="I341" s="424"/>
      <c r="J341" s="424" t="s">
        <v>2098</v>
      </c>
      <c r="K341" s="424" t="s">
        <v>2082</v>
      </c>
      <c r="L341" s="424" t="s">
        <v>2082</v>
      </c>
      <c r="M341" s="424" t="s">
        <v>44</v>
      </c>
      <c r="N341" s="424"/>
      <c r="O341" s="424"/>
      <c r="P341" s="424" t="s">
        <v>1573</v>
      </c>
      <c r="Q341" s="424" t="s">
        <v>2173</v>
      </c>
      <c r="R341" s="436"/>
      <c r="S341" s="429"/>
      <c r="T341" s="441">
        <v>43759</v>
      </c>
      <c r="U341" s="436"/>
      <c r="V341" s="424"/>
      <c r="W341" s="428"/>
      <c r="X341" s="427"/>
      <c r="Y341" s="45"/>
      <c r="Z341" s="17"/>
      <c r="AA341" s="89"/>
      <c r="AB341" s="17"/>
      <c r="AC341" s="17"/>
      <c r="AD341" s="17"/>
      <c r="AF341" s="17"/>
    </row>
    <row r="342" spans="1:32" ht="14.25" customHeight="1">
      <c r="A342" s="433" t="s">
        <v>515</v>
      </c>
      <c r="B342" s="443" t="s">
        <v>519</v>
      </c>
      <c r="C342" s="396" t="s">
        <v>2215</v>
      </c>
      <c r="D342" s="427"/>
      <c r="E342" s="424"/>
      <c r="F342" s="424"/>
      <c r="G342" s="424"/>
      <c r="H342" s="424"/>
      <c r="I342" s="424"/>
      <c r="J342" s="424" t="s">
        <v>2098</v>
      </c>
      <c r="K342" s="424" t="s">
        <v>2082</v>
      </c>
      <c r="L342" s="424" t="s">
        <v>2082</v>
      </c>
      <c r="M342" s="424" t="s">
        <v>44</v>
      </c>
      <c r="N342" s="424"/>
      <c r="O342" s="424"/>
      <c r="P342" s="424" t="s">
        <v>1573</v>
      </c>
      <c r="Q342" s="424" t="s">
        <v>2173</v>
      </c>
      <c r="R342" s="436"/>
      <c r="S342" s="429"/>
      <c r="T342" s="441">
        <v>43759</v>
      </c>
      <c r="U342" s="436"/>
      <c r="V342" s="424"/>
      <c r="W342" s="428"/>
      <c r="X342" s="427"/>
      <c r="Y342" s="45"/>
      <c r="Z342" s="17"/>
      <c r="AA342" s="89"/>
      <c r="AB342" s="17"/>
      <c r="AC342" s="17"/>
      <c r="AD342" s="17"/>
      <c r="AF342" s="17"/>
    </row>
    <row r="343" spans="1:32" ht="14.25" customHeight="1">
      <c r="A343" s="433" t="s">
        <v>515</v>
      </c>
      <c r="B343" s="443" t="s">
        <v>519</v>
      </c>
      <c r="C343" s="396" t="s">
        <v>538</v>
      </c>
      <c r="D343" s="427" t="s">
        <v>2987</v>
      </c>
      <c r="E343" s="424" t="s">
        <v>1066</v>
      </c>
      <c r="F343" s="424" t="s">
        <v>1305</v>
      </c>
      <c r="G343" s="424" t="s">
        <v>1306</v>
      </c>
      <c r="H343" s="424" t="s">
        <v>41</v>
      </c>
      <c r="I343" s="424" t="s">
        <v>2118</v>
      </c>
      <c r="J343" s="424" t="s">
        <v>43</v>
      </c>
      <c r="K343" s="424" t="s">
        <v>697</v>
      </c>
      <c r="L343" s="424" t="s">
        <v>43</v>
      </c>
      <c r="M343" s="424" t="s">
        <v>44</v>
      </c>
      <c r="N343" s="424">
        <v>23.38503</v>
      </c>
      <c r="O343" s="424">
        <v>97.837040000000002</v>
      </c>
      <c r="P343" s="424" t="s">
        <v>573</v>
      </c>
      <c r="Q343" s="424" t="s">
        <v>592</v>
      </c>
      <c r="R343" s="436">
        <v>209</v>
      </c>
      <c r="S343" s="429">
        <v>1084</v>
      </c>
      <c r="T343" s="441"/>
      <c r="U343" s="436"/>
      <c r="V343" s="424" t="s">
        <v>538</v>
      </c>
      <c r="W343" s="428" t="s">
        <v>1688</v>
      </c>
      <c r="X343" s="427"/>
      <c r="Y343" s="45"/>
      <c r="Z343" s="17"/>
      <c r="AA343" s="89"/>
      <c r="AB343" s="17"/>
      <c r="AC343" s="17"/>
      <c r="AD343" s="17"/>
      <c r="AF343" s="17"/>
    </row>
    <row r="344" spans="1:32" ht="14.25" customHeight="1">
      <c r="A344" s="433" t="s">
        <v>515</v>
      </c>
      <c r="B344" s="432" t="s">
        <v>960</v>
      </c>
      <c r="C344" s="433" t="s">
        <v>2239</v>
      </c>
      <c r="D344" s="427"/>
      <c r="E344" s="424"/>
      <c r="F344" s="424"/>
      <c r="G344" s="424"/>
      <c r="H344" s="424"/>
      <c r="I344" s="424"/>
      <c r="J344" s="424" t="s">
        <v>2098</v>
      </c>
      <c r="K344" s="424" t="s">
        <v>2082</v>
      </c>
      <c r="L344" s="424" t="s">
        <v>2082</v>
      </c>
      <c r="M344" s="424" t="s">
        <v>44</v>
      </c>
      <c r="N344" s="424"/>
      <c r="O344" s="424"/>
      <c r="P344" s="424"/>
      <c r="Q344" s="424" t="s">
        <v>2237</v>
      </c>
      <c r="R344" s="436"/>
      <c r="S344" s="429"/>
      <c r="T344" s="441">
        <v>43841</v>
      </c>
      <c r="U344" s="430"/>
      <c r="V344" s="428"/>
      <c r="W344" s="451"/>
      <c r="X344" s="427"/>
      <c r="Y344" s="45"/>
      <c r="Z344" s="17"/>
      <c r="AA344" s="89"/>
      <c r="AB344" s="17"/>
      <c r="AC344" s="17"/>
      <c r="AD344" s="17"/>
      <c r="AF344" s="17"/>
    </row>
    <row r="345" spans="1:32" ht="14.25" customHeight="1">
      <c r="A345" s="433" t="s">
        <v>515</v>
      </c>
      <c r="B345" s="432" t="s">
        <v>960</v>
      </c>
      <c r="C345" s="433" t="s">
        <v>2241</v>
      </c>
      <c r="D345" s="427"/>
      <c r="E345" s="424"/>
      <c r="F345" s="424"/>
      <c r="G345" s="424"/>
      <c r="H345" s="424"/>
      <c r="I345" s="424"/>
      <c r="J345" s="424" t="s">
        <v>2098</v>
      </c>
      <c r="K345" s="426" t="s">
        <v>2082</v>
      </c>
      <c r="L345" s="426" t="s">
        <v>2082</v>
      </c>
      <c r="M345" s="424" t="s">
        <v>44</v>
      </c>
      <c r="N345" s="424"/>
      <c r="O345" s="424"/>
      <c r="P345" s="424"/>
      <c r="Q345" s="424" t="s">
        <v>2237</v>
      </c>
      <c r="R345" s="436"/>
      <c r="S345" s="429"/>
      <c r="T345" s="441">
        <v>43841</v>
      </c>
      <c r="U345" s="430"/>
      <c r="V345" s="424"/>
      <c r="W345" s="428"/>
      <c r="X345" s="427"/>
      <c r="Y345" s="45"/>
      <c r="Z345" s="17"/>
      <c r="AA345" s="89"/>
      <c r="AB345" s="17"/>
      <c r="AC345" s="17"/>
      <c r="AD345" s="17"/>
      <c r="AF345" s="17"/>
    </row>
    <row r="346" spans="1:32" ht="14.25" customHeight="1">
      <c r="A346" s="433" t="s">
        <v>515</v>
      </c>
      <c r="B346" s="432" t="s">
        <v>960</v>
      </c>
      <c r="C346" s="433" t="s">
        <v>2661</v>
      </c>
      <c r="D346" s="427" t="s">
        <v>2987</v>
      </c>
      <c r="E346" s="424" t="s">
        <v>2837</v>
      </c>
      <c r="F346" s="424" t="s">
        <v>2676</v>
      </c>
      <c r="G346" s="424" t="s">
        <v>2677</v>
      </c>
      <c r="H346" s="424"/>
      <c r="I346" s="424" t="s">
        <v>1619</v>
      </c>
      <c r="J346" s="424" t="s">
        <v>43</v>
      </c>
      <c r="K346" s="424" t="s">
        <v>43</v>
      </c>
      <c r="L346" s="424" t="s">
        <v>2591</v>
      </c>
      <c r="M346" s="424" t="s">
        <v>44</v>
      </c>
      <c r="N346" s="424">
        <v>22.325900000000001</v>
      </c>
      <c r="O346" s="424">
        <v>97.021000000000001</v>
      </c>
      <c r="P346" s="424" t="s">
        <v>585</v>
      </c>
      <c r="Q346" s="424" t="s">
        <v>2665</v>
      </c>
      <c r="R346" s="436">
        <v>941</v>
      </c>
      <c r="S346" s="429">
        <v>3558</v>
      </c>
      <c r="T346" s="441">
        <v>44544</v>
      </c>
      <c r="U346" s="436"/>
      <c r="V346" s="424"/>
      <c r="W346" s="428" t="s">
        <v>2678</v>
      </c>
      <c r="X346" s="424" t="s">
        <v>2675</v>
      </c>
      <c r="Y346" s="45"/>
      <c r="Z346" s="17"/>
      <c r="AA346" s="89"/>
      <c r="AB346" s="17"/>
      <c r="AC346" s="17"/>
      <c r="AD346" s="17"/>
      <c r="AF346" s="17"/>
    </row>
    <row r="347" spans="1:32" ht="14.25" customHeight="1">
      <c r="A347" s="429" t="s">
        <v>515</v>
      </c>
      <c r="B347" s="432" t="s">
        <v>960</v>
      </c>
      <c r="C347" s="433" t="s">
        <v>2857</v>
      </c>
      <c r="D347" s="427" t="s">
        <v>2987</v>
      </c>
      <c r="E347" s="424" t="s">
        <v>2851</v>
      </c>
      <c r="F347" s="424" t="s">
        <v>2863</v>
      </c>
      <c r="G347" s="424" t="s">
        <v>2868</v>
      </c>
      <c r="H347" s="424"/>
      <c r="I347" s="424"/>
      <c r="J347" s="424" t="s">
        <v>43</v>
      </c>
      <c r="K347" s="424" t="s">
        <v>43</v>
      </c>
      <c r="L347" s="424" t="s">
        <v>588</v>
      </c>
      <c r="M347" s="424" t="s">
        <v>44</v>
      </c>
      <c r="N347" s="424"/>
      <c r="O347" s="424"/>
      <c r="P347" s="424" t="s">
        <v>573</v>
      </c>
      <c r="Q347" s="424" t="s">
        <v>2874</v>
      </c>
      <c r="R347" s="436">
        <v>7</v>
      </c>
      <c r="S347" s="429">
        <v>25</v>
      </c>
      <c r="T347" s="441">
        <v>44734</v>
      </c>
      <c r="U347" s="430"/>
      <c r="V347" s="428"/>
      <c r="W347" s="428" t="s">
        <v>2871</v>
      </c>
      <c r="X347" s="427"/>
      <c r="Y347" s="45"/>
      <c r="Z347" s="17"/>
      <c r="AA347" s="89"/>
      <c r="AB347" s="17"/>
      <c r="AC347" s="17"/>
      <c r="AD347" s="17"/>
      <c r="AF347" s="17"/>
    </row>
    <row r="348" spans="1:32" ht="14.25" customHeight="1">
      <c r="A348" s="429" t="s">
        <v>515</v>
      </c>
      <c r="B348" s="432" t="s">
        <v>960</v>
      </c>
      <c r="C348" s="396" t="s">
        <v>2858</v>
      </c>
      <c r="D348" s="427" t="s">
        <v>2987</v>
      </c>
      <c r="E348" s="424" t="s">
        <v>2852</v>
      </c>
      <c r="F348" s="426" t="s">
        <v>2864</v>
      </c>
      <c r="G348" s="424" t="s">
        <v>2869</v>
      </c>
      <c r="H348" s="424"/>
      <c r="I348" s="424"/>
      <c r="J348" s="424" t="s">
        <v>43</v>
      </c>
      <c r="K348" s="424" t="s">
        <v>43</v>
      </c>
      <c r="L348" s="424" t="s">
        <v>588</v>
      </c>
      <c r="M348" s="424" t="s">
        <v>44</v>
      </c>
      <c r="N348" s="424"/>
      <c r="O348" s="424"/>
      <c r="P348" s="424" t="s">
        <v>573</v>
      </c>
      <c r="Q348" s="424" t="s">
        <v>2874</v>
      </c>
      <c r="R348" s="436">
        <v>9</v>
      </c>
      <c r="S348" s="429">
        <v>28</v>
      </c>
      <c r="T348" s="441">
        <v>44734</v>
      </c>
      <c r="U348" s="430"/>
      <c r="V348" s="428"/>
      <c r="W348" s="428" t="s">
        <v>2871</v>
      </c>
      <c r="X348" s="427"/>
      <c r="Y348" s="45"/>
      <c r="Z348" s="17"/>
      <c r="AA348" s="89"/>
      <c r="AB348" s="17"/>
      <c r="AC348" s="17"/>
      <c r="AD348" s="17"/>
      <c r="AF348" s="17"/>
    </row>
    <row r="349" spans="1:32" ht="14.25" customHeight="1">
      <c r="A349" s="429" t="s">
        <v>515</v>
      </c>
      <c r="B349" s="432" t="s">
        <v>960</v>
      </c>
      <c r="C349" s="396" t="s">
        <v>2859</v>
      </c>
      <c r="D349" s="427" t="s">
        <v>2987</v>
      </c>
      <c r="E349" s="424" t="s">
        <v>2853</v>
      </c>
      <c r="F349" s="424" t="s">
        <v>2865</v>
      </c>
      <c r="G349" s="424" t="s">
        <v>2870</v>
      </c>
      <c r="H349" s="424"/>
      <c r="I349" s="424"/>
      <c r="J349" s="424" t="s">
        <v>43</v>
      </c>
      <c r="K349" s="424" t="s">
        <v>43</v>
      </c>
      <c r="L349" s="424" t="s">
        <v>588</v>
      </c>
      <c r="M349" s="424" t="s">
        <v>44</v>
      </c>
      <c r="N349" s="424"/>
      <c r="O349" s="424"/>
      <c r="P349" s="424" t="s">
        <v>573</v>
      </c>
      <c r="Q349" s="424" t="s">
        <v>2874</v>
      </c>
      <c r="R349" s="436">
        <v>14</v>
      </c>
      <c r="S349" s="429">
        <v>31</v>
      </c>
      <c r="T349" s="441">
        <v>44734</v>
      </c>
      <c r="U349" s="430"/>
      <c r="V349" s="428"/>
      <c r="W349" s="428" t="s">
        <v>2872</v>
      </c>
      <c r="X349" s="427"/>
      <c r="Y349" s="45"/>
      <c r="Z349" s="17"/>
      <c r="AA349" s="89"/>
      <c r="AB349" s="17"/>
      <c r="AC349" s="17"/>
      <c r="AD349" s="17"/>
      <c r="AF349" s="17"/>
    </row>
    <row r="350" spans="1:32" ht="14.25" customHeight="1">
      <c r="A350" s="433" t="s">
        <v>515</v>
      </c>
      <c r="B350" s="443" t="s">
        <v>960</v>
      </c>
      <c r="C350" s="396" t="s">
        <v>2240</v>
      </c>
      <c r="D350" s="427"/>
      <c r="E350" s="424"/>
      <c r="F350" s="424"/>
      <c r="G350" s="424"/>
      <c r="H350" s="424"/>
      <c r="I350" s="424"/>
      <c r="J350" s="424" t="s">
        <v>2098</v>
      </c>
      <c r="K350" s="424" t="s">
        <v>2082</v>
      </c>
      <c r="L350" s="424" t="s">
        <v>2082</v>
      </c>
      <c r="M350" s="424" t="s">
        <v>44</v>
      </c>
      <c r="N350" s="424"/>
      <c r="O350" s="424"/>
      <c r="P350" s="424"/>
      <c r="Q350" s="424" t="s">
        <v>2237</v>
      </c>
      <c r="R350" s="436"/>
      <c r="S350" s="429"/>
      <c r="T350" s="441">
        <v>43841</v>
      </c>
      <c r="U350" s="436"/>
      <c r="V350" s="426"/>
      <c r="W350" s="428"/>
      <c r="X350" s="427"/>
      <c r="Y350" s="45"/>
      <c r="Z350" s="17"/>
      <c r="AA350" s="89"/>
      <c r="AB350" s="17"/>
      <c r="AC350" s="17"/>
      <c r="AD350" s="17"/>
      <c r="AF350" s="17"/>
    </row>
    <row r="351" spans="1:32" ht="14.25" customHeight="1">
      <c r="A351" s="429" t="s">
        <v>515</v>
      </c>
      <c r="B351" s="443" t="s">
        <v>960</v>
      </c>
      <c r="C351" s="396" t="s">
        <v>2860</v>
      </c>
      <c r="D351" s="427" t="s">
        <v>3077</v>
      </c>
      <c r="E351" s="424" t="s">
        <v>2854</v>
      </c>
      <c r="F351" s="424" t="s">
        <v>2866</v>
      </c>
      <c r="G351" s="424" t="s">
        <v>2866</v>
      </c>
      <c r="H351" s="424"/>
      <c r="I351" s="424"/>
      <c r="J351" s="424" t="s">
        <v>43</v>
      </c>
      <c r="K351" s="424" t="s">
        <v>43</v>
      </c>
      <c r="L351" s="424" t="s">
        <v>572</v>
      </c>
      <c r="M351" s="424" t="s">
        <v>44</v>
      </c>
      <c r="N351" s="424"/>
      <c r="O351" s="424"/>
      <c r="P351" s="424" t="s">
        <v>573</v>
      </c>
      <c r="Q351" s="424" t="s">
        <v>2874</v>
      </c>
      <c r="R351" s="436">
        <v>54</v>
      </c>
      <c r="S351" s="429">
        <v>155</v>
      </c>
      <c r="T351" s="441">
        <v>44734</v>
      </c>
      <c r="U351" s="430"/>
      <c r="V351" s="428"/>
      <c r="W351" s="428" t="s">
        <v>2871</v>
      </c>
      <c r="X351" s="427"/>
      <c r="Y351" s="45"/>
      <c r="Z351" s="17"/>
      <c r="AA351" s="89"/>
      <c r="AB351" s="17"/>
      <c r="AC351" s="17"/>
      <c r="AD351" s="17"/>
      <c r="AF351" s="17"/>
    </row>
    <row r="352" spans="1:32" ht="14.25" customHeight="1">
      <c r="A352" s="429" t="s">
        <v>515</v>
      </c>
      <c r="B352" s="443" t="s">
        <v>960</v>
      </c>
      <c r="C352" s="396" t="s">
        <v>2861</v>
      </c>
      <c r="D352" s="427" t="s">
        <v>2987</v>
      </c>
      <c r="E352" s="424" t="s">
        <v>2855</v>
      </c>
      <c r="F352" s="424" t="s">
        <v>2867</v>
      </c>
      <c r="G352" s="424"/>
      <c r="H352" s="424"/>
      <c r="I352" s="424"/>
      <c r="J352" s="424" t="s">
        <v>43</v>
      </c>
      <c r="K352" s="424" t="s">
        <v>43</v>
      </c>
      <c r="L352" s="424" t="s">
        <v>588</v>
      </c>
      <c r="M352" s="424" t="s">
        <v>44</v>
      </c>
      <c r="N352" s="424"/>
      <c r="O352" s="424"/>
      <c r="P352" s="424" t="s">
        <v>573</v>
      </c>
      <c r="Q352" s="424" t="s">
        <v>2874</v>
      </c>
      <c r="R352" s="436">
        <v>16</v>
      </c>
      <c r="S352" s="429">
        <v>43</v>
      </c>
      <c r="T352" s="441">
        <v>44734</v>
      </c>
      <c r="U352" s="430"/>
      <c r="V352" s="428"/>
      <c r="W352" s="428" t="s">
        <v>2871</v>
      </c>
      <c r="X352" s="427"/>
      <c r="Y352" s="45"/>
      <c r="Z352" s="17"/>
      <c r="AA352" s="89"/>
      <c r="AB352" s="17"/>
      <c r="AC352" s="17"/>
      <c r="AD352" s="17"/>
      <c r="AF352" s="17"/>
    </row>
    <row r="353" spans="1:32" ht="14.25" customHeight="1">
      <c r="A353" s="433" t="s">
        <v>515</v>
      </c>
      <c r="B353" s="443" t="s">
        <v>961</v>
      </c>
      <c r="C353" s="396" t="s">
        <v>2155</v>
      </c>
      <c r="D353" s="427"/>
      <c r="E353" s="424"/>
      <c r="F353" s="424"/>
      <c r="G353" s="424"/>
      <c r="H353" s="424"/>
      <c r="I353" s="424"/>
      <c r="J353" s="424" t="s">
        <v>1099</v>
      </c>
      <c r="K353" s="424" t="s">
        <v>43</v>
      </c>
      <c r="L353" s="424" t="s">
        <v>588</v>
      </c>
      <c r="M353" s="424" t="s">
        <v>44</v>
      </c>
      <c r="N353" s="424"/>
      <c r="O353" s="424"/>
      <c r="P353" s="424" t="s">
        <v>573</v>
      </c>
      <c r="Q353" s="424" t="s">
        <v>2156</v>
      </c>
      <c r="R353" s="436"/>
      <c r="S353" s="429"/>
      <c r="T353" s="441"/>
      <c r="U353" s="436"/>
      <c r="V353" s="424"/>
      <c r="W353" s="428"/>
      <c r="X353" s="427"/>
      <c r="Y353" s="45"/>
      <c r="Z353" s="17"/>
      <c r="AA353" s="89"/>
      <c r="AB353" s="17"/>
      <c r="AC353" s="17"/>
      <c r="AD353" s="17"/>
      <c r="AF353" s="17"/>
    </row>
    <row r="354" spans="1:32" ht="14.25" customHeight="1">
      <c r="A354" s="433" t="s">
        <v>515</v>
      </c>
      <c r="B354" s="432" t="s">
        <v>961</v>
      </c>
      <c r="C354" s="433" t="s">
        <v>1023</v>
      </c>
      <c r="D354" s="427"/>
      <c r="E354" s="424"/>
      <c r="F354" s="424" t="s">
        <v>1471</v>
      </c>
      <c r="G354" s="424"/>
      <c r="H354" s="424"/>
      <c r="I354" s="424"/>
      <c r="J354" s="424" t="s">
        <v>1099</v>
      </c>
      <c r="K354" s="424" t="s">
        <v>43</v>
      </c>
      <c r="L354" s="424" t="s">
        <v>43</v>
      </c>
      <c r="M354" s="424"/>
      <c r="N354" s="424"/>
      <c r="O354" s="424"/>
      <c r="P354" s="424" t="s">
        <v>573</v>
      </c>
      <c r="Q354" s="424"/>
      <c r="R354" s="436"/>
      <c r="S354" s="429"/>
      <c r="T354" s="441"/>
      <c r="U354" s="436"/>
      <c r="V354" s="424"/>
      <c r="W354" s="428"/>
      <c r="X354" s="427"/>
      <c r="Y354" s="45"/>
      <c r="Z354" s="17"/>
      <c r="AA354" s="89"/>
      <c r="AB354" s="17"/>
      <c r="AC354" s="17"/>
      <c r="AD354" s="17"/>
      <c r="AF354" s="17"/>
    </row>
    <row r="355" spans="1:32" ht="14.25" customHeight="1">
      <c r="A355" s="433" t="s">
        <v>515</v>
      </c>
      <c r="B355" s="432" t="s">
        <v>961</v>
      </c>
      <c r="C355" s="433" t="s">
        <v>3002</v>
      </c>
      <c r="D355" s="427" t="s">
        <v>2987</v>
      </c>
      <c r="E355" s="429" t="s">
        <v>3024</v>
      </c>
      <c r="F355" s="424" t="s">
        <v>3042</v>
      </c>
      <c r="G355" s="424" t="s">
        <v>3042</v>
      </c>
      <c r="H355" s="424"/>
      <c r="I355" s="424" t="s">
        <v>3074</v>
      </c>
      <c r="J355" s="424" t="s">
        <v>43</v>
      </c>
      <c r="K355" s="424" t="s">
        <v>43</v>
      </c>
      <c r="L355" s="424" t="s">
        <v>588</v>
      </c>
      <c r="M355" s="424" t="s">
        <v>44</v>
      </c>
      <c r="N355" s="424"/>
      <c r="O355" s="424" t="s">
        <v>3058</v>
      </c>
      <c r="P355" s="424" t="s">
        <v>573</v>
      </c>
      <c r="Q355" s="424" t="s">
        <v>3059</v>
      </c>
      <c r="R355" s="436">
        <v>7</v>
      </c>
      <c r="S355" s="429">
        <v>30</v>
      </c>
      <c r="T355" s="441">
        <v>45009</v>
      </c>
      <c r="U355" s="430" t="s">
        <v>3060</v>
      </c>
      <c r="V355" s="424"/>
      <c r="W355" s="428" t="s">
        <v>3068</v>
      </c>
      <c r="X355" s="427"/>
      <c r="Y355" s="45"/>
      <c r="Z355" s="17"/>
      <c r="AA355" s="89"/>
      <c r="AB355" s="17"/>
      <c r="AC355" s="17"/>
      <c r="AD355" s="17"/>
      <c r="AF355" s="17"/>
    </row>
    <row r="356" spans="1:32" ht="14.25" customHeight="1">
      <c r="A356" s="433" t="s">
        <v>515</v>
      </c>
      <c r="B356" s="432" t="s">
        <v>961</v>
      </c>
      <c r="C356" s="433" t="s">
        <v>2990</v>
      </c>
      <c r="D356" s="427" t="s">
        <v>2987</v>
      </c>
      <c r="E356" s="429" t="s">
        <v>3012</v>
      </c>
      <c r="F356" s="424" t="s">
        <v>3033</v>
      </c>
      <c r="G356" s="424" t="s">
        <v>3047</v>
      </c>
      <c r="H356" s="424"/>
      <c r="I356" s="424" t="s">
        <v>3074</v>
      </c>
      <c r="J356" s="424" t="s">
        <v>43</v>
      </c>
      <c r="K356" s="424" t="s">
        <v>43</v>
      </c>
      <c r="L356" s="424" t="s">
        <v>588</v>
      </c>
      <c r="M356" s="424" t="s">
        <v>44</v>
      </c>
      <c r="N356" s="424">
        <v>22.97711</v>
      </c>
      <c r="O356" s="424">
        <v>97.699299999999994</v>
      </c>
      <c r="P356" s="424" t="s">
        <v>573</v>
      </c>
      <c r="Q356" s="424" t="s">
        <v>3059</v>
      </c>
      <c r="R356" s="436">
        <v>19</v>
      </c>
      <c r="S356" s="429">
        <v>82</v>
      </c>
      <c r="T356" s="441">
        <v>45009</v>
      </c>
      <c r="U356" s="430" t="s">
        <v>3060</v>
      </c>
      <c r="V356" s="424"/>
      <c r="W356" s="428" t="s">
        <v>3061</v>
      </c>
      <c r="X356" s="427"/>
      <c r="Y356" s="45"/>
      <c r="Z356" s="17"/>
      <c r="AA356" s="89"/>
      <c r="AB356" s="17"/>
      <c r="AC356" s="17"/>
      <c r="AD356" s="17"/>
      <c r="AF356" s="17"/>
    </row>
    <row r="357" spans="1:32" ht="14.25" customHeight="1">
      <c r="A357" s="433" t="s">
        <v>515</v>
      </c>
      <c r="B357" s="432" t="s">
        <v>961</v>
      </c>
      <c r="C357" s="433" t="s">
        <v>2157</v>
      </c>
      <c r="D357" s="427"/>
      <c r="E357" s="424"/>
      <c r="F357" s="424"/>
      <c r="G357" s="424"/>
      <c r="H357" s="424"/>
      <c r="I357" s="424"/>
      <c r="J357" s="424" t="s">
        <v>1099</v>
      </c>
      <c r="K357" s="424" t="s">
        <v>43</v>
      </c>
      <c r="L357" s="424" t="s">
        <v>588</v>
      </c>
      <c r="M357" s="424" t="s">
        <v>44</v>
      </c>
      <c r="N357" s="424"/>
      <c r="O357" s="424"/>
      <c r="P357" s="424" t="s">
        <v>573</v>
      </c>
      <c r="Q357" s="424" t="s">
        <v>2156</v>
      </c>
      <c r="R357" s="436"/>
      <c r="S357" s="429"/>
      <c r="T357" s="441">
        <v>43633</v>
      </c>
      <c r="U357" s="436"/>
      <c r="V357" s="424"/>
      <c r="W357" s="428"/>
      <c r="X357" s="427"/>
      <c r="Y357" s="45"/>
      <c r="Z357" s="17"/>
      <c r="AA357" s="89"/>
      <c r="AB357" s="17"/>
      <c r="AC357" s="17"/>
      <c r="AD357" s="17"/>
      <c r="AF357" s="17"/>
    </row>
    <row r="358" spans="1:32" ht="14.25" customHeight="1">
      <c r="A358" s="433" t="s">
        <v>515</v>
      </c>
      <c r="B358" s="432" t="s">
        <v>961</v>
      </c>
      <c r="C358" s="433" t="s">
        <v>2998</v>
      </c>
      <c r="D358" s="427" t="s">
        <v>2987</v>
      </c>
      <c r="E358" s="429" t="s">
        <v>3020</v>
      </c>
      <c r="F358" s="424" t="s">
        <v>3039</v>
      </c>
      <c r="G358" s="424" t="s">
        <v>3054</v>
      </c>
      <c r="H358" s="424"/>
      <c r="I358" s="424" t="s">
        <v>3074</v>
      </c>
      <c r="J358" s="424" t="s">
        <v>43</v>
      </c>
      <c r="K358" s="424" t="s">
        <v>43</v>
      </c>
      <c r="L358" s="424" t="s">
        <v>588</v>
      </c>
      <c r="M358" s="424" t="s">
        <v>44</v>
      </c>
      <c r="N358" s="424"/>
      <c r="O358" s="424" t="s">
        <v>3058</v>
      </c>
      <c r="P358" s="424" t="s">
        <v>573</v>
      </c>
      <c r="Q358" s="424" t="s">
        <v>3059</v>
      </c>
      <c r="R358" s="436">
        <v>20</v>
      </c>
      <c r="S358" s="429">
        <v>61</v>
      </c>
      <c r="T358" s="441">
        <v>45009</v>
      </c>
      <c r="U358" s="430" t="s">
        <v>3060</v>
      </c>
      <c r="V358" s="424"/>
      <c r="W358" s="428" t="s">
        <v>3067</v>
      </c>
      <c r="X358" s="427"/>
      <c r="Y358" s="45"/>
      <c r="Z358" s="17"/>
      <c r="AA358" s="89"/>
      <c r="AB358" s="17"/>
      <c r="AC358" s="17"/>
      <c r="AD358" s="17"/>
      <c r="AF358" s="17"/>
    </row>
    <row r="359" spans="1:32" ht="14.25" customHeight="1">
      <c r="A359" s="433" t="s">
        <v>515</v>
      </c>
      <c r="B359" s="432" t="s">
        <v>961</v>
      </c>
      <c r="C359" s="433" t="s">
        <v>2991</v>
      </c>
      <c r="D359" s="427" t="s">
        <v>2987</v>
      </c>
      <c r="E359" s="433" t="s">
        <v>3013</v>
      </c>
      <c r="F359" s="426" t="s">
        <v>3034</v>
      </c>
      <c r="G359" s="426" t="s">
        <v>3048</v>
      </c>
      <c r="H359" s="426"/>
      <c r="I359" s="426" t="s">
        <v>3074</v>
      </c>
      <c r="J359" s="424" t="s">
        <v>43</v>
      </c>
      <c r="K359" s="424" t="s">
        <v>43</v>
      </c>
      <c r="L359" s="426" t="s">
        <v>588</v>
      </c>
      <c r="M359" s="426" t="s">
        <v>44</v>
      </c>
      <c r="N359" s="426"/>
      <c r="O359" s="426" t="s">
        <v>3058</v>
      </c>
      <c r="P359" s="424" t="s">
        <v>573</v>
      </c>
      <c r="Q359" s="424" t="s">
        <v>3059</v>
      </c>
      <c r="R359" s="436">
        <v>26</v>
      </c>
      <c r="S359" s="429">
        <v>135</v>
      </c>
      <c r="T359" s="441">
        <v>45009</v>
      </c>
      <c r="U359" s="430" t="s">
        <v>3060</v>
      </c>
      <c r="V359" s="426"/>
      <c r="W359" s="432" t="s">
        <v>3061</v>
      </c>
      <c r="X359" s="388"/>
      <c r="Y359" s="45"/>
      <c r="Z359" s="17"/>
      <c r="AA359" s="89"/>
      <c r="AB359" s="17"/>
      <c r="AC359" s="17"/>
      <c r="AD359" s="17"/>
      <c r="AF359" s="17"/>
    </row>
    <row r="360" spans="1:32" ht="14.25" customHeight="1">
      <c r="A360" s="433" t="s">
        <v>515</v>
      </c>
      <c r="B360" s="432" t="s">
        <v>961</v>
      </c>
      <c r="C360" s="433" t="s">
        <v>3001</v>
      </c>
      <c r="D360" s="427" t="s">
        <v>2987</v>
      </c>
      <c r="E360" s="429" t="s">
        <v>3023</v>
      </c>
      <c r="F360" s="424" t="s">
        <v>3041</v>
      </c>
      <c r="G360" s="424" t="s">
        <v>3001</v>
      </c>
      <c r="H360" s="424"/>
      <c r="I360" s="424" t="s">
        <v>3074</v>
      </c>
      <c r="J360" s="424" t="s">
        <v>43</v>
      </c>
      <c r="K360" s="424" t="s">
        <v>43</v>
      </c>
      <c r="L360" s="424" t="s">
        <v>588</v>
      </c>
      <c r="M360" s="424" t="s">
        <v>44</v>
      </c>
      <c r="N360" s="424"/>
      <c r="O360" s="424" t="s">
        <v>3058</v>
      </c>
      <c r="P360" s="424" t="s">
        <v>573</v>
      </c>
      <c r="Q360" s="424" t="s">
        <v>3059</v>
      </c>
      <c r="R360" s="436">
        <v>18</v>
      </c>
      <c r="S360" s="429">
        <v>92</v>
      </c>
      <c r="T360" s="441">
        <v>45009</v>
      </c>
      <c r="U360" s="430" t="s">
        <v>3060</v>
      </c>
      <c r="V360" s="424"/>
      <c r="W360" s="428" t="s">
        <v>3068</v>
      </c>
      <c r="X360" s="427"/>
      <c r="Y360" s="45"/>
      <c r="Z360" s="17"/>
      <c r="AA360" s="89"/>
      <c r="AB360" s="17"/>
      <c r="AC360" s="17"/>
      <c r="AD360" s="17"/>
      <c r="AF360" s="17"/>
    </row>
    <row r="361" spans="1:32" ht="14.25" customHeight="1">
      <c r="A361" s="433" t="s">
        <v>515</v>
      </c>
      <c r="B361" s="432" t="s">
        <v>961</v>
      </c>
      <c r="C361" s="433" t="s">
        <v>2999</v>
      </c>
      <c r="D361" s="427" t="s">
        <v>2987</v>
      </c>
      <c r="E361" s="429" t="s">
        <v>3021</v>
      </c>
      <c r="F361" s="424" t="s">
        <v>3038</v>
      </c>
      <c r="G361" s="424" t="s">
        <v>3039</v>
      </c>
      <c r="H361" s="424"/>
      <c r="I361" s="424" t="s">
        <v>3074</v>
      </c>
      <c r="J361" s="424" t="s">
        <v>43</v>
      </c>
      <c r="K361" s="424" t="s">
        <v>43</v>
      </c>
      <c r="L361" s="424" t="s">
        <v>588</v>
      </c>
      <c r="M361" s="424" t="s">
        <v>44</v>
      </c>
      <c r="N361" s="424"/>
      <c r="O361" s="424" t="s">
        <v>3058</v>
      </c>
      <c r="P361" s="424" t="s">
        <v>573</v>
      </c>
      <c r="Q361" s="424" t="s">
        <v>3059</v>
      </c>
      <c r="R361" s="436">
        <v>92</v>
      </c>
      <c r="S361" s="429">
        <v>451</v>
      </c>
      <c r="T361" s="441">
        <v>45009</v>
      </c>
      <c r="U361" s="430" t="s">
        <v>3060</v>
      </c>
      <c r="V361" s="424"/>
      <c r="W361" s="428" t="s">
        <v>3068</v>
      </c>
      <c r="X361" s="427"/>
      <c r="Y361" s="45"/>
      <c r="Z361" s="17"/>
      <c r="AA361" s="89"/>
      <c r="AB361" s="17"/>
      <c r="AC361" s="17"/>
      <c r="AD361" s="17"/>
      <c r="AF361" s="17"/>
    </row>
    <row r="362" spans="1:32" ht="14.25" customHeight="1">
      <c r="A362" s="433" t="s">
        <v>515</v>
      </c>
      <c r="B362" s="432" t="s">
        <v>961</v>
      </c>
      <c r="C362" s="433" t="s">
        <v>2208</v>
      </c>
      <c r="D362" s="427"/>
      <c r="E362" s="424"/>
      <c r="F362" s="424"/>
      <c r="G362" s="424"/>
      <c r="H362" s="424"/>
      <c r="I362" s="424"/>
      <c r="J362" s="424" t="s">
        <v>2098</v>
      </c>
      <c r="K362" s="424" t="s">
        <v>2082</v>
      </c>
      <c r="L362" s="424" t="s">
        <v>2082</v>
      </c>
      <c r="M362" s="424" t="s">
        <v>44</v>
      </c>
      <c r="N362" s="424"/>
      <c r="O362" s="424"/>
      <c r="P362" s="424" t="s">
        <v>1573</v>
      </c>
      <c r="Q362" s="424" t="s">
        <v>2173</v>
      </c>
      <c r="R362" s="436"/>
      <c r="S362" s="429"/>
      <c r="T362" s="441">
        <v>43759</v>
      </c>
      <c r="U362" s="430"/>
      <c r="V362" s="424"/>
      <c r="W362" s="428"/>
      <c r="X362" s="427"/>
      <c r="Y362" s="45"/>
      <c r="Z362" s="17"/>
      <c r="AA362" s="89"/>
      <c r="AB362" s="17"/>
      <c r="AC362" s="17"/>
      <c r="AD362" s="17"/>
      <c r="AF362" s="17"/>
    </row>
    <row r="363" spans="1:32" ht="14.25" customHeight="1">
      <c r="A363" s="429" t="s">
        <v>515</v>
      </c>
      <c r="B363" s="432" t="s">
        <v>961</v>
      </c>
      <c r="C363" s="433" t="s">
        <v>2207</v>
      </c>
      <c r="D363" s="387"/>
      <c r="E363" s="424"/>
      <c r="F363" s="424"/>
      <c r="G363" s="424"/>
      <c r="H363" s="424"/>
      <c r="I363" s="424"/>
      <c r="J363" s="424" t="s">
        <v>2098</v>
      </c>
      <c r="K363" s="424" t="s">
        <v>2082</v>
      </c>
      <c r="L363" s="424" t="s">
        <v>2082</v>
      </c>
      <c r="M363" s="424" t="s">
        <v>44</v>
      </c>
      <c r="N363" s="424"/>
      <c r="O363" s="424"/>
      <c r="P363" s="424" t="s">
        <v>1573</v>
      </c>
      <c r="Q363" s="424" t="s">
        <v>2173</v>
      </c>
      <c r="R363" s="428"/>
      <c r="S363" s="428"/>
      <c r="T363" s="441">
        <v>43759</v>
      </c>
      <c r="U363" s="430"/>
      <c r="V363" s="428"/>
      <c r="W363" s="428"/>
      <c r="X363" s="387"/>
      <c r="Y363" s="45"/>
      <c r="Z363" s="17"/>
      <c r="AA363" s="89"/>
      <c r="AB363" s="17"/>
      <c r="AC363" s="17"/>
      <c r="AD363" s="17"/>
      <c r="AF363" s="17"/>
    </row>
    <row r="364" spans="1:32" ht="14.25" customHeight="1">
      <c r="A364" s="433" t="s">
        <v>515</v>
      </c>
      <c r="B364" s="432" t="s">
        <v>961</v>
      </c>
      <c r="C364" s="433" t="s">
        <v>2992</v>
      </c>
      <c r="D364" s="427" t="s">
        <v>2987</v>
      </c>
      <c r="E364" s="429" t="s">
        <v>3014</v>
      </c>
      <c r="F364" s="424" t="s">
        <v>3035</v>
      </c>
      <c r="G364" s="424" t="s">
        <v>3049</v>
      </c>
      <c r="H364" s="424"/>
      <c r="I364" s="424" t="s">
        <v>3074</v>
      </c>
      <c r="J364" s="424" t="s">
        <v>43</v>
      </c>
      <c r="K364" s="424" t="s">
        <v>43</v>
      </c>
      <c r="L364" s="424" t="s">
        <v>588</v>
      </c>
      <c r="M364" s="424" t="s">
        <v>44</v>
      </c>
      <c r="N364" s="424"/>
      <c r="O364" s="424" t="s">
        <v>3058</v>
      </c>
      <c r="P364" s="424" t="s">
        <v>573</v>
      </c>
      <c r="Q364" s="424" t="s">
        <v>3059</v>
      </c>
      <c r="R364" s="436">
        <v>18</v>
      </c>
      <c r="S364" s="429">
        <v>123</v>
      </c>
      <c r="T364" s="441">
        <v>45009</v>
      </c>
      <c r="U364" s="430" t="s">
        <v>3060</v>
      </c>
      <c r="V364" s="424"/>
      <c r="W364" s="428" t="s">
        <v>3061</v>
      </c>
      <c r="X364" s="427"/>
      <c r="Y364" s="45"/>
      <c r="Z364" s="17"/>
      <c r="AA364" s="89"/>
      <c r="AB364" s="17"/>
      <c r="AC364" s="17"/>
      <c r="AD364" s="17"/>
      <c r="AF364" s="17"/>
    </row>
    <row r="365" spans="1:32" ht="14.25" customHeight="1">
      <c r="A365" s="429" t="s">
        <v>515</v>
      </c>
      <c r="B365" s="432" t="s">
        <v>961</v>
      </c>
      <c r="C365" s="396" t="s">
        <v>2206</v>
      </c>
      <c r="D365" s="387"/>
      <c r="E365" s="424"/>
      <c r="F365" s="424"/>
      <c r="G365" s="424"/>
      <c r="H365" s="424"/>
      <c r="I365" s="424"/>
      <c r="J365" s="424" t="s">
        <v>2098</v>
      </c>
      <c r="K365" s="424" t="s">
        <v>2082</v>
      </c>
      <c r="L365" s="424" t="s">
        <v>2082</v>
      </c>
      <c r="M365" s="424" t="s">
        <v>44</v>
      </c>
      <c r="N365" s="424"/>
      <c r="O365" s="424"/>
      <c r="P365" s="424" t="s">
        <v>1573</v>
      </c>
      <c r="Q365" s="424" t="s">
        <v>2173</v>
      </c>
      <c r="R365" s="428"/>
      <c r="S365" s="428"/>
      <c r="T365" s="441">
        <v>43759</v>
      </c>
      <c r="U365" s="430"/>
      <c r="V365" s="428"/>
      <c r="W365" s="428"/>
      <c r="X365" s="387"/>
      <c r="Y365" s="45"/>
      <c r="Z365" s="17"/>
      <c r="AA365" s="89"/>
      <c r="AB365" s="17"/>
      <c r="AC365" s="17"/>
      <c r="AD365" s="17"/>
      <c r="AF365" s="17"/>
    </row>
    <row r="366" spans="1:32" ht="14.25" customHeight="1">
      <c r="A366" s="433" t="s">
        <v>515</v>
      </c>
      <c r="B366" s="774" t="s">
        <v>961</v>
      </c>
      <c r="C366" s="976" t="s">
        <v>2210</v>
      </c>
      <c r="D366" s="427"/>
      <c r="E366" s="424"/>
      <c r="F366" s="424"/>
      <c r="G366" s="424"/>
      <c r="H366" s="424"/>
      <c r="I366" s="424"/>
      <c r="J366" s="424" t="s">
        <v>2098</v>
      </c>
      <c r="K366" s="424" t="s">
        <v>2082</v>
      </c>
      <c r="L366" s="424" t="s">
        <v>2082</v>
      </c>
      <c r="M366" s="424" t="s">
        <v>44</v>
      </c>
      <c r="N366" s="424"/>
      <c r="O366" s="424"/>
      <c r="P366" s="424" t="s">
        <v>1573</v>
      </c>
      <c r="Q366" s="424" t="s">
        <v>2173</v>
      </c>
      <c r="R366" s="436"/>
      <c r="S366" s="429"/>
      <c r="T366" s="441">
        <v>43759</v>
      </c>
      <c r="U366" s="436"/>
      <c r="V366" s="424"/>
      <c r="W366" s="428"/>
      <c r="X366" s="427"/>
      <c r="Y366" s="45"/>
      <c r="Z366" s="17"/>
      <c r="AA366" s="89"/>
      <c r="AB366" s="17"/>
      <c r="AC366" s="17"/>
      <c r="AD366" s="17"/>
      <c r="AF366" s="17"/>
    </row>
    <row r="367" spans="1:32" ht="14.25" customHeight="1">
      <c r="A367" s="429" t="s">
        <v>515</v>
      </c>
      <c r="B367" s="432" t="s">
        <v>961</v>
      </c>
      <c r="C367" s="433" t="s">
        <v>1941</v>
      </c>
      <c r="D367" s="387"/>
      <c r="E367" s="424"/>
      <c r="F367" s="424"/>
      <c r="G367" s="424"/>
      <c r="H367" s="424"/>
      <c r="I367" s="424"/>
      <c r="J367" s="424" t="s">
        <v>2098</v>
      </c>
      <c r="K367" s="424" t="s">
        <v>2082</v>
      </c>
      <c r="L367" s="424" t="s">
        <v>2082</v>
      </c>
      <c r="M367" s="424" t="s">
        <v>44</v>
      </c>
      <c r="N367" s="424"/>
      <c r="O367" s="424"/>
      <c r="P367" s="424" t="s">
        <v>1573</v>
      </c>
      <c r="Q367" s="424"/>
      <c r="R367" s="428"/>
      <c r="S367" s="428"/>
      <c r="T367" s="441">
        <v>43759</v>
      </c>
      <c r="U367" s="430"/>
      <c r="V367" s="428"/>
      <c r="W367" s="428"/>
      <c r="X367" s="387"/>
      <c r="Y367" s="45"/>
      <c r="Z367" s="17"/>
      <c r="AA367" s="89"/>
      <c r="AB367" s="17"/>
      <c r="AC367" s="17"/>
      <c r="AD367" s="17"/>
      <c r="AF367" s="17"/>
    </row>
    <row r="368" spans="1:32" ht="14.25" customHeight="1">
      <c r="A368" s="433" t="s">
        <v>515</v>
      </c>
      <c r="B368" s="432" t="s">
        <v>961</v>
      </c>
      <c r="C368" s="433" t="s">
        <v>2997</v>
      </c>
      <c r="D368" s="427" t="s">
        <v>2987</v>
      </c>
      <c r="E368" s="429" t="s">
        <v>3019</v>
      </c>
      <c r="F368" s="424" t="s">
        <v>3038</v>
      </c>
      <c r="G368" s="424" t="s">
        <v>3053</v>
      </c>
      <c r="H368" s="424"/>
      <c r="I368" s="424" t="s">
        <v>3074</v>
      </c>
      <c r="J368" s="424" t="s">
        <v>43</v>
      </c>
      <c r="K368" s="424" t="s">
        <v>43</v>
      </c>
      <c r="L368" s="424" t="s">
        <v>588</v>
      </c>
      <c r="M368" s="424" t="s">
        <v>44</v>
      </c>
      <c r="N368" s="424"/>
      <c r="O368" s="424" t="s">
        <v>3058</v>
      </c>
      <c r="P368" s="424" t="s">
        <v>573</v>
      </c>
      <c r="Q368" s="424" t="s">
        <v>3059</v>
      </c>
      <c r="R368" s="436">
        <v>62</v>
      </c>
      <c r="S368" s="429">
        <v>144</v>
      </c>
      <c r="T368" s="441">
        <v>45009</v>
      </c>
      <c r="U368" s="430" t="s">
        <v>3060</v>
      </c>
      <c r="V368" s="424"/>
      <c r="W368" s="428" t="s">
        <v>3066</v>
      </c>
      <c r="X368" s="427"/>
      <c r="Y368" s="45"/>
      <c r="Z368" s="17"/>
      <c r="AA368" s="89"/>
      <c r="AB368" s="17"/>
      <c r="AC368" s="17"/>
      <c r="AD368" s="17"/>
      <c r="AF368" s="17"/>
    </row>
    <row r="369" spans="1:32" ht="14.25" customHeight="1">
      <c r="A369" s="433" t="s">
        <v>515</v>
      </c>
      <c r="B369" s="452" t="s">
        <v>962</v>
      </c>
      <c r="C369" s="452" t="s">
        <v>2589</v>
      </c>
      <c r="D369" s="427" t="s">
        <v>2987</v>
      </c>
      <c r="E369" s="424" t="s">
        <v>2838</v>
      </c>
      <c r="F369" s="424" t="s">
        <v>2597</v>
      </c>
      <c r="G369" s="424" t="s">
        <v>2601</v>
      </c>
      <c r="H369" s="424"/>
      <c r="I369" s="424"/>
      <c r="J369" s="424" t="s">
        <v>620</v>
      </c>
      <c r="K369" s="424" t="s">
        <v>620</v>
      </c>
      <c r="L369" s="424" t="s">
        <v>2881</v>
      </c>
      <c r="M369" s="424" t="s">
        <v>44</v>
      </c>
      <c r="N369" s="424">
        <v>23.415991000000002</v>
      </c>
      <c r="O369" s="424">
        <v>98.471779999999995</v>
      </c>
      <c r="P369" s="424" t="s">
        <v>573</v>
      </c>
      <c r="Q369" s="424" t="s">
        <v>2592</v>
      </c>
      <c r="R369" s="436">
        <v>219</v>
      </c>
      <c r="S369" s="429">
        <v>653</v>
      </c>
      <c r="T369" s="441">
        <v>44166</v>
      </c>
      <c r="U369" s="436"/>
      <c r="V369" s="424"/>
      <c r="W369" s="428"/>
      <c r="X369" s="424" t="s">
        <v>2582</v>
      </c>
      <c r="Y369" s="45"/>
      <c r="Z369" s="17"/>
      <c r="AA369" s="89"/>
      <c r="AB369" s="17"/>
      <c r="AC369" s="17"/>
      <c r="AD369" s="17"/>
      <c r="AF369" s="17"/>
    </row>
    <row r="370" spans="1:32" ht="14.25" customHeight="1">
      <c r="A370" s="433" t="s">
        <v>515</v>
      </c>
      <c r="B370" s="452" t="s">
        <v>2602</v>
      </c>
      <c r="C370" s="976" t="s">
        <v>2588</v>
      </c>
      <c r="D370" s="427" t="s">
        <v>2987</v>
      </c>
      <c r="E370" s="424" t="s">
        <v>2839</v>
      </c>
      <c r="F370" s="424" t="s">
        <v>2596</v>
      </c>
      <c r="G370" s="424" t="s">
        <v>2600</v>
      </c>
      <c r="H370" s="424"/>
      <c r="I370" s="424"/>
      <c r="J370" s="424" t="s">
        <v>620</v>
      </c>
      <c r="K370" s="424" t="s">
        <v>620</v>
      </c>
      <c r="L370" s="424" t="s">
        <v>2881</v>
      </c>
      <c r="M370" s="424" t="s">
        <v>44</v>
      </c>
      <c r="N370" s="424">
        <v>23.363275999999999</v>
      </c>
      <c r="O370" s="424">
        <v>98.472977999999998</v>
      </c>
      <c r="P370" s="424" t="s">
        <v>573</v>
      </c>
      <c r="Q370" s="424" t="s">
        <v>2592</v>
      </c>
      <c r="R370" s="436">
        <v>657</v>
      </c>
      <c r="S370" s="429">
        <v>2786</v>
      </c>
      <c r="T370" s="441">
        <v>44166</v>
      </c>
      <c r="U370" s="436"/>
      <c r="V370" s="424"/>
      <c r="W370" s="428"/>
      <c r="X370" s="424" t="s">
        <v>2581</v>
      </c>
      <c r="Y370" s="45"/>
      <c r="Z370" s="17"/>
      <c r="AA370" s="89"/>
      <c r="AB370" s="17"/>
      <c r="AC370" s="17"/>
      <c r="AD370" s="17"/>
      <c r="AF370" s="17"/>
    </row>
    <row r="371" spans="1:32" ht="14.25" customHeight="1">
      <c r="A371" s="433" t="s">
        <v>515</v>
      </c>
      <c r="B371" s="452" t="s">
        <v>963</v>
      </c>
      <c r="C371" s="976" t="s">
        <v>2162</v>
      </c>
      <c r="D371" s="427"/>
      <c r="E371" s="424"/>
      <c r="F371" s="424"/>
      <c r="G371" s="424"/>
      <c r="H371" s="424"/>
      <c r="I371" s="424"/>
      <c r="J371" s="424" t="s">
        <v>607</v>
      </c>
      <c r="K371" s="424" t="s">
        <v>607</v>
      </c>
      <c r="L371" s="424" t="s">
        <v>607</v>
      </c>
      <c r="M371" s="424" t="s">
        <v>44</v>
      </c>
      <c r="N371" s="424"/>
      <c r="O371" s="424"/>
      <c r="P371" s="424" t="s">
        <v>608</v>
      </c>
      <c r="Q371" s="424" t="s">
        <v>2156</v>
      </c>
      <c r="R371" s="436"/>
      <c r="S371" s="429"/>
      <c r="T371" s="441">
        <v>43650</v>
      </c>
      <c r="U371" s="436"/>
      <c r="V371" s="424"/>
      <c r="W371" s="428"/>
      <c r="X371" s="427"/>
      <c r="Y371" s="45"/>
      <c r="Z371" s="17"/>
      <c r="AA371" s="89"/>
      <c r="AB371" s="17"/>
      <c r="AC371" s="17"/>
      <c r="AD371" s="17"/>
      <c r="AF371" s="17"/>
    </row>
    <row r="372" spans="1:32" ht="14.25" customHeight="1">
      <c r="A372" s="429" t="s">
        <v>515</v>
      </c>
      <c r="B372" s="443" t="s">
        <v>963</v>
      </c>
      <c r="C372" s="396" t="s">
        <v>2585</v>
      </c>
      <c r="D372" s="427" t="s">
        <v>2987</v>
      </c>
      <c r="E372" s="424" t="s">
        <v>2840</v>
      </c>
      <c r="F372" s="426" t="s">
        <v>2594</v>
      </c>
      <c r="G372" s="424" t="s">
        <v>2598</v>
      </c>
      <c r="H372" s="424"/>
      <c r="I372" s="424"/>
      <c r="J372" s="424" t="s">
        <v>43</v>
      </c>
      <c r="K372" s="424" t="s">
        <v>43</v>
      </c>
      <c r="L372" s="424" t="s">
        <v>2590</v>
      </c>
      <c r="M372" s="424" t="s">
        <v>44</v>
      </c>
      <c r="N372" s="424">
        <v>23.420603</v>
      </c>
      <c r="O372" s="424">
        <v>98.451791999999998</v>
      </c>
      <c r="P372" s="424" t="s">
        <v>573</v>
      </c>
      <c r="Q372" s="424" t="s">
        <v>2592</v>
      </c>
      <c r="R372" s="436">
        <v>166</v>
      </c>
      <c r="S372" s="429">
        <v>830</v>
      </c>
      <c r="T372" s="441">
        <v>44166</v>
      </c>
      <c r="U372" s="430"/>
      <c r="V372" s="428"/>
      <c r="W372" s="428"/>
      <c r="X372" s="424" t="s">
        <v>2578</v>
      </c>
      <c r="Y372" s="45"/>
      <c r="Z372" s="17"/>
      <c r="AA372" s="89"/>
      <c r="AB372" s="17"/>
      <c r="AC372" s="17"/>
      <c r="AD372" s="17"/>
      <c r="AF372" s="17"/>
    </row>
    <row r="373" spans="1:32" ht="14.25" customHeight="1">
      <c r="A373" s="433" t="s">
        <v>515</v>
      </c>
      <c r="B373" s="443" t="s">
        <v>963</v>
      </c>
      <c r="C373" s="396" t="s">
        <v>2160</v>
      </c>
      <c r="D373" s="427"/>
      <c r="E373" s="424"/>
      <c r="F373" s="426"/>
      <c r="G373" s="424"/>
      <c r="H373" s="424"/>
      <c r="I373" s="424"/>
      <c r="J373" s="424" t="s">
        <v>607</v>
      </c>
      <c r="K373" s="424" t="s">
        <v>607</v>
      </c>
      <c r="L373" s="424" t="s">
        <v>607</v>
      </c>
      <c r="M373" s="424" t="s">
        <v>44</v>
      </c>
      <c r="N373" s="424"/>
      <c r="O373" s="424"/>
      <c r="P373" s="424" t="s">
        <v>608</v>
      </c>
      <c r="Q373" s="424" t="s">
        <v>2156</v>
      </c>
      <c r="R373" s="436"/>
      <c r="S373" s="429"/>
      <c r="T373" s="441">
        <v>43650</v>
      </c>
      <c r="U373" s="430"/>
      <c r="V373" s="424"/>
      <c r="W373" s="428"/>
      <c r="X373" s="427"/>
      <c r="Y373" s="45"/>
      <c r="Z373" s="17"/>
      <c r="AA373" s="89"/>
      <c r="AB373" s="17"/>
      <c r="AC373" s="17"/>
      <c r="AD373" s="17"/>
      <c r="AF373" s="17"/>
    </row>
    <row r="374" spans="1:32" ht="14.25" customHeight="1">
      <c r="A374" s="433" t="s">
        <v>515</v>
      </c>
      <c r="B374" s="432" t="s">
        <v>963</v>
      </c>
      <c r="C374" s="433" t="s">
        <v>2161</v>
      </c>
      <c r="D374" s="427"/>
      <c r="E374" s="424"/>
      <c r="F374" s="424"/>
      <c r="G374" s="424"/>
      <c r="H374" s="424"/>
      <c r="I374" s="424"/>
      <c r="J374" s="424" t="s">
        <v>607</v>
      </c>
      <c r="K374" s="424" t="s">
        <v>607</v>
      </c>
      <c r="L374" s="424" t="s">
        <v>607</v>
      </c>
      <c r="M374" s="424" t="s">
        <v>44</v>
      </c>
      <c r="N374" s="424"/>
      <c r="O374" s="424"/>
      <c r="P374" s="424" t="s">
        <v>608</v>
      </c>
      <c r="Q374" s="424" t="s">
        <v>2156</v>
      </c>
      <c r="R374" s="436"/>
      <c r="S374" s="429"/>
      <c r="T374" s="441">
        <v>43650</v>
      </c>
      <c r="U374" s="430"/>
      <c r="V374" s="426"/>
      <c r="W374" s="361"/>
      <c r="X374" s="427"/>
      <c r="Y374" s="45"/>
      <c r="Z374" s="17"/>
      <c r="AA374" s="89"/>
      <c r="AB374" s="17"/>
      <c r="AC374" s="17"/>
      <c r="AD374" s="17"/>
      <c r="AF374" s="17"/>
    </row>
    <row r="375" spans="1:32" ht="14.25" customHeight="1">
      <c r="A375" s="433" t="s">
        <v>515</v>
      </c>
      <c r="B375" s="432" t="s">
        <v>963</v>
      </c>
      <c r="C375" s="433" t="s">
        <v>2163</v>
      </c>
      <c r="D375" s="387"/>
      <c r="E375" s="424"/>
      <c r="F375" s="424"/>
      <c r="G375" s="424"/>
      <c r="H375" s="424"/>
      <c r="I375" s="424"/>
      <c r="J375" s="424" t="s">
        <v>607</v>
      </c>
      <c r="K375" s="424" t="s">
        <v>607</v>
      </c>
      <c r="L375" s="424" t="s">
        <v>607</v>
      </c>
      <c r="M375" s="424" t="s">
        <v>44</v>
      </c>
      <c r="N375" s="424"/>
      <c r="O375" s="424"/>
      <c r="P375" s="424" t="s">
        <v>608</v>
      </c>
      <c r="Q375" s="424" t="s">
        <v>2156</v>
      </c>
      <c r="R375" s="428"/>
      <c r="S375" s="428"/>
      <c r="T375" s="441">
        <v>43650</v>
      </c>
      <c r="U375" s="430"/>
      <c r="V375" s="426"/>
      <c r="W375" s="361"/>
      <c r="X375" s="387"/>
      <c r="Y375" s="45"/>
      <c r="Z375" s="17"/>
      <c r="AA375" s="89"/>
      <c r="AB375" s="17"/>
      <c r="AC375" s="17"/>
      <c r="AD375" s="17"/>
      <c r="AF375" s="17"/>
    </row>
    <row r="376" spans="1:32" ht="14.25" customHeight="1">
      <c r="A376" s="433" t="s">
        <v>515</v>
      </c>
      <c r="B376" s="432" t="s">
        <v>963</v>
      </c>
      <c r="C376" s="433" t="s">
        <v>2586</v>
      </c>
      <c r="D376" s="427" t="s">
        <v>2987</v>
      </c>
      <c r="E376" s="424" t="s">
        <v>2841</v>
      </c>
      <c r="F376" s="424" t="s">
        <v>2595</v>
      </c>
      <c r="G376" s="424" t="s">
        <v>2599</v>
      </c>
      <c r="H376" s="424"/>
      <c r="I376" s="424"/>
      <c r="J376" s="424" t="s">
        <v>43</v>
      </c>
      <c r="K376" s="424" t="s">
        <v>43</v>
      </c>
      <c r="L376" s="424" t="s">
        <v>2590</v>
      </c>
      <c r="M376" s="424" t="s">
        <v>44</v>
      </c>
      <c r="N376" s="424">
        <v>23.729893000000001</v>
      </c>
      <c r="O376" s="424">
        <v>98.779853500000002</v>
      </c>
      <c r="P376" s="424" t="s">
        <v>573</v>
      </c>
      <c r="Q376" s="424" t="s">
        <v>2592</v>
      </c>
      <c r="R376" s="436">
        <v>34</v>
      </c>
      <c r="S376" s="429">
        <v>170</v>
      </c>
      <c r="T376" s="441">
        <v>44166</v>
      </c>
      <c r="U376" s="430"/>
      <c r="V376" s="424"/>
      <c r="W376" s="361"/>
      <c r="X376" s="424" t="s">
        <v>2579</v>
      </c>
      <c r="Y376" s="45"/>
      <c r="Z376" s="17"/>
      <c r="AA376" s="89"/>
      <c r="AB376" s="17"/>
      <c r="AC376" s="17"/>
      <c r="AD376" s="17"/>
      <c r="AF376" s="17"/>
    </row>
    <row r="377" spans="1:32" ht="14.25" customHeight="1">
      <c r="A377" s="433" t="s">
        <v>515</v>
      </c>
      <c r="B377" s="432" t="s">
        <v>522</v>
      </c>
      <c r="C377" s="433" t="s">
        <v>812</v>
      </c>
      <c r="D377" s="427" t="s">
        <v>1299</v>
      </c>
      <c r="E377" s="424"/>
      <c r="F377" s="424"/>
      <c r="G377" s="424"/>
      <c r="H377" s="424"/>
      <c r="I377" s="424"/>
      <c r="J377" s="424" t="s">
        <v>607</v>
      </c>
      <c r="K377" s="424" t="s">
        <v>607</v>
      </c>
      <c r="L377" s="424" t="s">
        <v>607</v>
      </c>
      <c r="M377" s="424"/>
      <c r="N377" s="424"/>
      <c r="O377" s="424"/>
      <c r="P377" s="424" t="s">
        <v>608</v>
      </c>
      <c r="Q377" s="424"/>
      <c r="R377" s="436"/>
      <c r="S377" s="429"/>
      <c r="T377" s="441"/>
      <c r="U377" s="430"/>
      <c r="V377" s="424" t="s">
        <v>813</v>
      </c>
      <c r="W377" s="361"/>
      <c r="X377" s="427"/>
      <c r="Y377" s="45"/>
      <c r="Z377" s="17"/>
      <c r="AA377" s="89"/>
      <c r="AB377" s="17"/>
      <c r="AC377" s="17"/>
      <c r="AD377" s="17"/>
      <c r="AF377" s="17"/>
    </row>
    <row r="378" spans="1:32" ht="14.25" customHeight="1">
      <c r="A378" s="433" t="s">
        <v>515</v>
      </c>
      <c r="B378" s="432" t="s">
        <v>522</v>
      </c>
      <c r="C378" s="433" t="s">
        <v>560</v>
      </c>
      <c r="D378" s="427" t="s">
        <v>1730</v>
      </c>
      <c r="E378" s="424" t="s">
        <v>1042</v>
      </c>
      <c r="F378" s="426">
        <v>0</v>
      </c>
      <c r="G378" s="424">
        <v>0</v>
      </c>
      <c r="H378" s="424"/>
      <c r="I378" s="424" t="s">
        <v>1619</v>
      </c>
      <c r="J378" s="424" t="s">
        <v>43</v>
      </c>
      <c r="K378" s="424" t="s">
        <v>43</v>
      </c>
      <c r="L378" s="424" t="s">
        <v>572</v>
      </c>
      <c r="M378" s="424" t="s">
        <v>44</v>
      </c>
      <c r="N378" s="424"/>
      <c r="O378" s="424"/>
      <c r="P378" s="424" t="s">
        <v>573</v>
      </c>
      <c r="Q378" s="424" t="s">
        <v>574</v>
      </c>
      <c r="R378" s="436"/>
      <c r="S378" s="429"/>
      <c r="T378" s="441"/>
      <c r="U378" s="430" t="s">
        <v>2122</v>
      </c>
      <c r="V378" s="424"/>
      <c r="W378" s="361" t="s">
        <v>1731</v>
      </c>
      <c r="X378" s="427"/>
      <c r="Y378" s="45"/>
      <c r="Z378" s="17"/>
      <c r="AA378" s="89"/>
      <c r="AB378" s="17"/>
      <c r="AC378" s="17"/>
      <c r="AD378" s="17"/>
      <c r="AF378" s="17"/>
    </row>
    <row r="379" spans="1:32" ht="14.25" customHeight="1">
      <c r="A379" s="433" t="s">
        <v>515</v>
      </c>
      <c r="B379" s="443" t="s">
        <v>522</v>
      </c>
      <c r="C379" s="396" t="s">
        <v>548</v>
      </c>
      <c r="D379" s="427" t="s">
        <v>2717</v>
      </c>
      <c r="E379" s="424" t="s">
        <v>1062</v>
      </c>
      <c r="F379" s="424" t="s">
        <v>1321</v>
      </c>
      <c r="G379" s="424" t="s">
        <v>1338</v>
      </c>
      <c r="H379" s="424" t="s">
        <v>41</v>
      </c>
      <c r="I379" s="424" t="s">
        <v>2118</v>
      </c>
      <c r="J379" s="424" t="s">
        <v>43</v>
      </c>
      <c r="K379" s="424" t="s">
        <v>43</v>
      </c>
      <c r="L379" s="424" t="s">
        <v>572</v>
      </c>
      <c r="M379" s="424" t="s">
        <v>44</v>
      </c>
      <c r="N379" s="424">
        <v>23.250678000000001</v>
      </c>
      <c r="O379" s="424">
        <v>97.124403000000001</v>
      </c>
      <c r="P379" s="424" t="s">
        <v>573</v>
      </c>
      <c r="Q379" s="424" t="s">
        <v>592</v>
      </c>
      <c r="R379" s="436"/>
      <c r="S379" s="429"/>
      <c r="T379" s="441"/>
      <c r="U379" s="430"/>
      <c r="V379" s="424" t="s">
        <v>548</v>
      </c>
      <c r="W379" s="361" t="s">
        <v>1689</v>
      </c>
      <c r="X379" s="427"/>
      <c r="Y379" s="90"/>
      <c r="Z379" s="45"/>
      <c r="AA379" s="17"/>
      <c r="AB379" s="89"/>
      <c r="AC379" s="17"/>
      <c r="AD379" s="17"/>
      <c r="AF379" s="17"/>
    </row>
    <row r="380" spans="1:32" ht="14.25" customHeight="1">
      <c r="A380" s="433" t="s">
        <v>515</v>
      </c>
      <c r="B380" s="443" t="s">
        <v>522</v>
      </c>
      <c r="C380" s="396" t="s">
        <v>523</v>
      </c>
      <c r="D380" s="427" t="s">
        <v>3077</v>
      </c>
      <c r="E380" s="424" t="s">
        <v>2842</v>
      </c>
      <c r="F380" s="424" t="s">
        <v>1321</v>
      </c>
      <c r="G380" s="424" t="s">
        <v>1338</v>
      </c>
      <c r="H380" s="424" t="s">
        <v>41</v>
      </c>
      <c r="I380" s="424" t="s">
        <v>1041</v>
      </c>
      <c r="J380" s="424" t="s">
        <v>43</v>
      </c>
      <c r="K380" s="424" t="s">
        <v>43</v>
      </c>
      <c r="L380" s="424" t="s">
        <v>572</v>
      </c>
      <c r="M380" s="424" t="s">
        <v>44</v>
      </c>
      <c r="N380" s="424">
        <v>23.24661</v>
      </c>
      <c r="O380" s="424">
        <v>97.116680000000002</v>
      </c>
      <c r="P380" s="424" t="s">
        <v>573</v>
      </c>
      <c r="Q380" s="424" t="s">
        <v>592</v>
      </c>
      <c r="R380" s="436">
        <v>30</v>
      </c>
      <c r="S380" s="429">
        <v>159</v>
      </c>
      <c r="T380" s="441"/>
      <c r="U380" s="430"/>
      <c r="V380" s="426" t="s">
        <v>523</v>
      </c>
      <c r="W380" s="361" t="s">
        <v>1690</v>
      </c>
      <c r="X380" s="424" t="s">
        <v>1061</v>
      </c>
      <c r="Y380" s="90"/>
      <c r="Z380" s="45"/>
      <c r="AA380" s="17"/>
      <c r="AB380" s="89"/>
      <c r="AC380" s="17"/>
      <c r="AD380" s="17"/>
      <c r="AF380" s="17"/>
    </row>
    <row r="381" spans="1:32" ht="14.25" customHeight="1">
      <c r="A381" s="433" t="s">
        <v>515</v>
      </c>
      <c r="B381" s="443" t="s">
        <v>525</v>
      </c>
      <c r="C381" s="396" t="s">
        <v>571</v>
      </c>
      <c r="D381" s="387" t="s">
        <v>1300</v>
      </c>
      <c r="E381" s="424" t="s">
        <v>1027</v>
      </c>
      <c r="F381" s="424" t="s">
        <v>1311</v>
      </c>
      <c r="G381" s="424" t="s">
        <v>1312</v>
      </c>
      <c r="H381" s="424"/>
      <c r="I381" s="424">
        <v>0</v>
      </c>
      <c r="J381" s="424" t="s">
        <v>43</v>
      </c>
      <c r="K381" s="424" t="s">
        <v>43</v>
      </c>
      <c r="L381" s="424" t="s">
        <v>572</v>
      </c>
      <c r="M381" s="424" t="s">
        <v>44</v>
      </c>
      <c r="N381" s="424"/>
      <c r="O381" s="424"/>
      <c r="P381" s="424" t="s">
        <v>573</v>
      </c>
      <c r="Q381" s="424" t="s">
        <v>574</v>
      </c>
      <c r="R381" s="428">
        <v>0</v>
      </c>
      <c r="S381" s="428">
        <v>0</v>
      </c>
      <c r="T381" s="441">
        <v>42832</v>
      </c>
      <c r="U381" s="430"/>
      <c r="V381" s="424"/>
      <c r="W381" s="361" t="s">
        <v>1691</v>
      </c>
      <c r="X381" s="387"/>
      <c r="Y381" s="90"/>
      <c r="Z381" s="45"/>
      <c r="AA381" s="17"/>
      <c r="AB381" s="89"/>
      <c r="AC381" s="17"/>
      <c r="AD381" s="17"/>
      <c r="AF381" s="17"/>
    </row>
    <row r="382" spans="1:32" ht="14.25" customHeight="1">
      <c r="A382" s="433" t="s">
        <v>515</v>
      </c>
      <c r="B382" s="432" t="s">
        <v>525</v>
      </c>
      <c r="C382" s="433" t="s">
        <v>575</v>
      </c>
      <c r="D382" s="387" t="s">
        <v>1300</v>
      </c>
      <c r="E382" s="424" t="s">
        <v>1028</v>
      </c>
      <c r="F382" s="424" t="s">
        <v>1311</v>
      </c>
      <c r="G382" s="424" t="s">
        <v>1313</v>
      </c>
      <c r="H382" s="424"/>
      <c r="I382" s="424">
        <v>0</v>
      </c>
      <c r="J382" s="424" t="s">
        <v>43</v>
      </c>
      <c r="K382" s="424" t="s">
        <v>43</v>
      </c>
      <c r="L382" s="424" t="s">
        <v>572</v>
      </c>
      <c r="M382" s="424" t="s">
        <v>44</v>
      </c>
      <c r="N382" s="424"/>
      <c r="O382" s="424"/>
      <c r="P382" s="424" t="s">
        <v>573</v>
      </c>
      <c r="Q382" s="424" t="s">
        <v>574</v>
      </c>
      <c r="R382" s="436">
        <v>0</v>
      </c>
      <c r="S382" s="429">
        <v>0</v>
      </c>
      <c r="T382" s="441"/>
      <c r="U382" s="430"/>
      <c r="V382" s="424">
        <v>42920</v>
      </c>
      <c r="W382" s="361" t="s">
        <v>1691</v>
      </c>
      <c r="X382" s="387"/>
      <c r="Y382" s="90"/>
      <c r="Z382" s="45"/>
      <c r="AA382" s="17"/>
      <c r="AB382" s="89"/>
      <c r="AC382" s="17"/>
      <c r="AD382" s="17"/>
      <c r="AF382" s="17"/>
    </row>
    <row r="383" spans="1:32" ht="14.25" customHeight="1">
      <c r="A383" s="433" t="s">
        <v>515</v>
      </c>
      <c r="B383" s="432" t="s">
        <v>525</v>
      </c>
      <c r="C383" s="433" t="s">
        <v>576</v>
      </c>
      <c r="D383" s="427" t="s">
        <v>1300</v>
      </c>
      <c r="E383" s="424" t="s">
        <v>1029</v>
      </c>
      <c r="F383" s="424" t="s">
        <v>1311</v>
      </c>
      <c r="G383" s="424" t="s">
        <v>1313</v>
      </c>
      <c r="H383" s="424"/>
      <c r="I383" s="424">
        <v>0</v>
      </c>
      <c r="J383" s="424" t="s">
        <v>43</v>
      </c>
      <c r="K383" s="424" t="s">
        <v>43</v>
      </c>
      <c r="L383" s="424" t="s">
        <v>572</v>
      </c>
      <c r="M383" s="424" t="s">
        <v>44</v>
      </c>
      <c r="N383" s="424"/>
      <c r="O383" s="424"/>
      <c r="P383" s="424" t="s">
        <v>573</v>
      </c>
      <c r="Q383" s="424" t="s">
        <v>574</v>
      </c>
      <c r="R383" s="436">
        <v>0</v>
      </c>
      <c r="S383" s="429">
        <v>0</v>
      </c>
      <c r="T383" s="441"/>
      <c r="U383" s="430"/>
      <c r="V383" s="424">
        <v>42920</v>
      </c>
      <c r="W383" s="361" t="s">
        <v>1691</v>
      </c>
      <c r="X383" s="427"/>
      <c r="Y383" s="90"/>
      <c r="Z383" s="45"/>
      <c r="AA383" s="17"/>
      <c r="AB383" s="89"/>
      <c r="AC383" s="17"/>
      <c r="AD383" s="17"/>
      <c r="AF383" s="17"/>
    </row>
    <row r="384" spans="1:32" ht="14.25" customHeight="1">
      <c r="A384" s="433" t="s">
        <v>515</v>
      </c>
      <c r="B384" s="432" t="s">
        <v>525</v>
      </c>
      <c r="C384" s="433" t="s">
        <v>2993</v>
      </c>
      <c r="D384" s="427" t="s">
        <v>2987</v>
      </c>
      <c r="E384" s="429" t="s">
        <v>3015</v>
      </c>
      <c r="F384" s="424" t="s">
        <v>3036</v>
      </c>
      <c r="G384" s="424" t="s">
        <v>3050</v>
      </c>
      <c r="H384" s="424"/>
      <c r="I384" s="426" t="s">
        <v>3074</v>
      </c>
      <c r="J384" s="424" t="s">
        <v>43</v>
      </c>
      <c r="K384" s="424" t="s">
        <v>43</v>
      </c>
      <c r="L384" s="424" t="s">
        <v>588</v>
      </c>
      <c r="M384" s="424" t="s">
        <v>44</v>
      </c>
      <c r="N384" s="424"/>
      <c r="O384" s="424" t="s">
        <v>3058</v>
      </c>
      <c r="P384" s="424" t="s">
        <v>573</v>
      </c>
      <c r="Q384" s="424" t="s">
        <v>3059</v>
      </c>
      <c r="R384" s="436">
        <v>11</v>
      </c>
      <c r="S384" s="429">
        <v>32</v>
      </c>
      <c r="T384" s="441">
        <v>45009</v>
      </c>
      <c r="U384" s="430" t="s">
        <v>3060</v>
      </c>
      <c r="V384" s="424"/>
      <c r="W384" s="432" t="s">
        <v>3062</v>
      </c>
      <c r="X384" s="427"/>
      <c r="Y384" s="90"/>
      <c r="Z384" s="45"/>
      <c r="AA384" s="17"/>
      <c r="AB384" s="89"/>
      <c r="AC384" s="17"/>
      <c r="AD384" s="17"/>
      <c r="AF384" s="17"/>
    </row>
    <row r="385" spans="1:32" ht="14.25" customHeight="1">
      <c r="A385" s="433" t="s">
        <v>515</v>
      </c>
      <c r="B385" s="432" t="s">
        <v>525</v>
      </c>
      <c r="C385" s="433" t="s">
        <v>714</v>
      </c>
      <c r="D385" s="427" t="s">
        <v>1300</v>
      </c>
      <c r="E385" s="424" t="s">
        <v>1095</v>
      </c>
      <c r="F385" s="424" t="s">
        <v>1325</v>
      </c>
      <c r="G385" s="424" t="s">
        <v>1326</v>
      </c>
      <c r="H385" s="424"/>
      <c r="I385" s="424">
        <v>0</v>
      </c>
      <c r="J385" s="424" t="s">
        <v>43</v>
      </c>
      <c r="K385" s="424" t="s">
        <v>43</v>
      </c>
      <c r="L385" s="424" t="s">
        <v>572</v>
      </c>
      <c r="M385" s="424" t="s">
        <v>44</v>
      </c>
      <c r="N385" s="424">
        <v>23.917631</v>
      </c>
      <c r="O385" s="424">
        <v>98.116817999999995</v>
      </c>
      <c r="P385" s="424" t="s">
        <v>573</v>
      </c>
      <c r="Q385" s="424" t="s">
        <v>574</v>
      </c>
      <c r="R385" s="436">
        <v>0</v>
      </c>
      <c r="S385" s="429">
        <v>0</v>
      </c>
      <c r="T385" s="441">
        <v>42836</v>
      </c>
      <c r="U385" s="430"/>
      <c r="V385" s="424"/>
      <c r="W385" s="361" t="s">
        <v>1692</v>
      </c>
      <c r="X385" s="427"/>
      <c r="Y385" s="90"/>
      <c r="Z385" s="45"/>
      <c r="AA385" s="17"/>
      <c r="AB385" s="89"/>
      <c r="AC385" s="17"/>
      <c r="AD385" s="17"/>
      <c r="AF385" s="17"/>
    </row>
    <row r="386" spans="1:32" ht="14.25" customHeight="1">
      <c r="A386" s="433" t="s">
        <v>515</v>
      </c>
      <c r="B386" s="432" t="s">
        <v>525</v>
      </c>
      <c r="C386" s="396" t="s">
        <v>555</v>
      </c>
      <c r="D386" s="427" t="s">
        <v>2987</v>
      </c>
      <c r="E386" s="424" t="s">
        <v>2843</v>
      </c>
      <c r="F386" s="424" t="s">
        <v>1457</v>
      </c>
      <c r="G386" s="424" t="s">
        <v>555</v>
      </c>
      <c r="H386" s="424" t="s">
        <v>41</v>
      </c>
      <c r="I386" s="424" t="s">
        <v>2118</v>
      </c>
      <c r="J386" s="424" t="s">
        <v>43</v>
      </c>
      <c r="K386" s="424" t="s">
        <v>43</v>
      </c>
      <c r="L386" s="424" t="s">
        <v>43</v>
      </c>
      <c r="M386" s="424" t="s">
        <v>44</v>
      </c>
      <c r="N386" s="424">
        <v>24.08738</v>
      </c>
      <c r="O386" s="424">
        <v>98.115809999999996</v>
      </c>
      <c r="P386" s="424" t="s">
        <v>573</v>
      </c>
      <c r="Q386" s="424" t="s">
        <v>611</v>
      </c>
      <c r="R386" s="436">
        <v>307</v>
      </c>
      <c r="S386" s="429">
        <v>1581</v>
      </c>
      <c r="T386" s="441" t="s">
        <v>811</v>
      </c>
      <c r="U386" s="430"/>
      <c r="V386" s="424"/>
      <c r="W386" s="361" t="s">
        <v>1676</v>
      </c>
      <c r="X386" s="424" t="s">
        <v>1259</v>
      </c>
      <c r="Y386" s="90"/>
      <c r="Z386" s="45"/>
      <c r="AA386" s="17"/>
      <c r="AB386" s="89"/>
      <c r="AC386" s="17"/>
      <c r="AD386" s="17"/>
      <c r="AF386" s="17"/>
    </row>
    <row r="387" spans="1:32" ht="14.25" customHeight="1">
      <c r="A387" s="433" t="s">
        <v>515</v>
      </c>
      <c r="B387" s="443" t="s">
        <v>525</v>
      </c>
      <c r="C387" s="396" t="s">
        <v>559</v>
      </c>
      <c r="D387" s="427" t="s">
        <v>2256</v>
      </c>
      <c r="E387" s="424" t="s">
        <v>1106</v>
      </c>
      <c r="F387" s="426" t="s">
        <v>555</v>
      </c>
      <c r="G387" s="424" t="s">
        <v>555</v>
      </c>
      <c r="H387" s="424"/>
      <c r="I387" s="424">
        <v>0</v>
      </c>
      <c r="J387" s="424" t="s">
        <v>43</v>
      </c>
      <c r="K387" s="424" t="s">
        <v>43</v>
      </c>
      <c r="L387" s="424" t="s">
        <v>572</v>
      </c>
      <c r="M387" s="424" t="s">
        <v>44</v>
      </c>
      <c r="N387" s="424">
        <v>24.08738</v>
      </c>
      <c r="O387" s="424">
        <v>98.115809999999996</v>
      </c>
      <c r="P387" s="424" t="s">
        <v>573</v>
      </c>
      <c r="Q387" s="424" t="s">
        <v>592</v>
      </c>
      <c r="R387" s="436"/>
      <c r="S387" s="429"/>
      <c r="T387" s="441">
        <v>43276</v>
      </c>
      <c r="U387" s="430" t="s">
        <v>1566</v>
      </c>
      <c r="V387" s="424" t="s">
        <v>559</v>
      </c>
      <c r="W387" s="777" t="s">
        <v>1566</v>
      </c>
      <c r="X387" s="427"/>
      <c r="Y387" s="90"/>
      <c r="Z387" s="45"/>
      <c r="AA387" s="17"/>
      <c r="AB387" s="89"/>
      <c r="AC387" s="17"/>
      <c r="AD387" s="17"/>
      <c r="AF387" s="17"/>
    </row>
    <row r="388" spans="1:32" ht="14.25" customHeight="1">
      <c r="A388" s="433" t="s">
        <v>515</v>
      </c>
      <c r="B388" s="443" t="s">
        <v>525</v>
      </c>
      <c r="C388" s="396" t="s">
        <v>565</v>
      </c>
      <c r="D388" s="387" t="s">
        <v>1300</v>
      </c>
      <c r="E388" s="424" t="s">
        <v>1036</v>
      </c>
      <c r="F388" s="424">
        <v>0</v>
      </c>
      <c r="G388" s="424">
        <v>0</v>
      </c>
      <c r="H388" s="424"/>
      <c r="I388" s="426">
        <v>0</v>
      </c>
      <c r="J388" s="424" t="s">
        <v>43</v>
      </c>
      <c r="K388" s="424" t="s">
        <v>43</v>
      </c>
      <c r="L388" s="424" t="s">
        <v>572</v>
      </c>
      <c r="M388" s="424" t="s">
        <v>44</v>
      </c>
      <c r="N388" s="424"/>
      <c r="O388" s="424"/>
      <c r="P388" s="424" t="s">
        <v>573</v>
      </c>
      <c r="Q388" s="424" t="s">
        <v>574</v>
      </c>
      <c r="R388" s="428">
        <v>0</v>
      </c>
      <c r="S388" s="428">
        <v>0</v>
      </c>
      <c r="T388" s="441"/>
      <c r="U388" s="430"/>
      <c r="V388" s="424">
        <v>42920</v>
      </c>
      <c r="W388" s="978" t="s">
        <v>1691</v>
      </c>
      <c r="X388" s="387"/>
      <c r="Y388" s="90"/>
      <c r="Z388" s="45"/>
      <c r="AA388" s="17"/>
      <c r="AB388" s="89"/>
      <c r="AC388" s="17"/>
      <c r="AD388" s="17"/>
      <c r="AF388" s="17"/>
    </row>
    <row r="389" spans="1:32" ht="14.25" customHeight="1">
      <c r="A389" s="433" t="s">
        <v>515</v>
      </c>
      <c r="B389" s="432" t="s">
        <v>525</v>
      </c>
      <c r="C389" s="433" t="s">
        <v>582</v>
      </c>
      <c r="D389" s="387" t="s">
        <v>1300</v>
      </c>
      <c r="E389" s="424" t="s">
        <v>1037</v>
      </c>
      <c r="F389" s="424" t="s">
        <v>1311</v>
      </c>
      <c r="G389" s="424" t="s">
        <v>1313</v>
      </c>
      <c r="H389" s="424"/>
      <c r="I389" s="424">
        <v>0</v>
      </c>
      <c r="J389" s="424" t="s">
        <v>43</v>
      </c>
      <c r="K389" s="424" t="s">
        <v>43</v>
      </c>
      <c r="L389" s="424" t="s">
        <v>572</v>
      </c>
      <c r="M389" s="424" t="s">
        <v>44</v>
      </c>
      <c r="N389" s="424"/>
      <c r="O389" s="424"/>
      <c r="P389" s="424" t="s">
        <v>573</v>
      </c>
      <c r="Q389" s="424" t="s">
        <v>574</v>
      </c>
      <c r="R389" s="428">
        <v>0</v>
      </c>
      <c r="S389" s="428">
        <v>0</v>
      </c>
      <c r="T389" s="441"/>
      <c r="U389" s="430"/>
      <c r="V389" s="426">
        <v>42920</v>
      </c>
      <c r="W389" s="361" t="s">
        <v>1691</v>
      </c>
      <c r="X389" s="387"/>
      <c r="Y389" s="90"/>
      <c r="Z389" s="45"/>
      <c r="AA389" s="17"/>
      <c r="AB389" s="89"/>
      <c r="AC389" s="17"/>
      <c r="AD389" s="17"/>
      <c r="AF389" s="17"/>
    </row>
    <row r="390" spans="1:32" ht="14.25" customHeight="1">
      <c r="A390" s="433" t="s">
        <v>515</v>
      </c>
      <c r="B390" s="432" t="s">
        <v>525</v>
      </c>
      <c r="C390" s="433" t="s">
        <v>3078</v>
      </c>
      <c r="D390" s="427" t="s">
        <v>2987</v>
      </c>
      <c r="E390" s="975" t="s">
        <v>2823</v>
      </c>
      <c r="F390" s="682" t="s">
        <v>3036</v>
      </c>
      <c r="G390" s="682" t="s">
        <v>3079</v>
      </c>
      <c r="H390" s="424"/>
      <c r="I390" s="426"/>
      <c r="J390" s="424" t="s">
        <v>43</v>
      </c>
      <c r="K390" s="424" t="s">
        <v>43</v>
      </c>
      <c r="L390" s="981" t="s">
        <v>588</v>
      </c>
      <c r="M390" s="424" t="s">
        <v>44</v>
      </c>
      <c r="N390" s="424"/>
      <c r="O390" s="424"/>
      <c r="P390" s="424"/>
      <c r="Q390" s="424" t="s">
        <v>3059</v>
      </c>
      <c r="R390" s="436">
        <v>102</v>
      </c>
      <c r="S390" s="429">
        <v>328</v>
      </c>
      <c r="T390" s="441">
        <v>45009</v>
      </c>
      <c r="U390" s="430" t="s">
        <v>3060</v>
      </c>
      <c r="V390" s="424"/>
      <c r="W390" s="983" t="s">
        <v>3080</v>
      </c>
      <c r="X390" s="427"/>
      <c r="Y390" s="90"/>
      <c r="Z390" s="45"/>
      <c r="AA390" s="17"/>
      <c r="AB390" s="89"/>
      <c r="AC390" s="17"/>
      <c r="AD390" s="17"/>
      <c r="AF390" s="17"/>
    </row>
    <row r="391" spans="1:32" ht="14.25" customHeight="1">
      <c r="A391" s="433" t="s">
        <v>515</v>
      </c>
      <c r="B391" s="432" t="s">
        <v>525</v>
      </c>
      <c r="C391" s="433" t="s">
        <v>2989</v>
      </c>
      <c r="D391" s="427" t="s">
        <v>2987</v>
      </c>
      <c r="E391" s="424" t="s">
        <v>3011</v>
      </c>
      <c r="F391" s="424" t="s">
        <v>3032</v>
      </c>
      <c r="G391" s="424"/>
      <c r="H391" s="424"/>
      <c r="I391" s="776" t="s">
        <v>3074</v>
      </c>
      <c r="J391" s="424" t="s">
        <v>43</v>
      </c>
      <c r="K391" s="424" t="s">
        <v>43</v>
      </c>
      <c r="L391" s="424" t="s">
        <v>588</v>
      </c>
      <c r="M391" s="424" t="s">
        <v>44</v>
      </c>
      <c r="N391" s="424"/>
      <c r="O391" s="424" t="s">
        <v>3058</v>
      </c>
      <c r="P391" s="424" t="s">
        <v>573</v>
      </c>
      <c r="Q391" s="424" t="s">
        <v>3059</v>
      </c>
      <c r="R391" s="436">
        <v>28</v>
      </c>
      <c r="S391" s="429">
        <v>87</v>
      </c>
      <c r="T391" s="441">
        <v>45009</v>
      </c>
      <c r="U391" s="430" t="s">
        <v>3060</v>
      </c>
      <c r="V391" s="428"/>
      <c r="W391" s="432" t="s">
        <v>3061</v>
      </c>
      <c r="X391" s="427"/>
      <c r="Y391" s="90"/>
      <c r="Z391" s="45"/>
      <c r="AA391" s="17"/>
      <c r="AB391" s="89"/>
      <c r="AC391" s="17"/>
      <c r="AD391" s="17"/>
      <c r="AF391" s="17"/>
    </row>
    <row r="392" spans="1:32" ht="14.25" customHeight="1">
      <c r="A392" s="433" t="s">
        <v>515</v>
      </c>
      <c r="B392" s="432" t="s">
        <v>525</v>
      </c>
      <c r="C392" s="433" t="s">
        <v>2659</v>
      </c>
      <c r="D392" s="427" t="s">
        <v>2987</v>
      </c>
      <c r="E392" s="424" t="s">
        <v>2844</v>
      </c>
      <c r="F392" s="426" t="s">
        <v>2680</v>
      </c>
      <c r="G392" s="424" t="s">
        <v>2681</v>
      </c>
      <c r="H392" s="424"/>
      <c r="I392" s="424"/>
      <c r="J392" s="424" t="s">
        <v>43</v>
      </c>
      <c r="K392" s="424" t="s">
        <v>43</v>
      </c>
      <c r="L392" s="424" t="s">
        <v>2591</v>
      </c>
      <c r="M392" s="424" t="s">
        <v>44</v>
      </c>
      <c r="N392" s="424">
        <v>23.963060379028299</v>
      </c>
      <c r="O392" s="424">
        <v>98.127189636230497</v>
      </c>
      <c r="P392" s="424" t="s">
        <v>585</v>
      </c>
      <c r="Q392" s="424" t="s">
        <v>2665</v>
      </c>
      <c r="R392" s="436">
        <v>19</v>
      </c>
      <c r="S392" s="429">
        <v>60</v>
      </c>
      <c r="T392" s="441">
        <v>44544</v>
      </c>
      <c r="U392" s="430"/>
      <c r="V392" s="424"/>
      <c r="W392" s="428" t="s">
        <v>2682</v>
      </c>
      <c r="X392" s="424" t="s">
        <v>2679</v>
      </c>
      <c r="Y392" s="90"/>
      <c r="Z392" s="45"/>
      <c r="AA392" s="17"/>
      <c r="AB392" s="89"/>
      <c r="AC392" s="17"/>
      <c r="AD392" s="17"/>
      <c r="AF392" s="17"/>
    </row>
    <row r="393" spans="1:32" ht="14.25" customHeight="1">
      <c r="A393" s="433" t="s">
        <v>515</v>
      </c>
      <c r="B393" s="443" t="s">
        <v>525</v>
      </c>
      <c r="C393" s="396" t="s">
        <v>722</v>
      </c>
      <c r="D393" s="427" t="s">
        <v>2256</v>
      </c>
      <c r="E393" s="424" t="s">
        <v>1107</v>
      </c>
      <c r="F393" s="424"/>
      <c r="G393" s="424"/>
      <c r="H393" s="424" t="s">
        <v>41</v>
      </c>
      <c r="I393" s="424" t="s">
        <v>141</v>
      </c>
      <c r="J393" s="424" t="s">
        <v>43</v>
      </c>
      <c r="K393" s="424" t="s">
        <v>43</v>
      </c>
      <c r="L393" s="424" t="s">
        <v>43</v>
      </c>
      <c r="M393" s="424" t="s">
        <v>590</v>
      </c>
      <c r="N393" s="424">
        <v>24.101320999999999</v>
      </c>
      <c r="O393" s="424">
        <v>98.320651999999995</v>
      </c>
      <c r="P393" s="424" t="s">
        <v>573</v>
      </c>
      <c r="Q393" s="424"/>
      <c r="R393" s="436">
        <v>0</v>
      </c>
      <c r="S393" s="429">
        <v>0</v>
      </c>
      <c r="T393" s="441"/>
      <c r="U393" s="430"/>
      <c r="V393" s="424" t="s">
        <v>723</v>
      </c>
      <c r="W393" s="777" t="s">
        <v>1693</v>
      </c>
      <c r="X393" s="427"/>
      <c r="Y393" s="90"/>
      <c r="Z393" s="45"/>
      <c r="AA393" s="17"/>
      <c r="AB393" s="89"/>
      <c r="AC393" s="17"/>
      <c r="AD393" s="17"/>
      <c r="AF393" s="17"/>
    </row>
    <row r="394" spans="1:32" ht="14.25" customHeight="1">
      <c r="A394" s="433" t="s">
        <v>515</v>
      </c>
      <c r="B394" s="432" t="s">
        <v>525</v>
      </c>
      <c r="C394" s="433" t="s">
        <v>721</v>
      </c>
      <c r="D394" s="427" t="s">
        <v>1300</v>
      </c>
      <c r="E394" s="424" t="s">
        <v>1104</v>
      </c>
      <c r="F394" s="424" t="s">
        <v>721</v>
      </c>
      <c r="G394" s="424" t="s">
        <v>721</v>
      </c>
      <c r="H394" s="424"/>
      <c r="I394" s="440">
        <v>0</v>
      </c>
      <c r="J394" s="424" t="s">
        <v>43</v>
      </c>
      <c r="K394" s="424" t="s">
        <v>43</v>
      </c>
      <c r="L394" s="424" t="s">
        <v>572</v>
      </c>
      <c r="M394" s="424" t="s">
        <v>590</v>
      </c>
      <c r="N394" s="424">
        <v>24.008452999999999</v>
      </c>
      <c r="O394" s="424">
        <v>98.054946000000001</v>
      </c>
      <c r="P394" s="424" t="s">
        <v>573</v>
      </c>
      <c r="Q394" s="424" t="s">
        <v>592</v>
      </c>
      <c r="R394" s="436">
        <v>0</v>
      </c>
      <c r="S394" s="429">
        <v>0</v>
      </c>
      <c r="T394" s="441"/>
      <c r="U394" s="430"/>
      <c r="V394" s="426" t="s">
        <v>721</v>
      </c>
      <c r="W394" s="777" t="s">
        <v>1694</v>
      </c>
      <c r="X394" s="427"/>
      <c r="Y394" s="90"/>
      <c r="Z394" s="45"/>
      <c r="AA394" s="17"/>
      <c r="AB394" s="89"/>
      <c r="AC394" s="17"/>
      <c r="AD394" s="17"/>
      <c r="AF394" s="17"/>
    </row>
    <row r="395" spans="1:32" ht="14.25" customHeight="1">
      <c r="A395" s="433" t="s">
        <v>515</v>
      </c>
      <c r="B395" s="432" t="s">
        <v>525</v>
      </c>
      <c r="C395" s="433" t="s">
        <v>550</v>
      </c>
      <c r="D395" s="427" t="s">
        <v>2256</v>
      </c>
      <c r="E395" s="424" t="s">
        <v>1102</v>
      </c>
      <c r="F395" s="424" t="s">
        <v>1311</v>
      </c>
      <c r="G395" s="424" t="s">
        <v>1313</v>
      </c>
      <c r="H395" s="424"/>
      <c r="I395" s="440" t="s">
        <v>1619</v>
      </c>
      <c r="J395" s="424" t="s">
        <v>43</v>
      </c>
      <c r="K395" s="424" t="s">
        <v>43</v>
      </c>
      <c r="L395" s="424" t="s">
        <v>572</v>
      </c>
      <c r="M395" s="424" t="s">
        <v>44</v>
      </c>
      <c r="N395" s="424">
        <v>24.006319999999999</v>
      </c>
      <c r="O395" s="424">
        <v>97.909400000000005</v>
      </c>
      <c r="P395" s="424" t="s">
        <v>573</v>
      </c>
      <c r="Q395" s="424" t="s">
        <v>592</v>
      </c>
      <c r="R395" s="436"/>
      <c r="S395" s="429"/>
      <c r="T395" s="441"/>
      <c r="U395" s="430"/>
      <c r="V395" s="424" t="s">
        <v>719</v>
      </c>
      <c r="W395" s="777" t="s">
        <v>1695</v>
      </c>
      <c r="X395" s="427"/>
      <c r="Y395" s="90"/>
      <c r="Z395" s="45"/>
      <c r="AA395" s="17"/>
      <c r="AB395" s="89"/>
      <c r="AC395" s="17"/>
      <c r="AD395" s="17"/>
      <c r="AF395" s="17"/>
    </row>
    <row r="396" spans="1:32" ht="14.25" customHeight="1">
      <c r="A396" s="433" t="s">
        <v>515</v>
      </c>
      <c r="B396" s="432" t="s">
        <v>525</v>
      </c>
      <c r="C396" s="433" t="s">
        <v>526</v>
      </c>
      <c r="D396" s="427" t="s">
        <v>2603</v>
      </c>
      <c r="E396" s="424" t="s">
        <v>1103</v>
      </c>
      <c r="F396" s="424" t="s">
        <v>1311</v>
      </c>
      <c r="G396" s="424" t="s">
        <v>1313</v>
      </c>
      <c r="H396" s="424" t="s">
        <v>41</v>
      </c>
      <c r="I396" s="440" t="s">
        <v>1041</v>
      </c>
      <c r="J396" s="424" t="s">
        <v>43</v>
      </c>
      <c r="K396" s="424" t="s">
        <v>43</v>
      </c>
      <c r="L396" s="424" t="s">
        <v>572</v>
      </c>
      <c r="M396" s="424" t="s">
        <v>44</v>
      </c>
      <c r="N396" s="424">
        <v>24.006789000000001</v>
      </c>
      <c r="O396" s="424">
        <v>97.911647000000002</v>
      </c>
      <c r="P396" s="424" t="s">
        <v>573</v>
      </c>
      <c r="Q396" s="424" t="s">
        <v>592</v>
      </c>
      <c r="R396" s="436"/>
      <c r="S396" s="429"/>
      <c r="T396" s="441"/>
      <c r="U396" s="430"/>
      <c r="V396" s="424" t="s">
        <v>720</v>
      </c>
      <c r="W396" s="777" t="s">
        <v>1696</v>
      </c>
      <c r="X396" s="427"/>
      <c r="Y396" s="90"/>
      <c r="Z396" s="45"/>
      <c r="AA396" s="17"/>
      <c r="AB396" s="89"/>
      <c r="AC396" s="17"/>
      <c r="AD396" s="17"/>
      <c r="AF396" s="17"/>
    </row>
    <row r="397" spans="1:32" ht="14.25" customHeight="1">
      <c r="A397" s="433" t="s">
        <v>515</v>
      </c>
      <c r="B397" s="432" t="s">
        <v>525</v>
      </c>
      <c r="C397" s="450" t="s">
        <v>530</v>
      </c>
      <c r="D397" s="387" t="s">
        <v>1300</v>
      </c>
      <c r="E397" s="424" t="s">
        <v>1045</v>
      </c>
      <c r="F397" s="424" t="s">
        <v>1301</v>
      </c>
      <c r="G397" s="424" t="s">
        <v>1302</v>
      </c>
      <c r="H397" s="424"/>
      <c r="I397" s="440">
        <v>0</v>
      </c>
      <c r="J397" s="424" t="s">
        <v>43</v>
      </c>
      <c r="K397" s="424" t="s">
        <v>43</v>
      </c>
      <c r="L397" s="424" t="s">
        <v>572</v>
      </c>
      <c r="M397" s="424" t="s">
        <v>590</v>
      </c>
      <c r="N397" s="424">
        <v>23.933098999999999</v>
      </c>
      <c r="O397" s="424">
        <v>98.139397000000002</v>
      </c>
      <c r="P397" s="424" t="s">
        <v>573</v>
      </c>
      <c r="Q397" s="424" t="s">
        <v>592</v>
      </c>
      <c r="R397" s="428"/>
      <c r="S397" s="428"/>
      <c r="T397" s="441"/>
      <c r="U397" s="430"/>
      <c r="V397" s="424" t="s">
        <v>530</v>
      </c>
      <c r="W397" s="777" t="s">
        <v>1697</v>
      </c>
      <c r="X397" s="387"/>
      <c r="Y397" s="90"/>
      <c r="Z397" s="45"/>
      <c r="AA397" s="17"/>
      <c r="AB397" s="89"/>
      <c r="AC397" s="17"/>
      <c r="AD397" s="17"/>
      <c r="AF397" s="17"/>
    </row>
    <row r="398" spans="1:32" ht="14.25" customHeight="1">
      <c r="A398" s="433" t="s">
        <v>515</v>
      </c>
      <c r="B398" s="432" t="s">
        <v>525</v>
      </c>
      <c r="C398" s="433" t="s">
        <v>715</v>
      </c>
      <c r="D398" s="427" t="s">
        <v>1300</v>
      </c>
      <c r="E398" s="424" t="s">
        <v>1098</v>
      </c>
      <c r="F398" s="424" t="s">
        <v>1327</v>
      </c>
      <c r="G398" s="424" t="s">
        <v>1328</v>
      </c>
      <c r="H398" s="424"/>
      <c r="I398" s="440">
        <v>0</v>
      </c>
      <c r="J398" s="424" t="s">
        <v>43</v>
      </c>
      <c r="K398" s="424" t="s">
        <v>43</v>
      </c>
      <c r="L398" s="424" t="s">
        <v>572</v>
      </c>
      <c r="M398" s="424" t="s">
        <v>44</v>
      </c>
      <c r="N398" s="424">
        <v>23.978088</v>
      </c>
      <c r="O398" s="424">
        <v>98.129380999999995</v>
      </c>
      <c r="P398" s="424" t="s">
        <v>573</v>
      </c>
      <c r="Q398" s="424" t="s">
        <v>574</v>
      </c>
      <c r="R398" s="436">
        <v>0</v>
      </c>
      <c r="S398" s="429">
        <v>0</v>
      </c>
      <c r="T398" s="441">
        <v>42836</v>
      </c>
      <c r="U398" s="430"/>
      <c r="V398" s="424"/>
      <c r="W398" s="777" t="s">
        <v>1692</v>
      </c>
      <c r="X398" s="427"/>
      <c r="Y398" s="90"/>
      <c r="Z398" s="45"/>
      <c r="AA398" s="17"/>
      <c r="AB398" s="89"/>
      <c r="AC398" s="17"/>
      <c r="AD398" s="17"/>
      <c r="AF398" s="17"/>
    </row>
    <row r="399" spans="1:32" ht="14.25" customHeight="1">
      <c r="A399" s="433" t="s">
        <v>515</v>
      </c>
      <c r="B399" s="432" t="s">
        <v>525</v>
      </c>
      <c r="C399" s="433" t="s">
        <v>594</v>
      </c>
      <c r="D399" s="387" t="s">
        <v>1300</v>
      </c>
      <c r="E399" s="424" t="s">
        <v>1047</v>
      </c>
      <c r="F399" s="424" t="s">
        <v>1317</v>
      </c>
      <c r="G399" s="424" t="s">
        <v>1318</v>
      </c>
      <c r="H399" s="424"/>
      <c r="I399" s="440">
        <v>0</v>
      </c>
      <c r="J399" s="424" t="s">
        <v>43</v>
      </c>
      <c r="K399" s="424" t="s">
        <v>43</v>
      </c>
      <c r="L399" s="424" t="s">
        <v>572</v>
      </c>
      <c r="M399" s="424" t="s">
        <v>44</v>
      </c>
      <c r="N399" s="424"/>
      <c r="O399" s="424"/>
      <c r="P399" s="424" t="s">
        <v>573</v>
      </c>
      <c r="Q399" s="424" t="s">
        <v>574</v>
      </c>
      <c r="R399" s="428">
        <v>0</v>
      </c>
      <c r="S399" s="428">
        <v>0</v>
      </c>
      <c r="T399" s="441">
        <v>42832</v>
      </c>
      <c r="U399" s="430"/>
      <c r="V399" s="424"/>
      <c r="W399" s="777" t="s">
        <v>1691</v>
      </c>
      <c r="X399" s="387"/>
      <c r="Y399" s="90"/>
      <c r="Z399" s="45"/>
      <c r="AA399" s="17"/>
      <c r="AB399" s="89"/>
      <c r="AC399" s="17"/>
      <c r="AD399" s="17"/>
      <c r="AF399" s="17"/>
    </row>
    <row r="400" spans="1:32" ht="14.25" customHeight="1">
      <c r="A400" s="433" t="s">
        <v>515</v>
      </c>
      <c r="B400" s="432" t="s">
        <v>525</v>
      </c>
      <c r="C400" s="433" t="s">
        <v>602</v>
      </c>
      <c r="D400" s="387" t="s">
        <v>1300</v>
      </c>
      <c r="E400" s="424" t="s">
        <v>1052</v>
      </c>
      <c r="F400" s="424" t="s">
        <v>1311</v>
      </c>
      <c r="G400" s="424" t="s">
        <v>1313</v>
      </c>
      <c r="H400" s="424"/>
      <c r="I400" s="440">
        <v>0</v>
      </c>
      <c r="J400" s="424" t="s">
        <v>43</v>
      </c>
      <c r="K400" s="424" t="s">
        <v>43</v>
      </c>
      <c r="L400" s="424" t="s">
        <v>572</v>
      </c>
      <c r="M400" s="424" t="s">
        <v>44</v>
      </c>
      <c r="N400" s="424"/>
      <c r="O400" s="424"/>
      <c r="P400" s="424" t="s">
        <v>573</v>
      </c>
      <c r="Q400" s="424" t="s">
        <v>574</v>
      </c>
      <c r="R400" s="428">
        <v>0</v>
      </c>
      <c r="S400" s="428">
        <v>0</v>
      </c>
      <c r="T400" s="441">
        <v>42832</v>
      </c>
      <c r="U400" s="430"/>
      <c r="V400" s="424"/>
      <c r="W400" s="777" t="s">
        <v>1691</v>
      </c>
      <c r="X400" s="387"/>
      <c r="Y400" s="90"/>
      <c r="Z400" s="45"/>
      <c r="AA400" s="17"/>
      <c r="AB400" s="89"/>
      <c r="AC400" s="17"/>
      <c r="AD400" s="17"/>
      <c r="AF400" s="17"/>
    </row>
    <row r="401" spans="1:32" ht="14.25" customHeight="1">
      <c r="A401" s="429" t="s">
        <v>515</v>
      </c>
      <c r="B401" s="432" t="s">
        <v>525</v>
      </c>
      <c r="C401" s="433" t="s">
        <v>2862</v>
      </c>
      <c r="D401" s="427" t="s">
        <v>2987</v>
      </c>
      <c r="E401" s="424" t="s">
        <v>2856</v>
      </c>
      <c r="F401" s="424" t="s">
        <v>1311</v>
      </c>
      <c r="G401" s="424"/>
      <c r="H401" s="424"/>
      <c r="I401" s="440"/>
      <c r="J401" s="424" t="s">
        <v>43</v>
      </c>
      <c r="K401" s="424" t="s">
        <v>43</v>
      </c>
      <c r="L401" s="424" t="s">
        <v>588</v>
      </c>
      <c r="M401" s="424" t="s">
        <v>44</v>
      </c>
      <c r="N401" s="424"/>
      <c r="O401" s="424"/>
      <c r="P401" s="424" t="s">
        <v>573</v>
      </c>
      <c r="Q401" s="424" t="s">
        <v>2874</v>
      </c>
      <c r="R401" s="436">
        <v>31</v>
      </c>
      <c r="S401" s="429">
        <v>155</v>
      </c>
      <c r="T401" s="441">
        <v>44734</v>
      </c>
      <c r="U401" s="430"/>
      <c r="V401" s="428"/>
      <c r="W401" s="443" t="s">
        <v>2873</v>
      </c>
      <c r="X401" s="427"/>
      <c r="Y401" s="90"/>
      <c r="Z401" s="45"/>
      <c r="AA401" s="17"/>
      <c r="AB401" s="89"/>
      <c r="AC401" s="17"/>
      <c r="AD401" s="17"/>
      <c r="AF401" s="17"/>
    </row>
    <row r="402" spans="1:32" ht="14.25" customHeight="1">
      <c r="A402" s="433" t="s">
        <v>515</v>
      </c>
      <c r="B402" s="432" t="s">
        <v>525</v>
      </c>
      <c r="C402" s="433" t="s">
        <v>2994</v>
      </c>
      <c r="D402" s="427" t="s">
        <v>2987</v>
      </c>
      <c r="E402" s="429" t="s">
        <v>3016</v>
      </c>
      <c r="F402" s="424" t="s">
        <v>3037</v>
      </c>
      <c r="G402" s="424" t="s">
        <v>2994</v>
      </c>
      <c r="H402" s="424"/>
      <c r="I402" s="440" t="s">
        <v>3074</v>
      </c>
      <c r="J402" s="424" t="s">
        <v>43</v>
      </c>
      <c r="K402" s="424" t="s">
        <v>43</v>
      </c>
      <c r="L402" s="424" t="s">
        <v>588</v>
      </c>
      <c r="M402" s="424" t="s">
        <v>44</v>
      </c>
      <c r="N402" s="424"/>
      <c r="O402" s="424" t="s">
        <v>3058</v>
      </c>
      <c r="P402" s="424" t="s">
        <v>573</v>
      </c>
      <c r="Q402" s="424" t="s">
        <v>3059</v>
      </c>
      <c r="R402" s="436">
        <v>33</v>
      </c>
      <c r="S402" s="429">
        <v>130</v>
      </c>
      <c r="T402" s="441">
        <v>45009</v>
      </c>
      <c r="U402" s="430" t="s">
        <v>3060</v>
      </c>
      <c r="V402" s="424"/>
      <c r="W402" s="443" t="s">
        <v>3063</v>
      </c>
      <c r="X402" s="427"/>
      <c r="Y402" s="90"/>
      <c r="Z402" s="45"/>
      <c r="AA402" s="17"/>
      <c r="AB402" s="89"/>
      <c r="AC402" s="17"/>
      <c r="AD402" s="17"/>
      <c r="AF402" s="17"/>
    </row>
    <row r="403" spans="1:32" ht="14.25" customHeight="1">
      <c r="A403" s="433" t="s">
        <v>515</v>
      </c>
      <c r="B403" s="432" t="s">
        <v>525</v>
      </c>
      <c r="C403" s="433" t="s">
        <v>604</v>
      </c>
      <c r="D403" s="387" t="s">
        <v>1300</v>
      </c>
      <c r="E403" s="424" t="s">
        <v>1054</v>
      </c>
      <c r="F403" s="424">
        <v>0</v>
      </c>
      <c r="G403" s="424">
        <v>0</v>
      </c>
      <c r="H403" s="424"/>
      <c r="I403" s="440">
        <v>0</v>
      </c>
      <c r="J403" s="424" t="s">
        <v>43</v>
      </c>
      <c r="K403" s="424" t="s">
        <v>43</v>
      </c>
      <c r="L403" s="424" t="s">
        <v>572</v>
      </c>
      <c r="M403" s="424" t="s">
        <v>44</v>
      </c>
      <c r="N403" s="424"/>
      <c r="O403" s="424"/>
      <c r="P403" s="424" t="s">
        <v>573</v>
      </c>
      <c r="Q403" s="424" t="s">
        <v>574</v>
      </c>
      <c r="R403" s="428">
        <v>0</v>
      </c>
      <c r="S403" s="428">
        <v>0</v>
      </c>
      <c r="T403" s="441">
        <v>42832</v>
      </c>
      <c r="U403" s="430"/>
      <c r="V403" s="424"/>
      <c r="W403" s="777" t="s">
        <v>1691</v>
      </c>
      <c r="X403" s="387"/>
      <c r="Y403" s="90"/>
      <c r="Z403" s="45"/>
      <c r="AA403" s="17"/>
      <c r="AB403" s="89"/>
      <c r="AC403" s="17"/>
      <c r="AD403" s="17"/>
      <c r="AF403" s="17"/>
    </row>
    <row r="404" spans="1:32" ht="14.25" customHeight="1">
      <c r="A404" s="433" t="s">
        <v>515</v>
      </c>
      <c r="B404" s="443" t="s">
        <v>516</v>
      </c>
      <c r="C404" s="979" t="s">
        <v>2828</v>
      </c>
      <c r="D404" s="427" t="s">
        <v>2850</v>
      </c>
      <c r="E404" s="424" t="s">
        <v>2845</v>
      </c>
      <c r="F404" s="424" t="s">
        <v>1322</v>
      </c>
      <c r="G404" s="424" t="s">
        <v>1322</v>
      </c>
      <c r="H404" s="424"/>
      <c r="I404" s="440" t="s">
        <v>1619</v>
      </c>
      <c r="J404" s="424" t="s">
        <v>620</v>
      </c>
      <c r="K404" s="424" t="s">
        <v>620</v>
      </c>
      <c r="L404" s="424" t="s">
        <v>572</v>
      </c>
      <c r="M404" s="424" t="s">
        <v>44</v>
      </c>
      <c r="N404" s="424">
        <v>23.611999999999998</v>
      </c>
      <c r="O404" s="424">
        <v>97.506</v>
      </c>
      <c r="P404" s="424" t="s">
        <v>573</v>
      </c>
      <c r="Q404" s="424" t="s">
        <v>574</v>
      </c>
      <c r="R404" s="436"/>
      <c r="S404" s="429"/>
      <c r="T404" s="441"/>
      <c r="U404" s="430" t="s">
        <v>702</v>
      </c>
      <c r="V404" s="424"/>
      <c r="W404" s="361" t="s">
        <v>1698</v>
      </c>
      <c r="X404" s="424" t="s">
        <v>1076</v>
      </c>
      <c r="Y404" s="90"/>
      <c r="Z404" s="45"/>
      <c r="AA404" s="17"/>
      <c r="AB404" s="89"/>
      <c r="AC404" s="17"/>
      <c r="AD404" s="17"/>
      <c r="AF404" s="17"/>
    </row>
    <row r="405" spans="1:32" ht="14.25" customHeight="1">
      <c r="A405" s="433" t="s">
        <v>515</v>
      </c>
      <c r="B405" s="443" t="s">
        <v>516</v>
      </c>
      <c r="C405" s="396" t="s">
        <v>703</v>
      </c>
      <c r="D405" s="427" t="s">
        <v>1300</v>
      </c>
      <c r="E405" s="424" t="s">
        <v>1077</v>
      </c>
      <c r="F405" s="424" t="s">
        <v>1322</v>
      </c>
      <c r="G405" s="424" t="s">
        <v>1322</v>
      </c>
      <c r="H405" s="424"/>
      <c r="I405" s="424">
        <v>0</v>
      </c>
      <c r="J405" s="424" t="s">
        <v>43</v>
      </c>
      <c r="K405" s="424" t="s">
        <v>43</v>
      </c>
      <c r="L405" s="424" t="s">
        <v>572</v>
      </c>
      <c r="M405" s="424" t="s">
        <v>44</v>
      </c>
      <c r="N405" s="424">
        <v>23.611999999999998</v>
      </c>
      <c r="O405" s="424">
        <v>97.504999999999995</v>
      </c>
      <c r="P405" s="424" t="s">
        <v>573</v>
      </c>
      <c r="Q405" s="424" t="s">
        <v>574</v>
      </c>
      <c r="R405" s="436">
        <v>0</v>
      </c>
      <c r="S405" s="429">
        <v>0</v>
      </c>
      <c r="T405" s="441"/>
      <c r="U405" s="430"/>
      <c r="V405" s="424"/>
      <c r="W405" s="432" t="s">
        <v>1699</v>
      </c>
      <c r="X405" s="427"/>
      <c r="Y405" s="90"/>
      <c r="Z405" s="45"/>
      <c r="AA405" s="17"/>
      <c r="AB405" s="89"/>
      <c r="AC405" s="17"/>
      <c r="AD405" s="17"/>
      <c r="AF405" s="17"/>
    </row>
    <row r="406" spans="1:32" ht="14.25" customHeight="1">
      <c r="A406" s="433" t="s">
        <v>515</v>
      </c>
      <c r="B406" s="432" t="s">
        <v>516</v>
      </c>
      <c r="C406" s="433" t="s">
        <v>527</v>
      </c>
      <c r="D406" s="427" t="s">
        <v>2987</v>
      </c>
      <c r="E406" s="424" t="s">
        <v>1082</v>
      </c>
      <c r="F406" s="424" t="s">
        <v>1315</v>
      </c>
      <c r="G406" s="424" t="s">
        <v>1315</v>
      </c>
      <c r="H406" s="424" t="s">
        <v>41</v>
      </c>
      <c r="I406" s="426" t="s">
        <v>2118</v>
      </c>
      <c r="J406" s="424" t="s">
        <v>43</v>
      </c>
      <c r="K406" s="424" t="s">
        <v>43</v>
      </c>
      <c r="L406" s="424" t="s">
        <v>43</v>
      </c>
      <c r="M406" s="424" t="s">
        <v>44</v>
      </c>
      <c r="N406" s="424">
        <v>23.821380000000001</v>
      </c>
      <c r="O406" s="424">
        <v>97.681970000000007</v>
      </c>
      <c r="P406" s="424" t="s">
        <v>573</v>
      </c>
      <c r="Q406" s="424" t="s">
        <v>592</v>
      </c>
      <c r="R406" s="436">
        <v>89</v>
      </c>
      <c r="S406" s="429">
        <v>405</v>
      </c>
      <c r="T406" s="441"/>
      <c r="U406" s="430"/>
      <c r="V406" s="424" t="s">
        <v>527</v>
      </c>
      <c r="W406" s="978" t="s">
        <v>1700</v>
      </c>
      <c r="X406" s="427"/>
      <c r="Y406" s="90"/>
      <c r="Z406" s="45"/>
      <c r="AA406" s="17"/>
      <c r="AB406" s="89"/>
      <c r="AC406" s="17"/>
      <c r="AD406" s="17"/>
      <c r="AF406" s="17"/>
    </row>
    <row r="407" spans="1:32" ht="14.25" customHeight="1">
      <c r="A407" s="429" t="s">
        <v>515</v>
      </c>
      <c r="B407" s="432" t="s">
        <v>516</v>
      </c>
      <c r="C407" s="433" t="s">
        <v>562</v>
      </c>
      <c r="D407" s="427" t="s">
        <v>2987</v>
      </c>
      <c r="E407" s="424" t="s">
        <v>1085</v>
      </c>
      <c r="F407" s="424" t="s">
        <v>1315</v>
      </c>
      <c r="G407" s="424" t="s">
        <v>1315</v>
      </c>
      <c r="H407" s="424" t="s">
        <v>41</v>
      </c>
      <c r="I407" s="426" t="s">
        <v>2118</v>
      </c>
      <c r="J407" s="424" t="s">
        <v>43</v>
      </c>
      <c r="K407" s="424" t="s">
        <v>43</v>
      </c>
      <c r="L407" s="424" t="s">
        <v>43</v>
      </c>
      <c r="M407" s="424" t="s">
        <v>44</v>
      </c>
      <c r="N407" s="424">
        <v>23.828520000000001</v>
      </c>
      <c r="O407" s="424">
        <v>97.669557999999995</v>
      </c>
      <c r="P407" s="424" t="s">
        <v>573</v>
      </c>
      <c r="Q407" s="424" t="s">
        <v>592</v>
      </c>
      <c r="R407" s="436">
        <v>72</v>
      </c>
      <c r="S407" s="429">
        <v>355</v>
      </c>
      <c r="T407" s="441"/>
      <c r="U407" s="436"/>
      <c r="V407" s="424" t="s">
        <v>562</v>
      </c>
      <c r="W407" s="432" t="s">
        <v>1701</v>
      </c>
      <c r="X407" s="427"/>
      <c r="Y407" s="90"/>
      <c r="Z407" s="45"/>
      <c r="AA407" s="17"/>
      <c r="AB407" s="89"/>
      <c r="AC407" s="17"/>
      <c r="AD407" s="17"/>
      <c r="AF407" s="17"/>
    </row>
    <row r="408" spans="1:32" ht="14.25" customHeight="1">
      <c r="A408" s="429" t="s">
        <v>515</v>
      </c>
      <c r="B408" s="432" t="s">
        <v>516</v>
      </c>
      <c r="C408" s="433" t="s">
        <v>551</v>
      </c>
      <c r="D408" s="427" t="s">
        <v>2717</v>
      </c>
      <c r="E408" s="424" t="s">
        <v>1091</v>
      </c>
      <c r="F408" s="424" t="s">
        <v>1315</v>
      </c>
      <c r="G408" s="424" t="s">
        <v>1315</v>
      </c>
      <c r="H408" s="424" t="s">
        <v>41</v>
      </c>
      <c r="I408" s="426" t="s">
        <v>2118</v>
      </c>
      <c r="J408" s="424" t="s">
        <v>43</v>
      </c>
      <c r="K408" s="424" t="s">
        <v>43</v>
      </c>
      <c r="L408" s="424" t="s">
        <v>572</v>
      </c>
      <c r="M408" s="424" t="s">
        <v>44</v>
      </c>
      <c r="N408" s="424">
        <v>23.841646999999998</v>
      </c>
      <c r="O408" s="424">
        <v>97.700940000000003</v>
      </c>
      <c r="P408" s="424" t="s">
        <v>573</v>
      </c>
      <c r="Q408" s="424" t="s">
        <v>592</v>
      </c>
      <c r="R408" s="436"/>
      <c r="S408" s="429"/>
      <c r="T408" s="441"/>
      <c r="U408" s="436"/>
      <c r="V408" s="424" t="s">
        <v>710</v>
      </c>
      <c r="W408" s="432" t="s">
        <v>1702</v>
      </c>
      <c r="X408" s="427"/>
      <c r="Y408" s="90"/>
      <c r="Z408" s="45"/>
      <c r="AA408" s="17"/>
      <c r="AB408" s="89"/>
      <c r="AC408" s="17"/>
      <c r="AD408" s="17"/>
      <c r="AF408" s="17"/>
    </row>
    <row r="409" spans="1:32" ht="14.25" customHeight="1">
      <c r="A409" s="429" t="s">
        <v>515</v>
      </c>
      <c r="B409" s="432" t="s">
        <v>516</v>
      </c>
      <c r="C409" s="977" t="s">
        <v>517</v>
      </c>
      <c r="D409" s="427" t="s">
        <v>2987</v>
      </c>
      <c r="E409" s="424" t="s">
        <v>1084</v>
      </c>
      <c r="F409" s="424" t="s">
        <v>1315</v>
      </c>
      <c r="G409" s="424" t="s">
        <v>1315</v>
      </c>
      <c r="H409" s="424" t="s">
        <v>41</v>
      </c>
      <c r="I409" s="426" t="s">
        <v>1041</v>
      </c>
      <c r="J409" s="424" t="s">
        <v>43</v>
      </c>
      <c r="K409" s="424" t="s">
        <v>43</v>
      </c>
      <c r="L409" s="424" t="s">
        <v>43</v>
      </c>
      <c r="M409" s="424" t="s">
        <v>44</v>
      </c>
      <c r="N409" s="424">
        <v>23.828150000000001</v>
      </c>
      <c r="O409" s="424">
        <v>97.670360000000002</v>
      </c>
      <c r="P409" s="424" t="s">
        <v>573</v>
      </c>
      <c r="Q409" s="424" t="s">
        <v>592</v>
      </c>
      <c r="R409" s="436">
        <v>44</v>
      </c>
      <c r="S409" s="429">
        <v>221</v>
      </c>
      <c r="T409" s="441"/>
      <c r="U409" s="430"/>
      <c r="V409" s="428" t="s">
        <v>517</v>
      </c>
      <c r="W409" s="977" t="s">
        <v>1703</v>
      </c>
      <c r="X409" s="427"/>
      <c r="Y409" s="90"/>
      <c r="Z409" s="45"/>
      <c r="AA409" s="17"/>
      <c r="AB409" s="89"/>
      <c r="AC409" s="17"/>
      <c r="AD409" s="17"/>
      <c r="AF409" s="17"/>
    </row>
    <row r="410" spans="1:32" ht="14.25" customHeight="1">
      <c r="A410" s="396" t="s">
        <v>515</v>
      </c>
      <c r="B410" s="443" t="s">
        <v>516</v>
      </c>
      <c r="C410" s="396" t="s">
        <v>591</v>
      </c>
      <c r="D410" s="387" t="s">
        <v>1300</v>
      </c>
      <c r="E410" s="424" t="s">
        <v>1044</v>
      </c>
      <c r="F410" s="426" t="s">
        <v>1315</v>
      </c>
      <c r="G410" s="424" t="s">
        <v>1315</v>
      </c>
      <c r="H410" s="424"/>
      <c r="I410" s="426">
        <v>0</v>
      </c>
      <c r="J410" s="424" t="s">
        <v>43</v>
      </c>
      <c r="K410" s="424" t="s">
        <v>43</v>
      </c>
      <c r="L410" s="424" t="s">
        <v>572</v>
      </c>
      <c r="M410" s="424" t="s">
        <v>590</v>
      </c>
      <c r="N410" s="424"/>
      <c r="O410" s="424"/>
      <c r="P410" s="424" t="s">
        <v>573</v>
      </c>
      <c r="Q410" s="424"/>
      <c r="R410" s="428">
        <v>0</v>
      </c>
      <c r="S410" s="428">
        <v>0</v>
      </c>
      <c r="T410" s="441"/>
      <c r="U410" s="430"/>
      <c r="V410" s="424" t="s">
        <v>591</v>
      </c>
      <c r="W410" s="978" t="s">
        <v>1704</v>
      </c>
      <c r="X410" s="387"/>
      <c r="Y410" s="90"/>
      <c r="Z410" s="45"/>
      <c r="AA410" s="17"/>
      <c r="AB410" s="89"/>
      <c r="AC410" s="17"/>
      <c r="AD410" s="17"/>
      <c r="AF410" s="17"/>
    </row>
    <row r="411" spans="1:32" ht="14.25" customHeight="1">
      <c r="A411" s="396" t="s">
        <v>515</v>
      </c>
      <c r="B411" s="443" t="s">
        <v>516</v>
      </c>
      <c r="C411" s="396" t="s">
        <v>553</v>
      </c>
      <c r="D411" s="427" t="s">
        <v>2650</v>
      </c>
      <c r="E411" s="424" t="s">
        <v>1090</v>
      </c>
      <c r="F411" s="426" t="s">
        <v>1379</v>
      </c>
      <c r="G411" s="424" t="s">
        <v>1368</v>
      </c>
      <c r="H411" s="424" t="s">
        <v>41</v>
      </c>
      <c r="I411" s="426" t="s">
        <v>2118</v>
      </c>
      <c r="J411" s="424" t="s">
        <v>43</v>
      </c>
      <c r="K411" s="424" t="s">
        <v>43</v>
      </c>
      <c r="L411" s="424" t="s">
        <v>572</v>
      </c>
      <c r="M411" s="424" t="s">
        <v>44</v>
      </c>
      <c r="N411" s="424">
        <v>23.838190000000001</v>
      </c>
      <c r="O411" s="424">
        <v>97.709879999999998</v>
      </c>
      <c r="P411" s="424" t="s">
        <v>573</v>
      </c>
      <c r="Q411" s="424" t="s">
        <v>592</v>
      </c>
      <c r="R411" s="436"/>
      <c r="S411" s="429"/>
      <c r="T411" s="441"/>
      <c r="U411" s="430"/>
      <c r="V411" s="424" t="s">
        <v>709</v>
      </c>
      <c r="W411" s="432" t="s">
        <v>1705</v>
      </c>
      <c r="X411" s="427"/>
      <c r="Y411" s="44"/>
      <c r="Z411" s="43"/>
      <c r="AA411"/>
      <c r="AB411" s="90"/>
      <c r="AC411" s="45"/>
      <c r="AD411" s="17"/>
      <c r="AE411" s="89"/>
      <c r="AF411" s="17"/>
    </row>
    <row r="412" spans="1:32" ht="14.25" customHeight="1">
      <c r="A412" s="396" t="s">
        <v>515</v>
      </c>
      <c r="B412" s="443" t="s">
        <v>974</v>
      </c>
      <c r="C412" s="396" t="s">
        <v>2212</v>
      </c>
      <c r="D412" s="387"/>
      <c r="E412" s="424"/>
      <c r="F412" s="424"/>
      <c r="G412" s="424"/>
      <c r="H412" s="424"/>
      <c r="I412" s="426"/>
      <c r="J412" s="424" t="s">
        <v>2098</v>
      </c>
      <c r="K412" s="424" t="s">
        <v>2082</v>
      </c>
      <c r="L412" s="424" t="s">
        <v>2082</v>
      </c>
      <c r="M412" s="424" t="s">
        <v>44</v>
      </c>
      <c r="N412" s="424"/>
      <c r="O412" s="440"/>
      <c r="P412" s="424" t="s">
        <v>1573</v>
      </c>
      <c r="Q412" s="424" t="s">
        <v>2173</v>
      </c>
      <c r="R412" s="428"/>
      <c r="S412" s="428"/>
      <c r="T412" s="441">
        <v>43759</v>
      </c>
      <c r="U412" s="430"/>
      <c r="V412" s="426"/>
      <c r="W412" s="978"/>
      <c r="X412" s="387"/>
      <c r="Y412" s="44"/>
      <c r="Z412" s="43"/>
      <c r="AA412"/>
      <c r="AB412" s="90"/>
      <c r="AC412" s="45"/>
      <c r="AD412" s="17"/>
      <c r="AE412" s="89"/>
      <c r="AF412" s="17"/>
    </row>
    <row r="413" spans="1:32" ht="14.25" customHeight="1">
      <c r="A413" s="396" t="s">
        <v>515</v>
      </c>
      <c r="B413" s="443" t="s">
        <v>974</v>
      </c>
      <c r="C413" s="396" t="s">
        <v>2211</v>
      </c>
      <c r="D413" s="427"/>
      <c r="E413" s="424"/>
      <c r="F413" s="424"/>
      <c r="G413" s="424"/>
      <c r="H413" s="424"/>
      <c r="I413" s="426"/>
      <c r="J413" s="424" t="s">
        <v>2098</v>
      </c>
      <c r="K413" s="424" t="s">
        <v>2082</v>
      </c>
      <c r="L413" s="424" t="s">
        <v>2082</v>
      </c>
      <c r="M413" s="424" t="s">
        <v>44</v>
      </c>
      <c r="N413" s="424"/>
      <c r="O413" s="424"/>
      <c r="P413" s="424" t="s">
        <v>1573</v>
      </c>
      <c r="Q413" s="424" t="s">
        <v>2173</v>
      </c>
      <c r="R413" s="436"/>
      <c r="S413" s="429"/>
      <c r="T413" s="441">
        <v>43759</v>
      </c>
      <c r="U413" s="436"/>
      <c r="V413" s="424"/>
      <c r="W413" s="432"/>
      <c r="X413" s="427"/>
      <c r="Y413" s="44"/>
      <c r="Z413" s="43"/>
      <c r="AA413"/>
      <c r="AB413" s="90"/>
      <c r="AC413" s="45"/>
      <c r="AD413" s="17"/>
      <c r="AE413" s="89"/>
      <c r="AF413" s="17"/>
    </row>
    <row r="414" spans="1:32" ht="14.25" customHeight="1">
      <c r="A414" s="396" t="s">
        <v>515</v>
      </c>
      <c r="B414" s="443" t="s">
        <v>536</v>
      </c>
      <c r="C414" s="396" t="s">
        <v>2829</v>
      </c>
      <c r="D414" s="427" t="s">
        <v>2987</v>
      </c>
      <c r="E414" s="424" t="s">
        <v>2846</v>
      </c>
      <c r="F414" s="424" t="s">
        <v>2640</v>
      </c>
      <c r="G414" s="424" t="s">
        <v>2641</v>
      </c>
      <c r="H414" s="424"/>
      <c r="I414" s="426"/>
      <c r="J414" s="424" t="s">
        <v>43</v>
      </c>
      <c r="K414" s="424" t="s">
        <v>43</v>
      </c>
      <c r="L414" s="424" t="s">
        <v>2591</v>
      </c>
      <c r="M414" s="424" t="s">
        <v>44</v>
      </c>
      <c r="N414" s="424">
        <v>23.078210830688501</v>
      </c>
      <c r="O414" s="424">
        <v>97.411773681640597</v>
      </c>
      <c r="P414" s="424" t="s">
        <v>585</v>
      </c>
      <c r="Q414" s="424" t="s">
        <v>2637</v>
      </c>
      <c r="R414" s="436">
        <v>19</v>
      </c>
      <c r="S414" s="429">
        <v>77</v>
      </c>
      <c r="T414" s="441">
        <v>44318</v>
      </c>
      <c r="U414" s="430"/>
      <c r="V414" s="426"/>
      <c r="W414" s="432" t="s">
        <v>2642</v>
      </c>
      <c r="X414" s="424" t="s">
        <v>2639</v>
      </c>
      <c r="Y414" s="44"/>
      <c r="Z414" s="43"/>
      <c r="AA414"/>
      <c r="AB414" s="90"/>
      <c r="AC414" s="45"/>
      <c r="AD414" s="17"/>
      <c r="AE414" s="89"/>
      <c r="AF414" s="17"/>
    </row>
    <row r="415" spans="1:32" ht="14.25" customHeight="1">
      <c r="A415" s="396" t="s">
        <v>515</v>
      </c>
      <c r="B415" s="432" t="s">
        <v>536</v>
      </c>
      <c r="C415" s="433" t="s">
        <v>543</v>
      </c>
      <c r="D415" s="427" t="s">
        <v>2987</v>
      </c>
      <c r="E415" s="424" t="s">
        <v>2847</v>
      </c>
      <c r="F415" s="426" t="s">
        <v>1319</v>
      </c>
      <c r="G415" s="424" t="s">
        <v>1320</v>
      </c>
      <c r="H415" s="424" t="s">
        <v>41</v>
      </c>
      <c r="I415" s="426" t="s">
        <v>1041</v>
      </c>
      <c r="J415" s="424" t="s">
        <v>43</v>
      </c>
      <c r="K415" s="424" t="s">
        <v>43</v>
      </c>
      <c r="L415" s="424" t="s">
        <v>43</v>
      </c>
      <c r="M415" s="424" t="s">
        <v>44</v>
      </c>
      <c r="N415" s="424">
        <v>23.099304</v>
      </c>
      <c r="O415" s="424">
        <v>97.400671000000003</v>
      </c>
      <c r="P415" s="424" t="s">
        <v>573</v>
      </c>
      <c r="Q415" s="424" t="s">
        <v>667</v>
      </c>
      <c r="R415" s="436">
        <v>60</v>
      </c>
      <c r="S415" s="429">
        <v>272</v>
      </c>
      <c r="T415" s="441">
        <v>42983</v>
      </c>
      <c r="U415" s="430"/>
      <c r="V415" s="424"/>
      <c r="W415" s="978" t="s">
        <v>1706</v>
      </c>
      <c r="X415" s="424" t="s">
        <v>1059</v>
      </c>
      <c r="Y415" s="44"/>
      <c r="Z415" s="43"/>
      <c r="AA415"/>
      <c r="AB415" s="90"/>
      <c r="AC415" s="45"/>
      <c r="AD415" s="17"/>
      <c r="AE415" s="89"/>
      <c r="AF415" s="17"/>
    </row>
    <row r="416" spans="1:32" ht="14.25" customHeight="1">
      <c r="A416" s="433" t="s">
        <v>515</v>
      </c>
      <c r="B416" s="443" t="s">
        <v>536</v>
      </c>
      <c r="C416" s="396" t="s">
        <v>832</v>
      </c>
      <c r="D416" s="427"/>
      <c r="E416" s="424"/>
      <c r="F416" s="426"/>
      <c r="G416" s="424"/>
      <c r="H416" s="424"/>
      <c r="I416" s="426"/>
      <c r="J416" s="424" t="s">
        <v>1099</v>
      </c>
      <c r="K416" s="424" t="s">
        <v>43</v>
      </c>
      <c r="L416" s="424" t="s">
        <v>43</v>
      </c>
      <c r="M416" s="424" t="s">
        <v>44</v>
      </c>
      <c r="N416" s="424"/>
      <c r="O416" s="424"/>
      <c r="P416" s="424" t="s">
        <v>573</v>
      </c>
      <c r="Q416" s="424" t="s">
        <v>592</v>
      </c>
      <c r="R416" s="436"/>
      <c r="S416" s="429"/>
      <c r="T416" s="441">
        <v>42747</v>
      </c>
      <c r="U416" s="430"/>
      <c r="V416" s="424"/>
      <c r="W416" s="432"/>
      <c r="X416" s="427"/>
      <c r="Y416" s="44"/>
      <c r="Z416" s="43"/>
      <c r="AA416"/>
      <c r="AB416" s="90"/>
      <c r="AC416" s="45"/>
      <c r="AD416" s="17"/>
      <c r="AE416" s="89"/>
      <c r="AF416" s="17"/>
    </row>
    <row r="417" spans="1:32" ht="14.25" customHeight="1">
      <c r="A417" s="433" t="s">
        <v>515</v>
      </c>
      <c r="B417" s="432" t="s">
        <v>536</v>
      </c>
      <c r="C417" s="433" t="s">
        <v>544</v>
      </c>
      <c r="D417" s="427" t="s">
        <v>2987</v>
      </c>
      <c r="E417" s="424" t="s">
        <v>2848</v>
      </c>
      <c r="F417" s="424" t="s">
        <v>1319</v>
      </c>
      <c r="G417" s="424" t="s">
        <v>1320</v>
      </c>
      <c r="H417" s="424" t="s">
        <v>41</v>
      </c>
      <c r="I417" s="426" t="s">
        <v>1041</v>
      </c>
      <c r="J417" s="424" t="s">
        <v>43</v>
      </c>
      <c r="K417" s="424" t="s">
        <v>43</v>
      </c>
      <c r="L417" s="424" t="s">
        <v>43</v>
      </c>
      <c r="M417" s="424" t="s">
        <v>44</v>
      </c>
      <c r="N417" s="424">
        <v>23.088011000000002</v>
      </c>
      <c r="O417" s="424">
        <v>97.398698999999993</v>
      </c>
      <c r="P417" s="424" t="s">
        <v>573</v>
      </c>
      <c r="Q417" s="424" t="s">
        <v>574</v>
      </c>
      <c r="R417" s="436">
        <v>24</v>
      </c>
      <c r="S417" s="429">
        <v>96</v>
      </c>
      <c r="T417" s="441"/>
      <c r="U417" s="430"/>
      <c r="V417" s="424"/>
      <c r="W417" s="978" t="s">
        <v>1706</v>
      </c>
      <c r="X417" s="424" t="s">
        <v>1040</v>
      </c>
      <c r="Y417" s="44"/>
      <c r="Z417" s="43"/>
      <c r="AA417"/>
      <c r="AB417" s="90"/>
      <c r="AC417" s="45"/>
      <c r="AD417" s="17"/>
      <c r="AE417" s="89"/>
      <c r="AF417" s="17"/>
    </row>
    <row r="418" spans="1:32" ht="14.25" customHeight="1">
      <c r="A418" s="396" t="s">
        <v>515</v>
      </c>
      <c r="B418" s="432" t="s">
        <v>536</v>
      </c>
      <c r="C418" s="433" t="s">
        <v>2204</v>
      </c>
      <c r="D418" s="427"/>
      <c r="E418" s="424"/>
      <c r="F418" s="424"/>
      <c r="G418" s="424"/>
      <c r="H418" s="424"/>
      <c r="I418" s="426"/>
      <c r="J418" s="424" t="s">
        <v>2098</v>
      </c>
      <c r="K418" s="424" t="s">
        <v>2082</v>
      </c>
      <c r="L418" s="424" t="s">
        <v>2082</v>
      </c>
      <c r="M418" s="424" t="s">
        <v>44</v>
      </c>
      <c r="N418" s="424"/>
      <c r="O418" s="424"/>
      <c r="P418" s="424" t="s">
        <v>1573</v>
      </c>
      <c r="Q418" s="424" t="s">
        <v>2173</v>
      </c>
      <c r="R418" s="436"/>
      <c r="S418" s="429"/>
      <c r="T418" s="441">
        <v>43759</v>
      </c>
      <c r="U418" s="430"/>
      <c r="V418" s="426"/>
      <c r="W418" s="978"/>
      <c r="X418" s="427"/>
      <c r="Y418" s="44"/>
      <c r="Z418" s="43"/>
      <c r="AA418"/>
      <c r="AB418" s="90"/>
      <c r="AC418" s="45"/>
      <c r="AD418" s="17"/>
      <c r="AE418" s="89"/>
      <c r="AF418" s="17"/>
    </row>
    <row r="419" spans="1:32" ht="14.25" customHeight="1">
      <c r="A419" s="396" t="s">
        <v>515</v>
      </c>
      <c r="B419" s="432" t="s">
        <v>536</v>
      </c>
      <c r="C419" s="433" t="s">
        <v>1538</v>
      </c>
      <c r="D419" s="427"/>
      <c r="E419" s="424"/>
      <c r="F419" s="424"/>
      <c r="G419" s="424"/>
      <c r="H419" s="424"/>
      <c r="I419" s="426"/>
      <c r="J419" s="424" t="s">
        <v>1099</v>
      </c>
      <c r="K419" s="424" t="s">
        <v>43</v>
      </c>
      <c r="L419" s="424" t="s">
        <v>43</v>
      </c>
      <c r="M419" s="424" t="s">
        <v>44</v>
      </c>
      <c r="N419" s="424"/>
      <c r="O419" s="424"/>
      <c r="P419" s="424" t="s">
        <v>573</v>
      </c>
      <c r="Q419" s="424" t="s">
        <v>1530</v>
      </c>
      <c r="R419" s="436"/>
      <c r="S419" s="429"/>
      <c r="T419" s="441">
        <v>43270</v>
      </c>
      <c r="U419" s="430"/>
      <c r="V419" s="424"/>
      <c r="W419" s="432"/>
      <c r="X419" s="427"/>
      <c r="Y419" s="44"/>
      <c r="Z419" s="43"/>
      <c r="AA419"/>
      <c r="AB419" s="90"/>
      <c r="AC419" s="45"/>
      <c r="AD419" s="17"/>
      <c r="AE419" s="89"/>
      <c r="AF419" s="17"/>
    </row>
    <row r="420" spans="1:32" ht="14.25" customHeight="1">
      <c r="A420" s="396" t="s">
        <v>515</v>
      </c>
      <c r="B420" s="432" t="s">
        <v>536</v>
      </c>
      <c r="C420" s="450" t="s">
        <v>547</v>
      </c>
      <c r="D420" s="427" t="s">
        <v>2987</v>
      </c>
      <c r="E420" s="424" t="s">
        <v>1058</v>
      </c>
      <c r="F420" s="426" t="s">
        <v>1319</v>
      </c>
      <c r="G420" s="424" t="s">
        <v>1320</v>
      </c>
      <c r="H420" s="424" t="s">
        <v>41</v>
      </c>
      <c r="I420" s="426" t="s">
        <v>2118</v>
      </c>
      <c r="J420" s="424" t="s">
        <v>43</v>
      </c>
      <c r="K420" s="424" t="s">
        <v>43</v>
      </c>
      <c r="L420" s="424" t="s">
        <v>43</v>
      </c>
      <c r="M420" s="424" t="s">
        <v>44</v>
      </c>
      <c r="N420" s="424">
        <v>23.094290000000001</v>
      </c>
      <c r="O420" s="424">
        <v>97.404089999999997</v>
      </c>
      <c r="P420" s="424" t="s">
        <v>573</v>
      </c>
      <c r="Q420" s="424" t="s">
        <v>592</v>
      </c>
      <c r="R420" s="436">
        <v>21</v>
      </c>
      <c r="S420" s="429">
        <v>89</v>
      </c>
      <c r="T420" s="441"/>
      <c r="U420" s="430"/>
      <c r="V420" s="424" t="s">
        <v>547</v>
      </c>
      <c r="W420" s="978" t="s">
        <v>1707</v>
      </c>
      <c r="X420" s="427"/>
      <c r="Y420" s="44"/>
      <c r="Z420" s="43"/>
      <c r="AA420"/>
      <c r="AB420" s="90"/>
      <c r="AC420" s="45"/>
      <c r="AD420" s="17"/>
      <c r="AE420" s="89"/>
      <c r="AF420" s="17"/>
    </row>
    <row r="421" spans="1:32" ht="14.25" customHeight="1">
      <c r="A421" s="396" t="s">
        <v>515</v>
      </c>
      <c r="B421" s="432" t="s">
        <v>536</v>
      </c>
      <c r="C421" s="433" t="s">
        <v>694</v>
      </c>
      <c r="D421" s="387" t="s">
        <v>1300</v>
      </c>
      <c r="E421" s="424" t="s">
        <v>1057</v>
      </c>
      <c r="F421" s="426" t="s">
        <v>1319</v>
      </c>
      <c r="G421" s="424" t="s">
        <v>1320</v>
      </c>
      <c r="H421" s="424"/>
      <c r="I421" s="426">
        <v>0</v>
      </c>
      <c r="J421" s="424" t="s">
        <v>43</v>
      </c>
      <c r="K421" s="424" t="s">
        <v>43</v>
      </c>
      <c r="L421" s="424" t="s">
        <v>572</v>
      </c>
      <c r="M421" s="424" t="s">
        <v>44</v>
      </c>
      <c r="N421" s="424">
        <v>23.088058</v>
      </c>
      <c r="O421" s="424">
        <v>97.398989</v>
      </c>
      <c r="P421" s="424" t="s">
        <v>585</v>
      </c>
      <c r="Q421" s="424" t="s">
        <v>592</v>
      </c>
      <c r="R421" s="436"/>
      <c r="S421" s="429"/>
      <c r="T421" s="441"/>
      <c r="U421" s="430"/>
      <c r="V421" s="424" t="s">
        <v>599</v>
      </c>
      <c r="W421" s="978" t="s">
        <v>1708</v>
      </c>
      <c r="X421" s="387"/>
      <c r="Y421" s="44"/>
      <c r="Z421" s="43"/>
      <c r="AA421"/>
      <c r="AB421" s="90"/>
      <c r="AC421" s="45"/>
      <c r="AD421" s="17"/>
      <c r="AE421" s="89"/>
      <c r="AF421" s="17"/>
    </row>
    <row r="422" spans="1:32" ht="14.25" customHeight="1">
      <c r="A422" s="396" t="s">
        <v>515</v>
      </c>
      <c r="B422" s="432" t="s">
        <v>536</v>
      </c>
      <c r="C422" s="433" t="s">
        <v>595</v>
      </c>
      <c r="D422" s="387" t="s">
        <v>1300</v>
      </c>
      <c r="E422" s="424" t="s">
        <v>1048</v>
      </c>
      <c r="F422" s="424" t="s">
        <v>1319</v>
      </c>
      <c r="G422" s="424" t="s">
        <v>1320</v>
      </c>
      <c r="H422" s="424"/>
      <c r="I422" s="426">
        <v>0</v>
      </c>
      <c r="J422" s="424" t="s">
        <v>43</v>
      </c>
      <c r="K422" s="424" t="s">
        <v>43</v>
      </c>
      <c r="L422" s="424" t="s">
        <v>572</v>
      </c>
      <c r="M422" s="424" t="s">
        <v>44</v>
      </c>
      <c r="N422" s="424"/>
      <c r="O422" s="424"/>
      <c r="P422" s="424" t="s">
        <v>573</v>
      </c>
      <c r="Q422" s="424" t="s">
        <v>574</v>
      </c>
      <c r="R422" s="436">
        <v>0</v>
      </c>
      <c r="S422" s="429">
        <v>0</v>
      </c>
      <c r="T422" s="441">
        <v>43019</v>
      </c>
      <c r="U422" s="430" t="s">
        <v>596</v>
      </c>
      <c r="V422" s="426"/>
      <c r="W422" s="432" t="s">
        <v>596</v>
      </c>
      <c r="X422" s="387"/>
      <c r="Y422" s="44"/>
      <c r="Z422" s="43"/>
      <c r="AA422"/>
      <c r="AB422" s="90"/>
      <c r="AC422" s="45"/>
      <c r="AD422" s="17"/>
      <c r="AE422" s="89"/>
      <c r="AF422" s="17"/>
    </row>
    <row r="423" spans="1:32" ht="14.25" customHeight="1">
      <c r="A423" s="396" t="s">
        <v>515</v>
      </c>
      <c r="B423" s="432" t="s">
        <v>536</v>
      </c>
      <c r="C423" s="433" t="s">
        <v>597</v>
      </c>
      <c r="D423" s="427" t="s">
        <v>1300</v>
      </c>
      <c r="E423" s="424" t="s">
        <v>1049</v>
      </c>
      <c r="F423" s="424" t="s">
        <v>1319</v>
      </c>
      <c r="G423" s="424" t="s">
        <v>1320</v>
      </c>
      <c r="H423" s="424"/>
      <c r="I423" s="426">
        <v>0</v>
      </c>
      <c r="J423" s="424" t="s">
        <v>43</v>
      </c>
      <c r="K423" s="424" t="s">
        <v>43</v>
      </c>
      <c r="L423" s="424" t="s">
        <v>572</v>
      </c>
      <c r="M423" s="424" t="s">
        <v>44</v>
      </c>
      <c r="N423" s="424"/>
      <c r="O423" s="424"/>
      <c r="P423" s="424" t="s">
        <v>573</v>
      </c>
      <c r="Q423" s="424" t="s">
        <v>574</v>
      </c>
      <c r="R423" s="436">
        <v>0</v>
      </c>
      <c r="S423" s="429">
        <v>0</v>
      </c>
      <c r="T423" s="441">
        <v>42927</v>
      </c>
      <c r="U423" s="436" t="s">
        <v>598</v>
      </c>
      <c r="V423" s="424"/>
      <c r="W423" s="432" t="s">
        <v>596</v>
      </c>
      <c r="X423" s="427"/>
      <c r="Y423" s="44"/>
      <c r="Z423" s="43"/>
      <c r="AA423"/>
      <c r="AB423" s="90"/>
      <c r="AC423" s="45"/>
      <c r="AD423" s="17"/>
      <c r="AE423" s="89"/>
      <c r="AF423" s="17"/>
    </row>
    <row r="424" spans="1:32" ht="14.25" customHeight="1">
      <c r="A424" s="433" t="s">
        <v>515</v>
      </c>
      <c r="B424" s="432" t="s">
        <v>536</v>
      </c>
      <c r="C424" s="433" t="s">
        <v>599</v>
      </c>
      <c r="D424" s="427" t="s">
        <v>1300</v>
      </c>
      <c r="E424" s="424" t="s">
        <v>1050</v>
      </c>
      <c r="F424" s="426" t="s">
        <v>1319</v>
      </c>
      <c r="G424" s="424" t="s">
        <v>1320</v>
      </c>
      <c r="H424" s="424"/>
      <c r="I424" s="426">
        <v>0</v>
      </c>
      <c r="J424" s="424" t="s">
        <v>43</v>
      </c>
      <c r="K424" s="424" t="s">
        <v>43</v>
      </c>
      <c r="L424" s="424" t="s">
        <v>572</v>
      </c>
      <c r="M424" s="424" t="s">
        <v>44</v>
      </c>
      <c r="N424" s="424"/>
      <c r="O424" s="426"/>
      <c r="P424" s="424" t="s">
        <v>573</v>
      </c>
      <c r="Q424" s="424" t="s">
        <v>574</v>
      </c>
      <c r="R424" s="436"/>
      <c r="S424" s="429"/>
      <c r="T424" s="441">
        <v>42927</v>
      </c>
      <c r="U424" s="430" t="s">
        <v>600</v>
      </c>
      <c r="V424" s="426"/>
      <c r="W424" s="432" t="s">
        <v>1697</v>
      </c>
      <c r="X424" s="427"/>
      <c r="Y424" s="44"/>
      <c r="Z424" s="43"/>
      <c r="AA424"/>
      <c r="AB424" s="90"/>
      <c r="AC424" s="45"/>
      <c r="AD424" s="17"/>
      <c r="AE424" s="89"/>
      <c r="AF424" s="17"/>
    </row>
    <row r="425" spans="1:32" ht="14.25" customHeight="1">
      <c r="A425" s="433" t="s">
        <v>515</v>
      </c>
      <c r="B425" s="432" t="s">
        <v>536</v>
      </c>
      <c r="C425" s="433" t="s">
        <v>537</v>
      </c>
      <c r="D425" s="427" t="s">
        <v>2717</v>
      </c>
      <c r="E425" s="424" t="s">
        <v>1056</v>
      </c>
      <c r="F425" s="424" t="s">
        <v>1368</v>
      </c>
      <c r="G425" s="424" t="s">
        <v>1369</v>
      </c>
      <c r="H425" s="424"/>
      <c r="I425" s="426" t="s">
        <v>1619</v>
      </c>
      <c r="J425" s="424" t="s">
        <v>43</v>
      </c>
      <c r="K425" s="424" t="s">
        <v>43</v>
      </c>
      <c r="L425" s="424" t="s">
        <v>572</v>
      </c>
      <c r="M425" s="424" t="s">
        <v>44</v>
      </c>
      <c r="N425" s="424">
        <v>22.765999999999998</v>
      </c>
      <c r="O425" s="424">
        <v>97.358999999999995</v>
      </c>
      <c r="P425" s="424" t="s">
        <v>573</v>
      </c>
      <c r="Q425" s="424" t="s">
        <v>574</v>
      </c>
      <c r="R425" s="436"/>
      <c r="S425" s="429"/>
      <c r="T425" s="441"/>
      <c r="U425" s="430" t="s">
        <v>693</v>
      </c>
      <c r="V425" s="424"/>
      <c r="W425" s="432" t="s">
        <v>1709</v>
      </c>
      <c r="X425" s="427"/>
      <c r="Y425" s="44"/>
      <c r="Z425" s="43"/>
      <c r="AA425"/>
      <c r="AB425" s="90"/>
      <c r="AC425" s="45"/>
      <c r="AD425" s="17"/>
      <c r="AE425" s="89"/>
      <c r="AF425" s="17"/>
    </row>
    <row r="426" spans="1:32" ht="14.25" customHeight="1">
      <c r="A426" s="433" t="s">
        <v>515</v>
      </c>
      <c r="B426" s="432" t="s">
        <v>536</v>
      </c>
      <c r="C426" s="433" t="s">
        <v>695</v>
      </c>
      <c r="D426" s="427" t="s">
        <v>2256</v>
      </c>
      <c r="E426" s="424" t="s">
        <v>1060</v>
      </c>
      <c r="F426" s="424"/>
      <c r="G426" s="424"/>
      <c r="H426" s="424"/>
      <c r="I426" s="426">
        <v>0</v>
      </c>
      <c r="J426" s="424" t="s">
        <v>43</v>
      </c>
      <c r="K426" s="424" t="s">
        <v>43</v>
      </c>
      <c r="L426" s="424" t="s">
        <v>43</v>
      </c>
      <c r="M426" s="424" t="s">
        <v>44</v>
      </c>
      <c r="N426" s="424">
        <v>23.099304</v>
      </c>
      <c r="O426" s="424">
        <v>97.400671000000003</v>
      </c>
      <c r="P426" s="424" t="s">
        <v>573</v>
      </c>
      <c r="Q426" s="424" t="s">
        <v>574</v>
      </c>
      <c r="R426" s="436">
        <v>0</v>
      </c>
      <c r="S426" s="429">
        <v>0</v>
      </c>
      <c r="T426" s="441">
        <v>42747</v>
      </c>
      <c r="U426" s="430" t="s">
        <v>696</v>
      </c>
      <c r="V426" s="426"/>
      <c r="W426" s="432" t="s">
        <v>1710</v>
      </c>
      <c r="X426" s="427"/>
      <c r="Y426" s="44"/>
      <c r="Z426" s="43"/>
      <c r="AA426"/>
      <c r="AB426" s="90"/>
      <c r="AC426" s="45"/>
      <c r="AD426" s="17"/>
      <c r="AE426" s="89"/>
      <c r="AF426" s="17"/>
    </row>
    <row r="427" spans="1:32" ht="14.25" customHeight="1">
      <c r="A427" s="433" t="s">
        <v>515</v>
      </c>
      <c r="B427" s="432" t="s">
        <v>536</v>
      </c>
      <c r="C427" s="433" t="s">
        <v>869</v>
      </c>
      <c r="D427" s="427" t="s">
        <v>2256</v>
      </c>
      <c r="E427" s="424"/>
      <c r="F427" s="424"/>
      <c r="G427" s="424"/>
      <c r="H427" s="424"/>
      <c r="I427" s="424"/>
      <c r="J427" s="424" t="s">
        <v>1099</v>
      </c>
      <c r="K427" s="424" t="s">
        <v>43</v>
      </c>
      <c r="L427" s="424" t="s">
        <v>43</v>
      </c>
      <c r="M427" s="424" t="s">
        <v>44</v>
      </c>
      <c r="N427" s="424"/>
      <c r="O427" s="424"/>
      <c r="P427" s="424" t="s">
        <v>573</v>
      </c>
      <c r="Q427" s="424" t="s">
        <v>592</v>
      </c>
      <c r="R427" s="436"/>
      <c r="S427" s="428"/>
      <c r="T427" s="441">
        <v>42747</v>
      </c>
      <c r="U427" s="430"/>
      <c r="V427" s="428"/>
      <c r="W427" s="428"/>
      <c r="X427" s="427"/>
      <c r="Y427" s="44"/>
      <c r="Z427" s="43"/>
      <c r="AA427"/>
      <c r="AB427" s="90"/>
      <c r="AC427" s="45"/>
      <c r="AD427" s="17"/>
      <c r="AE427" s="89"/>
      <c r="AF427" s="17"/>
    </row>
    <row r="428" spans="1:32" ht="14.25" customHeight="1">
      <c r="A428" s="429" t="s">
        <v>515</v>
      </c>
      <c r="B428" s="432" t="s">
        <v>536</v>
      </c>
      <c r="C428" s="433" t="s">
        <v>869</v>
      </c>
      <c r="D428" s="427"/>
      <c r="E428" s="424"/>
      <c r="F428" s="424"/>
      <c r="G428" s="424"/>
      <c r="H428" s="424"/>
      <c r="I428" s="424"/>
      <c r="J428" s="424" t="s">
        <v>2098</v>
      </c>
      <c r="K428" s="424" t="s">
        <v>2082</v>
      </c>
      <c r="L428" s="424" t="s">
        <v>2082</v>
      </c>
      <c r="M428" s="424" t="s">
        <v>44</v>
      </c>
      <c r="N428" s="424"/>
      <c r="O428" s="424"/>
      <c r="P428" s="424"/>
      <c r="Q428" s="424" t="s">
        <v>2237</v>
      </c>
      <c r="R428" s="436"/>
      <c r="S428" s="428"/>
      <c r="T428" s="441">
        <v>43841</v>
      </c>
      <c r="U428" s="430"/>
      <c r="V428" s="428"/>
      <c r="W428" s="428"/>
      <c r="X428" s="427"/>
      <c r="Y428" s="44"/>
      <c r="Z428" s="43"/>
      <c r="AA428"/>
      <c r="AB428" s="90"/>
      <c r="AC428" s="45"/>
      <c r="AD428" s="17"/>
      <c r="AE428" s="89"/>
      <c r="AF428" s="17"/>
    </row>
    <row r="429" spans="1:32" ht="14.25" customHeight="1">
      <c r="A429" s="429" t="s">
        <v>515</v>
      </c>
      <c r="B429" s="432" t="s">
        <v>979</v>
      </c>
      <c r="C429" s="433" t="s">
        <v>1715</v>
      </c>
      <c r="D429" s="427"/>
      <c r="E429" s="424"/>
      <c r="F429" s="424"/>
      <c r="G429" s="424"/>
      <c r="H429" s="424"/>
      <c r="I429" s="424"/>
      <c r="J429" s="424" t="s">
        <v>1099</v>
      </c>
      <c r="K429" s="424" t="s">
        <v>43</v>
      </c>
      <c r="L429" s="424" t="s">
        <v>43</v>
      </c>
      <c r="M429" s="424" t="s">
        <v>44</v>
      </c>
      <c r="N429" s="424"/>
      <c r="O429" s="424"/>
      <c r="P429" s="424" t="s">
        <v>573</v>
      </c>
      <c r="Q429" s="424" t="s">
        <v>667</v>
      </c>
      <c r="R429" s="436"/>
      <c r="S429" s="428"/>
      <c r="T429" s="441">
        <v>43392</v>
      </c>
      <c r="U429" s="430"/>
      <c r="V429" s="428"/>
      <c r="W429" s="428"/>
      <c r="X429" s="427"/>
      <c r="Y429" s="44"/>
      <c r="Z429" s="43"/>
      <c r="AA429"/>
      <c r="AB429" s="90"/>
      <c r="AC429" s="45"/>
      <c r="AD429" s="17"/>
      <c r="AE429" s="89"/>
      <c r="AF429" s="17"/>
    </row>
    <row r="430" spans="1:32" ht="14.25" customHeight="1">
      <c r="A430" s="433" t="s">
        <v>515</v>
      </c>
      <c r="B430" s="432" t="s">
        <v>979</v>
      </c>
      <c r="C430" s="433" t="s">
        <v>852</v>
      </c>
      <c r="D430" s="427" t="s">
        <v>2256</v>
      </c>
      <c r="E430" s="424"/>
      <c r="F430" s="424"/>
      <c r="G430" s="424"/>
      <c r="H430" s="424"/>
      <c r="I430" s="424"/>
      <c r="J430" s="424" t="s">
        <v>1099</v>
      </c>
      <c r="K430" s="424" t="s">
        <v>43</v>
      </c>
      <c r="L430" s="424" t="s">
        <v>43</v>
      </c>
      <c r="M430" s="424" t="s">
        <v>44</v>
      </c>
      <c r="N430" s="424"/>
      <c r="O430" s="424"/>
      <c r="P430" s="424" t="s">
        <v>573</v>
      </c>
      <c r="Q430" s="424" t="s">
        <v>592</v>
      </c>
      <c r="R430" s="436"/>
      <c r="S430" s="428"/>
      <c r="T430" s="441">
        <v>42747</v>
      </c>
      <c r="U430" s="430"/>
      <c r="V430" s="428"/>
      <c r="W430" s="428"/>
      <c r="X430" s="427"/>
      <c r="Y430" s="44"/>
      <c r="Z430" s="43"/>
      <c r="AA430"/>
      <c r="AB430" s="90"/>
      <c r="AC430" s="45"/>
      <c r="AD430" s="17"/>
      <c r="AE430" s="89"/>
      <c r="AF430" s="17"/>
    </row>
    <row r="431" spans="1:32" ht="14.25" customHeight="1">
      <c r="A431" s="433" t="s">
        <v>515</v>
      </c>
      <c r="B431" s="432" t="s">
        <v>982</v>
      </c>
      <c r="C431" s="433" t="s">
        <v>1024</v>
      </c>
      <c r="D431" s="427"/>
      <c r="E431" s="424"/>
      <c r="F431" s="424"/>
      <c r="G431" s="424"/>
      <c r="H431" s="424"/>
      <c r="I431" s="424"/>
      <c r="J431" s="424" t="s">
        <v>1099</v>
      </c>
      <c r="K431" s="424" t="s">
        <v>43</v>
      </c>
      <c r="L431" s="424" t="s">
        <v>588</v>
      </c>
      <c r="M431" s="424" t="s">
        <v>1589</v>
      </c>
      <c r="N431" s="424"/>
      <c r="O431" s="424"/>
      <c r="P431" s="424" t="s">
        <v>573</v>
      </c>
      <c r="Q431" s="424"/>
      <c r="R431" s="436">
        <v>28</v>
      </c>
      <c r="S431" s="428">
        <v>87</v>
      </c>
      <c r="T431" s="441">
        <v>43298</v>
      </c>
      <c r="U431" s="430"/>
      <c r="V431" s="428"/>
      <c r="W431" s="428"/>
      <c r="X431" s="427"/>
      <c r="Y431" s="44"/>
      <c r="Z431" s="43"/>
      <c r="AA431"/>
      <c r="AB431" s="90"/>
      <c r="AC431" s="45"/>
      <c r="AD431" s="17"/>
      <c r="AE431" s="89"/>
      <c r="AF431" s="17"/>
    </row>
    <row r="432" spans="1:32" ht="14.25" customHeight="1">
      <c r="A432" s="396" t="s">
        <v>515</v>
      </c>
      <c r="B432" s="443" t="s">
        <v>2988</v>
      </c>
      <c r="C432" s="396" t="s">
        <v>3000</v>
      </c>
      <c r="D432" s="427" t="s">
        <v>2987</v>
      </c>
      <c r="E432" s="980" t="s">
        <v>3022</v>
      </c>
      <c r="F432" s="440" t="s">
        <v>3040</v>
      </c>
      <c r="G432" s="440" t="s">
        <v>3000</v>
      </c>
      <c r="H432" s="424"/>
      <c r="I432" s="424" t="s">
        <v>3074</v>
      </c>
      <c r="J432" s="424" t="s">
        <v>43</v>
      </c>
      <c r="K432" s="424" t="s">
        <v>43</v>
      </c>
      <c r="L432" s="440" t="s">
        <v>588</v>
      </c>
      <c r="M432" s="424" t="s">
        <v>44</v>
      </c>
      <c r="N432" s="424"/>
      <c r="O432" s="424" t="s">
        <v>3058</v>
      </c>
      <c r="P432" s="424" t="s">
        <v>573</v>
      </c>
      <c r="Q432" s="424" t="s">
        <v>3059</v>
      </c>
      <c r="R432" s="436">
        <v>43</v>
      </c>
      <c r="S432" s="429">
        <v>157</v>
      </c>
      <c r="T432" s="441">
        <v>45009</v>
      </c>
      <c r="U432" s="430" t="s">
        <v>3060</v>
      </c>
      <c r="V432" s="424"/>
      <c r="W432" s="443" t="s">
        <v>3068</v>
      </c>
      <c r="X432" s="427"/>
      <c r="Y432" s="44"/>
      <c r="Z432" s="43"/>
      <c r="AA432"/>
      <c r="AB432" s="90"/>
      <c r="AC432" s="45"/>
      <c r="AD432" s="17"/>
      <c r="AE432" s="89"/>
      <c r="AF432" s="17"/>
    </row>
  </sheetData>
  <phoneticPr fontId="150" type="noConversion"/>
  <conditionalFormatting sqref="V340">
    <cfRule type="duplicateValues" dxfId="926" priority="32"/>
  </conditionalFormatting>
  <conditionalFormatting sqref="C18">
    <cfRule type="duplicateValues" dxfId="925" priority="30"/>
  </conditionalFormatting>
  <conditionalFormatting sqref="V13">
    <cfRule type="duplicateValues" dxfId="924" priority="29"/>
  </conditionalFormatting>
  <conditionalFormatting sqref="C19:C364 C3:C17 C366:C368">
    <cfRule type="duplicateValues" dxfId="923" priority="12408"/>
  </conditionalFormatting>
  <conditionalFormatting sqref="X286">
    <cfRule type="duplicateValues" dxfId="922" priority="26"/>
  </conditionalFormatting>
  <conditionalFormatting sqref="X290">
    <cfRule type="duplicateValues" dxfId="921" priority="25"/>
  </conditionalFormatting>
  <conditionalFormatting sqref="X291">
    <cfRule type="duplicateValues" dxfId="920" priority="24"/>
  </conditionalFormatting>
  <conditionalFormatting sqref="X294">
    <cfRule type="duplicateValues" dxfId="919" priority="23"/>
  </conditionalFormatting>
  <conditionalFormatting sqref="X296:X297">
    <cfRule type="duplicateValues" dxfId="918" priority="22"/>
  </conditionalFormatting>
  <conditionalFormatting sqref="X302">
    <cfRule type="duplicateValues" dxfId="917" priority="21"/>
  </conditionalFormatting>
  <conditionalFormatting sqref="X305:X306">
    <cfRule type="duplicateValues" dxfId="916" priority="20"/>
  </conditionalFormatting>
  <conditionalFormatting sqref="X310">
    <cfRule type="duplicateValues" dxfId="915" priority="19"/>
  </conditionalFormatting>
  <conditionalFormatting sqref="X315">
    <cfRule type="duplicateValues" dxfId="914" priority="18"/>
  </conditionalFormatting>
  <conditionalFormatting sqref="X317:X318">
    <cfRule type="duplicateValues" dxfId="913" priority="17"/>
  </conditionalFormatting>
  <conditionalFormatting sqref="X325">
    <cfRule type="duplicateValues" dxfId="912" priority="16"/>
  </conditionalFormatting>
  <conditionalFormatting sqref="X335:X336">
    <cfRule type="duplicateValues" dxfId="911" priority="15"/>
  </conditionalFormatting>
  <conditionalFormatting sqref="X338">
    <cfRule type="duplicateValues" dxfId="910" priority="14"/>
  </conditionalFormatting>
  <conditionalFormatting sqref="X342">
    <cfRule type="duplicateValues" dxfId="909" priority="13"/>
  </conditionalFormatting>
  <conditionalFormatting sqref="X346">
    <cfRule type="duplicateValues" dxfId="908" priority="12"/>
  </conditionalFormatting>
  <conditionalFormatting sqref="V51">
    <cfRule type="duplicateValues" dxfId="907" priority="10"/>
  </conditionalFormatting>
  <conditionalFormatting sqref="V259">
    <cfRule type="duplicateValues" dxfId="906" priority="8"/>
  </conditionalFormatting>
  <conditionalFormatting sqref="V260">
    <cfRule type="duplicateValues" dxfId="905" priority="7"/>
  </conditionalFormatting>
  <conditionalFormatting sqref="V261">
    <cfRule type="duplicateValues" dxfId="904" priority="6"/>
  </conditionalFormatting>
  <conditionalFormatting sqref="V272">
    <cfRule type="duplicateValues" dxfId="903" priority="5"/>
  </conditionalFormatting>
  <conditionalFormatting sqref="V280">
    <cfRule type="duplicateValues" dxfId="902" priority="4"/>
  </conditionalFormatting>
  <conditionalFormatting sqref="V294">
    <cfRule type="duplicateValues" dxfId="901" priority="3"/>
  </conditionalFormatting>
  <conditionalFormatting sqref="V303">
    <cfRule type="duplicateValues" dxfId="900" priority="2"/>
  </conditionalFormatting>
  <conditionalFormatting sqref="E18">
    <cfRule type="duplicateValues" dxfId="899" priority="12998"/>
  </conditionalFormatting>
  <conditionalFormatting sqref="E3:E17 E287:E289 E292:E293 E295 E19:E207 E209:E285 E298:E348">
    <cfRule type="duplicateValues" dxfId="898" priority="12999"/>
  </conditionalFormatting>
  <conditionalFormatting sqref="E378 E375:E376 E365 E355 E351">
    <cfRule type="duplicateValues" dxfId="897" priority="13006"/>
  </conditionalFormatting>
  <conditionalFormatting sqref="E3:E430">
    <cfRule type="duplicateValues" dxfId="896" priority="13011"/>
  </conditionalFormatting>
  <dataValidations disablePrompts="1" count="1">
    <dataValidation type="list" allowBlank="1" showInputMessage="1" showErrorMessage="1" sqref="C343" xr:uid="{0C947F1F-B2C7-4140-A9B5-BC2307C73D97}">
      <formula1>OFFSET(Township_start,MATCH(A343,Township_list, 0),1, COUNTIF(Township_list,A343),1)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L147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5"/>
  <sheetViews>
    <sheetView zoomScaleNormal="100" zoomScaleSheetLayoutView="50" workbookViewId="0">
      <pane xSplit="2" ySplit="2" topLeftCell="C3" activePane="bottomRight" state="frozen"/>
      <selection activeCell="H81" sqref="H81"/>
      <selection pane="topRight" activeCell="H81" sqref="H81"/>
      <selection pane="bottomLeft" activeCell="H81" sqref="H81"/>
      <selection pane="bottomRight" activeCell="C74" sqref="C74:C77"/>
    </sheetView>
  </sheetViews>
  <sheetFormatPr defaultColWidth="8" defaultRowHeight="45" customHeight="1"/>
  <cols>
    <col min="1" max="1" width="7.58203125" style="514" bestFit="1" customWidth="1"/>
    <col min="2" max="2" width="7.58203125" style="245" bestFit="1" customWidth="1"/>
    <col min="3" max="3" width="42.6640625" style="267" bestFit="1" customWidth="1"/>
    <col min="4" max="4" width="11.58203125" style="267" customWidth="1"/>
    <col min="5" max="5" width="3.5" style="267" hidden="1" customWidth="1"/>
    <col min="6" max="6" width="13.1640625" style="267" hidden="1" customWidth="1"/>
    <col min="7" max="7" width="61.5" style="267" bestFit="1" customWidth="1"/>
    <col min="8" max="8" width="57.1640625" style="455" bestFit="1" customWidth="1"/>
    <col min="9" max="16380" width="8" style="244"/>
    <col min="16381" max="16384" width="21.1640625" style="244" customWidth="1"/>
  </cols>
  <sheetData>
    <row r="1" spans="1:8" ht="45" customHeight="1">
      <c r="A1" s="512"/>
      <c r="B1" s="1117"/>
      <c r="C1" s="1117"/>
      <c r="D1" s="1117"/>
      <c r="E1" s="1117"/>
      <c r="F1" s="1117"/>
      <c r="G1" s="1117"/>
    </row>
    <row r="2" spans="1:8" s="248" customFormat="1" ht="45" customHeight="1">
      <c r="A2" s="513"/>
      <c r="B2" s="246" t="s">
        <v>45</v>
      </c>
      <c r="C2" s="247" t="s">
        <v>1758</v>
      </c>
      <c r="D2" s="247" t="s">
        <v>1759</v>
      </c>
      <c r="E2" s="247" t="s">
        <v>1760</v>
      </c>
      <c r="F2" s="247" t="s">
        <v>1761</v>
      </c>
      <c r="G2" s="247" t="s">
        <v>46</v>
      </c>
      <c r="H2" s="166" t="s">
        <v>2287</v>
      </c>
    </row>
    <row r="3" spans="1:8" ht="45" customHeight="1">
      <c r="A3" s="1118" t="s">
        <v>2273</v>
      </c>
      <c r="B3" s="553" t="s">
        <v>0</v>
      </c>
      <c r="C3" s="249" t="s">
        <v>1762</v>
      </c>
      <c r="D3" s="249" t="s">
        <v>16</v>
      </c>
      <c r="E3" s="249"/>
      <c r="F3" s="249" t="s">
        <v>1763</v>
      </c>
      <c r="G3" s="554"/>
      <c r="H3" s="456"/>
    </row>
    <row r="4" spans="1:8" ht="62.75" customHeight="1">
      <c r="A4" s="1119"/>
      <c r="B4" s="553" t="s">
        <v>1</v>
      </c>
      <c r="C4" s="249" t="s">
        <v>1764</v>
      </c>
      <c r="D4" s="249" t="s">
        <v>16</v>
      </c>
      <c r="E4" s="249"/>
      <c r="F4" s="249" t="s">
        <v>1763</v>
      </c>
      <c r="G4" s="554" t="s">
        <v>1765</v>
      </c>
      <c r="H4" s="456"/>
    </row>
    <row r="5" spans="1:8" ht="45" customHeight="1">
      <c r="A5" s="1119"/>
      <c r="B5" s="553" t="s">
        <v>2</v>
      </c>
      <c r="C5" s="249" t="s">
        <v>1766</v>
      </c>
      <c r="D5" s="249" t="s">
        <v>16</v>
      </c>
      <c r="E5" s="249"/>
      <c r="F5" s="249" t="s">
        <v>1763</v>
      </c>
      <c r="G5" s="554" t="s">
        <v>1767</v>
      </c>
      <c r="H5" s="456"/>
    </row>
    <row r="6" spans="1:8" ht="45" customHeight="1">
      <c r="A6" s="1119"/>
      <c r="B6" s="553" t="s">
        <v>3</v>
      </c>
      <c r="C6" s="249" t="s">
        <v>1768</v>
      </c>
      <c r="D6" s="249" t="s">
        <v>18</v>
      </c>
      <c r="E6" s="249"/>
      <c r="F6" s="249" t="s">
        <v>1763</v>
      </c>
      <c r="G6" s="554" t="s">
        <v>1956</v>
      </c>
      <c r="H6" s="456"/>
    </row>
    <row r="7" spans="1:8" ht="45" customHeight="1">
      <c r="A7" s="1119"/>
      <c r="B7" s="553" t="s">
        <v>4</v>
      </c>
      <c r="C7" s="249" t="s">
        <v>21</v>
      </c>
      <c r="D7" s="249" t="s">
        <v>16</v>
      </c>
      <c r="E7" s="249"/>
      <c r="F7" s="249" t="s">
        <v>1763</v>
      </c>
      <c r="G7" s="554" t="s">
        <v>1769</v>
      </c>
      <c r="H7" s="456"/>
    </row>
    <row r="8" spans="1:8" ht="45" customHeight="1">
      <c r="A8" s="1119"/>
      <c r="B8" s="553" t="s">
        <v>874</v>
      </c>
      <c r="C8" s="249" t="s">
        <v>22</v>
      </c>
      <c r="D8" s="249" t="s">
        <v>16</v>
      </c>
      <c r="E8" s="249"/>
      <c r="F8" s="249" t="s">
        <v>1763</v>
      </c>
      <c r="G8" s="554" t="s">
        <v>1769</v>
      </c>
      <c r="H8" s="456"/>
    </row>
    <row r="9" spans="1:8" ht="45" customHeight="1">
      <c r="A9" s="1119"/>
      <c r="B9" s="553" t="s">
        <v>5</v>
      </c>
      <c r="C9" s="249" t="s">
        <v>1770</v>
      </c>
      <c r="D9" s="249" t="s">
        <v>1942</v>
      </c>
      <c r="E9" s="249"/>
      <c r="F9" s="249" t="s">
        <v>1763</v>
      </c>
      <c r="G9" s="554" t="s">
        <v>1771</v>
      </c>
      <c r="H9" s="456"/>
    </row>
    <row r="10" spans="1:8" ht="45" customHeight="1">
      <c r="A10" s="1119"/>
      <c r="B10" s="553" t="s">
        <v>6</v>
      </c>
      <c r="C10" s="249" t="s">
        <v>1772</v>
      </c>
      <c r="D10" s="249" t="s">
        <v>16</v>
      </c>
      <c r="E10" s="249"/>
      <c r="F10" s="249" t="s">
        <v>1763</v>
      </c>
      <c r="G10" s="554" t="s">
        <v>1773</v>
      </c>
      <c r="H10" s="456"/>
    </row>
    <row r="11" spans="1:8" ht="75" customHeight="1">
      <c r="A11" s="1119"/>
      <c r="B11" s="553" t="s">
        <v>47</v>
      </c>
      <c r="C11" s="249" t="s">
        <v>24</v>
      </c>
      <c r="D11" s="249" t="s">
        <v>17</v>
      </c>
      <c r="E11" s="249"/>
      <c r="F11" s="249" t="s">
        <v>1763</v>
      </c>
      <c r="G11" s="554" t="s">
        <v>1848</v>
      </c>
      <c r="H11" s="456"/>
    </row>
    <row r="12" spans="1:8" ht="85.25" customHeight="1">
      <c r="A12" s="1119"/>
      <c r="B12" s="553" t="s">
        <v>48</v>
      </c>
      <c r="C12" s="249" t="s">
        <v>1487</v>
      </c>
      <c r="D12" s="249" t="s">
        <v>17</v>
      </c>
      <c r="E12" s="249"/>
      <c r="F12" s="249" t="s">
        <v>1763</v>
      </c>
      <c r="G12" s="554" t="s">
        <v>1848</v>
      </c>
      <c r="H12" s="456"/>
    </row>
    <row r="13" spans="1:8" ht="45" customHeight="1">
      <c r="A13" s="1119"/>
      <c r="B13" s="553" t="s">
        <v>51</v>
      </c>
      <c r="C13" s="249" t="s">
        <v>1774</v>
      </c>
      <c r="D13" s="249" t="s">
        <v>19</v>
      </c>
      <c r="E13" s="249"/>
      <c r="F13" s="249" t="s">
        <v>1763</v>
      </c>
      <c r="G13" s="554" t="s">
        <v>1775</v>
      </c>
      <c r="H13" s="456"/>
    </row>
    <row r="14" spans="1:8" ht="45" customHeight="1">
      <c r="A14" s="1119"/>
      <c r="B14" s="553" t="s">
        <v>53</v>
      </c>
      <c r="C14" s="249" t="s">
        <v>1776</v>
      </c>
      <c r="D14" s="249" t="s">
        <v>19</v>
      </c>
      <c r="E14" s="249"/>
      <c r="F14" s="249" t="s">
        <v>1763</v>
      </c>
      <c r="G14" s="554" t="s">
        <v>1777</v>
      </c>
      <c r="H14" s="456"/>
    </row>
    <row r="15" spans="1:8" ht="45" customHeight="1">
      <c r="A15" s="1119"/>
      <c r="B15" s="553" t="s">
        <v>54</v>
      </c>
      <c r="C15" s="249" t="s">
        <v>1988</v>
      </c>
      <c r="D15" s="249" t="s">
        <v>17</v>
      </c>
      <c r="E15" s="249"/>
      <c r="F15" s="249" t="s">
        <v>1940</v>
      </c>
      <c r="G15" s="554"/>
      <c r="H15" s="456"/>
    </row>
    <row r="16" spans="1:8" ht="45" customHeight="1">
      <c r="A16" s="1119"/>
      <c r="B16" s="553" t="s">
        <v>115</v>
      </c>
      <c r="C16" s="249" t="s">
        <v>1569</v>
      </c>
      <c r="D16" s="249" t="s">
        <v>17</v>
      </c>
      <c r="E16" s="249"/>
      <c r="F16" s="249" t="s">
        <v>304</v>
      </c>
      <c r="G16" s="554" t="s">
        <v>1989</v>
      </c>
      <c r="H16" s="456"/>
    </row>
    <row r="17" spans="1:8" ht="45" customHeight="1">
      <c r="A17" s="1119"/>
      <c r="B17" s="553" t="s">
        <v>116</v>
      </c>
      <c r="C17" s="249" t="s">
        <v>1571</v>
      </c>
      <c r="D17" s="249" t="s">
        <v>17</v>
      </c>
      <c r="E17" s="249"/>
      <c r="F17" s="249" t="s">
        <v>304</v>
      </c>
      <c r="G17" s="554" t="s">
        <v>1990</v>
      </c>
      <c r="H17" s="456"/>
    </row>
    <row r="18" spans="1:8" ht="45" customHeight="1">
      <c r="A18" s="1119"/>
      <c r="B18" s="553" t="s">
        <v>59</v>
      </c>
      <c r="C18" s="249" t="s">
        <v>1778</v>
      </c>
      <c r="D18" s="249" t="s">
        <v>17</v>
      </c>
      <c r="E18" s="249" t="s">
        <v>1991</v>
      </c>
      <c r="F18" s="249" t="s">
        <v>1763</v>
      </c>
      <c r="G18" s="554" t="s">
        <v>1992</v>
      </c>
      <c r="H18" s="456"/>
    </row>
    <row r="19" spans="1:8" ht="45" customHeight="1">
      <c r="A19" s="1119"/>
      <c r="B19" s="553" t="s">
        <v>57</v>
      </c>
      <c r="C19" s="249" t="s">
        <v>1779</v>
      </c>
      <c r="D19" s="249" t="s">
        <v>1780</v>
      </c>
      <c r="E19" s="249"/>
      <c r="F19" s="249" t="s">
        <v>1763</v>
      </c>
      <c r="G19" s="554" t="s">
        <v>1993</v>
      </c>
      <c r="H19" s="456"/>
    </row>
    <row r="20" spans="1:8" ht="45" customHeight="1">
      <c r="A20" s="1119"/>
      <c r="B20" s="553" t="s">
        <v>61</v>
      </c>
      <c r="C20" s="249" t="s">
        <v>1781</v>
      </c>
      <c r="D20" s="249" t="s">
        <v>17</v>
      </c>
      <c r="E20" s="249"/>
      <c r="F20" s="249" t="s">
        <v>1763</v>
      </c>
      <c r="G20" s="554" t="s">
        <v>1994</v>
      </c>
      <c r="H20" s="456"/>
    </row>
    <row r="21" spans="1:8" ht="45" customHeight="1">
      <c r="A21" s="1120"/>
      <c r="B21" s="553" t="s">
        <v>875</v>
      </c>
      <c r="C21" s="249" t="s">
        <v>1782</v>
      </c>
      <c r="D21" s="249" t="s">
        <v>17</v>
      </c>
      <c r="E21" s="249"/>
      <c r="F21" s="249" t="s">
        <v>1763</v>
      </c>
      <c r="G21" s="554" t="s">
        <v>1994</v>
      </c>
      <c r="H21" s="456"/>
    </row>
    <row r="22" spans="1:8" ht="45" customHeight="1">
      <c r="A22" s="1121" t="s">
        <v>1582</v>
      </c>
      <c r="B22" s="555" t="s">
        <v>62</v>
      </c>
      <c r="C22" s="167" t="s">
        <v>1948</v>
      </c>
      <c r="D22" s="167" t="s">
        <v>17</v>
      </c>
      <c r="E22" s="167"/>
      <c r="F22" s="167" t="s">
        <v>1763</v>
      </c>
      <c r="G22" s="227" t="s">
        <v>1784</v>
      </c>
      <c r="H22" s="556" t="s">
        <v>2302</v>
      </c>
    </row>
    <row r="23" spans="1:8" ht="45" customHeight="1">
      <c r="A23" s="1122"/>
      <c r="B23" s="555" t="s">
        <v>63</v>
      </c>
      <c r="C23" s="167" t="s">
        <v>1909</v>
      </c>
      <c r="D23" s="167" t="s">
        <v>17</v>
      </c>
      <c r="E23" s="167"/>
      <c r="F23" s="167" t="s">
        <v>1763</v>
      </c>
      <c r="G23" s="227" t="s">
        <v>1910</v>
      </c>
      <c r="H23" s="456"/>
    </row>
    <row r="24" spans="1:8" ht="45" customHeight="1">
      <c r="A24" s="1122"/>
      <c r="B24" s="555" t="s">
        <v>64</v>
      </c>
      <c r="C24" s="167" t="s">
        <v>1911</v>
      </c>
      <c r="D24" s="167" t="s">
        <v>17</v>
      </c>
      <c r="E24" s="167"/>
      <c r="F24" s="167" t="s">
        <v>1763</v>
      </c>
      <c r="G24" s="227" t="s">
        <v>1943</v>
      </c>
      <c r="H24" s="456"/>
    </row>
    <row r="25" spans="1:8" ht="45" customHeight="1">
      <c r="A25" s="1122"/>
      <c r="B25" s="555" t="s">
        <v>66</v>
      </c>
      <c r="C25" s="168" t="s">
        <v>1944</v>
      </c>
      <c r="D25" s="168" t="s">
        <v>17</v>
      </c>
      <c r="E25" s="167"/>
      <c r="F25" s="168" t="s">
        <v>1763</v>
      </c>
      <c r="G25" s="227" t="s">
        <v>55</v>
      </c>
      <c r="H25" s="556" t="s">
        <v>2302</v>
      </c>
    </row>
    <row r="26" spans="1:8" ht="45" customHeight="1">
      <c r="A26" s="1122"/>
      <c r="B26" s="555" t="s">
        <v>876</v>
      </c>
      <c r="C26" s="168" t="s">
        <v>1949</v>
      </c>
      <c r="D26" s="168" t="s">
        <v>17</v>
      </c>
      <c r="E26" s="167"/>
      <c r="F26" s="168" t="s">
        <v>1763</v>
      </c>
      <c r="G26" s="227" t="s">
        <v>1950</v>
      </c>
      <c r="H26" s="556" t="s">
        <v>2302</v>
      </c>
    </row>
    <row r="27" spans="1:8" ht="45" customHeight="1">
      <c r="A27" s="1122"/>
      <c r="B27" s="555" t="s">
        <v>67</v>
      </c>
      <c r="C27" s="168" t="s">
        <v>1995</v>
      </c>
      <c r="D27" s="168" t="s">
        <v>17</v>
      </c>
      <c r="E27" s="167"/>
      <c r="F27" s="168" t="s">
        <v>1763</v>
      </c>
      <c r="G27" s="227" t="s">
        <v>1996</v>
      </c>
      <c r="H27" s="456"/>
    </row>
    <row r="28" spans="1:8" ht="45" customHeight="1">
      <c r="A28" s="1122"/>
      <c r="B28" s="555" t="s">
        <v>68</v>
      </c>
      <c r="C28" s="168" t="s">
        <v>1997</v>
      </c>
      <c r="D28" s="168" t="s">
        <v>17</v>
      </c>
      <c r="E28" s="167"/>
      <c r="F28" s="168" t="s">
        <v>1763</v>
      </c>
      <c r="G28" s="227" t="s">
        <v>1998</v>
      </c>
      <c r="H28" s="456"/>
    </row>
    <row r="29" spans="1:8" ht="45" customHeight="1">
      <c r="A29" s="1122"/>
      <c r="B29" s="555" t="s">
        <v>69</v>
      </c>
      <c r="C29" s="168" t="s">
        <v>1999</v>
      </c>
      <c r="D29" s="168" t="s">
        <v>2000</v>
      </c>
      <c r="E29" s="168" t="s">
        <v>1929</v>
      </c>
      <c r="F29" s="168" t="s">
        <v>1763</v>
      </c>
      <c r="G29" s="227" t="s">
        <v>1999</v>
      </c>
      <c r="H29" s="556" t="s">
        <v>2302</v>
      </c>
    </row>
    <row r="30" spans="1:8" ht="45" customHeight="1">
      <c r="A30" s="1122"/>
      <c r="B30" s="555" t="s">
        <v>70</v>
      </c>
      <c r="C30" s="168" t="s">
        <v>1957</v>
      </c>
      <c r="D30" s="168" t="s">
        <v>2000</v>
      </c>
      <c r="E30" s="168"/>
      <c r="F30" s="168" t="s">
        <v>1763</v>
      </c>
      <c r="G30" s="227" t="s">
        <v>1959</v>
      </c>
      <c r="H30" s="456"/>
    </row>
    <row r="31" spans="1:8" ht="45" customHeight="1">
      <c r="A31" s="1122"/>
      <c r="B31" s="555" t="s">
        <v>1011</v>
      </c>
      <c r="C31" s="168" t="s">
        <v>1958</v>
      </c>
      <c r="D31" s="168" t="s">
        <v>2000</v>
      </c>
      <c r="E31" s="168"/>
      <c r="F31" s="168" t="s">
        <v>1763</v>
      </c>
      <c r="G31" s="227" t="s">
        <v>1960</v>
      </c>
      <c r="H31" s="458"/>
    </row>
    <row r="32" spans="1:8" ht="45" customHeight="1">
      <c r="A32" s="1122"/>
      <c r="B32" s="555" t="s">
        <v>1012</v>
      </c>
      <c r="C32" s="168" t="s">
        <v>2310</v>
      </c>
      <c r="D32" s="168" t="s">
        <v>17</v>
      </c>
      <c r="E32" s="167" t="s">
        <v>2001</v>
      </c>
      <c r="F32" s="168" t="s">
        <v>1940</v>
      </c>
      <c r="G32" s="227" t="s">
        <v>1785</v>
      </c>
      <c r="H32" s="556" t="s">
        <v>2302</v>
      </c>
    </row>
    <row r="33" spans="1:8" ht="45" customHeight="1">
      <c r="A33" s="1122"/>
      <c r="B33" s="555" t="s">
        <v>1013</v>
      </c>
      <c r="C33" s="168" t="s">
        <v>1930</v>
      </c>
      <c r="D33" s="230" t="s">
        <v>17</v>
      </c>
      <c r="E33" s="167" t="s">
        <v>1783</v>
      </c>
      <c r="F33" s="230" t="s">
        <v>304</v>
      </c>
      <c r="G33" s="227" t="s">
        <v>56</v>
      </c>
      <c r="H33" s="556" t="s">
        <v>2302</v>
      </c>
    </row>
    <row r="34" spans="1:8" ht="45" customHeight="1">
      <c r="A34" s="1122"/>
      <c r="B34" s="555" t="s">
        <v>1014</v>
      </c>
      <c r="C34" s="168" t="s">
        <v>2311</v>
      </c>
      <c r="D34" s="230" t="s">
        <v>17</v>
      </c>
      <c r="E34" s="167" t="s">
        <v>1783</v>
      </c>
      <c r="F34" s="230" t="s">
        <v>1763</v>
      </c>
      <c r="G34" s="227" t="s">
        <v>2003</v>
      </c>
      <c r="H34" s="556" t="s">
        <v>2302</v>
      </c>
    </row>
    <row r="35" spans="1:8" ht="45" customHeight="1">
      <c r="A35" s="1122"/>
      <c r="B35" s="555" t="s">
        <v>1015</v>
      </c>
      <c r="C35" s="168" t="s">
        <v>2004</v>
      </c>
      <c r="D35" s="250" t="s">
        <v>17</v>
      </c>
      <c r="E35" s="251"/>
      <c r="F35" s="252" t="s">
        <v>304</v>
      </c>
      <c r="G35" s="253" t="s">
        <v>2005</v>
      </c>
      <c r="H35" s="459"/>
    </row>
    <row r="36" spans="1:8" ht="45" customHeight="1">
      <c r="A36" s="1122"/>
      <c r="B36" s="555" t="s">
        <v>1016</v>
      </c>
      <c r="C36" s="168" t="s">
        <v>1786</v>
      </c>
      <c r="D36" s="252" t="s">
        <v>17</v>
      </c>
      <c r="E36" s="252"/>
      <c r="F36" s="252" t="s">
        <v>304</v>
      </c>
      <c r="G36" s="253" t="s">
        <v>58</v>
      </c>
      <c r="H36" s="459"/>
    </row>
    <row r="37" spans="1:8" ht="45" customHeight="1">
      <c r="A37" s="1122"/>
      <c r="B37" s="555" t="s">
        <v>1017</v>
      </c>
      <c r="C37" s="169" t="s">
        <v>2258</v>
      </c>
      <c r="D37" s="169" t="s">
        <v>17</v>
      </c>
      <c r="E37" s="169"/>
      <c r="F37" s="169" t="s">
        <v>1763</v>
      </c>
      <c r="G37" s="227" t="s">
        <v>2260</v>
      </c>
      <c r="H37" s="456"/>
    </row>
    <row r="38" spans="1:8" ht="45" customHeight="1">
      <c r="A38" s="1122"/>
      <c r="B38" s="555" t="s">
        <v>1018</v>
      </c>
      <c r="C38" s="169" t="s">
        <v>2261</v>
      </c>
      <c r="D38" s="169" t="s">
        <v>17</v>
      </c>
      <c r="E38" s="169"/>
      <c r="F38" s="169" t="s">
        <v>1763</v>
      </c>
      <c r="G38" s="227" t="s">
        <v>2262</v>
      </c>
      <c r="H38" s="456"/>
    </row>
    <row r="39" spans="1:8" ht="45" customHeight="1">
      <c r="A39" s="1122"/>
      <c r="B39" s="555" t="s">
        <v>1019</v>
      </c>
      <c r="C39" s="169" t="s">
        <v>2263</v>
      </c>
      <c r="D39" s="557" t="s">
        <v>17</v>
      </c>
      <c r="E39" s="557"/>
      <c r="F39" s="169" t="s">
        <v>1763</v>
      </c>
      <c r="G39" s="227" t="s">
        <v>2265</v>
      </c>
      <c r="H39" s="456"/>
    </row>
    <row r="40" spans="1:8" ht="45" customHeight="1">
      <c r="A40" s="1122"/>
      <c r="B40" s="555" t="s">
        <v>1020</v>
      </c>
      <c r="C40" s="169" t="s">
        <v>2264</v>
      </c>
      <c r="D40" s="557" t="s">
        <v>17</v>
      </c>
      <c r="E40" s="557"/>
      <c r="F40" s="169" t="s">
        <v>1763</v>
      </c>
      <c r="G40" s="227" t="s">
        <v>2266</v>
      </c>
      <c r="H40" s="456"/>
    </row>
    <row r="41" spans="1:8" ht="45" customHeight="1">
      <c r="A41" s="1122"/>
      <c r="B41" s="555" t="s">
        <v>1568</v>
      </c>
      <c r="C41" s="226" t="s">
        <v>2286</v>
      </c>
      <c r="D41" s="168" t="s">
        <v>17</v>
      </c>
      <c r="E41" s="168"/>
      <c r="F41" s="169" t="s">
        <v>1940</v>
      </c>
      <c r="G41" s="227" t="s">
        <v>2285</v>
      </c>
      <c r="H41" s="456"/>
    </row>
    <row r="42" spans="1:8" ht="45" customHeight="1">
      <c r="A42" s="1122"/>
      <c r="B42" s="555" t="s">
        <v>2764</v>
      </c>
      <c r="C42" s="167" t="s">
        <v>2760</v>
      </c>
      <c r="D42" s="226" t="s">
        <v>17</v>
      </c>
      <c r="E42" s="168"/>
      <c r="F42" s="169" t="s">
        <v>1940</v>
      </c>
      <c r="G42" s="227" t="s">
        <v>2766</v>
      </c>
      <c r="H42" s="456"/>
    </row>
    <row r="43" spans="1:8" ht="91">
      <c r="A43" s="1122"/>
      <c r="B43" s="555" t="s">
        <v>2765</v>
      </c>
      <c r="C43" s="167" t="s">
        <v>2763</v>
      </c>
      <c r="D43" s="226" t="s">
        <v>17</v>
      </c>
      <c r="E43" s="168"/>
      <c r="F43" s="169" t="s">
        <v>1940</v>
      </c>
      <c r="G43" s="227" t="s">
        <v>2767</v>
      </c>
      <c r="H43" s="556" t="s">
        <v>2308</v>
      </c>
    </row>
    <row r="44" spans="1:8" ht="45" customHeight="1">
      <c r="A44" s="1123"/>
      <c r="B44" s="555" t="s">
        <v>1713</v>
      </c>
      <c r="C44" s="226" t="s">
        <v>60</v>
      </c>
      <c r="D44" s="226" t="s">
        <v>18</v>
      </c>
      <c r="E44" s="226"/>
      <c r="F44" s="226" t="s">
        <v>1763</v>
      </c>
      <c r="G44" s="227"/>
      <c r="H44" s="456"/>
    </row>
    <row r="45" spans="1:8" ht="87.65" customHeight="1">
      <c r="A45" s="1124" t="s">
        <v>1583</v>
      </c>
      <c r="B45" s="558" t="s">
        <v>1788</v>
      </c>
      <c r="C45" s="170" t="s">
        <v>1951</v>
      </c>
      <c r="D45" s="170" t="s">
        <v>17</v>
      </c>
      <c r="E45" s="170"/>
      <c r="F45" s="170" t="s">
        <v>1763</v>
      </c>
      <c r="G45" s="254" t="s">
        <v>1010</v>
      </c>
      <c r="H45" s="559" t="s">
        <v>2297</v>
      </c>
    </row>
    <row r="46" spans="1:8" ht="39">
      <c r="A46" s="1125"/>
      <c r="B46" s="558" t="s">
        <v>1790</v>
      </c>
      <c r="C46" s="170" t="s">
        <v>1952</v>
      </c>
      <c r="D46" s="170" t="s">
        <v>17</v>
      </c>
      <c r="E46" s="170"/>
      <c r="F46" s="170" t="s">
        <v>1763</v>
      </c>
      <c r="G46" s="254" t="s">
        <v>1953</v>
      </c>
      <c r="H46" s="559" t="s">
        <v>2297</v>
      </c>
    </row>
    <row r="47" spans="1:8" ht="26">
      <c r="A47" s="1125"/>
      <c r="B47" s="558" t="s">
        <v>1791</v>
      </c>
      <c r="C47" s="170" t="s">
        <v>2006</v>
      </c>
      <c r="D47" s="170" t="s">
        <v>18</v>
      </c>
      <c r="E47" s="170"/>
      <c r="F47" s="170" t="s">
        <v>1763</v>
      </c>
      <c r="G47" s="254" t="s">
        <v>2006</v>
      </c>
      <c r="H47" s="456"/>
    </row>
    <row r="48" spans="1:8" ht="45" customHeight="1">
      <c r="A48" s="1125"/>
      <c r="B48" s="558" t="s">
        <v>1792</v>
      </c>
      <c r="C48" s="170" t="s">
        <v>2007</v>
      </c>
      <c r="D48" s="170" t="s">
        <v>17</v>
      </c>
      <c r="E48" s="170"/>
      <c r="F48" s="170" t="s">
        <v>1763</v>
      </c>
      <c r="G48" s="254" t="s">
        <v>1789</v>
      </c>
      <c r="H48" s="456"/>
    </row>
    <row r="49" spans="1:8" ht="52">
      <c r="A49" s="1125"/>
      <c r="B49" s="558" t="s">
        <v>1793</v>
      </c>
      <c r="C49" s="170" t="s">
        <v>2008</v>
      </c>
      <c r="D49" s="170" t="s">
        <v>17</v>
      </c>
      <c r="E49" s="170"/>
      <c r="F49" s="170" t="s">
        <v>1763</v>
      </c>
      <c r="G49" s="254" t="s">
        <v>2009</v>
      </c>
      <c r="H49" s="456"/>
    </row>
    <row r="50" spans="1:8" ht="26">
      <c r="A50" s="1125"/>
      <c r="B50" s="558" t="s">
        <v>1794</v>
      </c>
      <c r="C50" s="170" t="s">
        <v>2010</v>
      </c>
      <c r="D50" s="170" t="s">
        <v>17</v>
      </c>
      <c r="E50" s="170"/>
      <c r="F50" s="170" t="s">
        <v>1763</v>
      </c>
      <c r="G50" s="254" t="s">
        <v>2011</v>
      </c>
      <c r="H50" s="456" t="s">
        <v>1787</v>
      </c>
    </row>
    <row r="51" spans="1:8" ht="26">
      <c r="A51" s="1125"/>
      <c r="B51" s="558" t="s">
        <v>1795</v>
      </c>
      <c r="C51" s="255" t="s">
        <v>1905</v>
      </c>
      <c r="D51" s="255" t="s">
        <v>2000</v>
      </c>
      <c r="E51" s="255"/>
      <c r="F51" s="255" t="s">
        <v>304</v>
      </c>
      <c r="G51" s="254" t="s">
        <v>2012</v>
      </c>
      <c r="H51" s="456" t="s">
        <v>1787</v>
      </c>
    </row>
    <row r="52" spans="1:8" ht="45" customHeight="1">
      <c r="A52" s="1125"/>
      <c r="B52" s="558" t="s">
        <v>1797</v>
      </c>
      <c r="C52" s="170" t="s">
        <v>2013</v>
      </c>
      <c r="D52" s="170" t="s">
        <v>17</v>
      </c>
      <c r="E52" s="170"/>
      <c r="F52" s="170" t="s">
        <v>304</v>
      </c>
      <c r="G52" s="254" t="s">
        <v>2014</v>
      </c>
      <c r="H52" s="456"/>
    </row>
    <row r="53" spans="1:8" ht="45" customHeight="1">
      <c r="A53" s="1125"/>
      <c r="B53" s="558" t="s">
        <v>1799</v>
      </c>
      <c r="C53" s="256" t="s">
        <v>1828</v>
      </c>
      <c r="D53" s="170" t="s">
        <v>1912</v>
      </c>
      <c r="E53" s="257"/>
      <c r="F53" s="257" t="s">
        <v>1763</v>
      </c>
      <c r="G53" s="254" t="s">
        <v>1796</v>
      </c>
      <c r="H53" s="456"/>
    </row>
    <row r="54" spans="1:8" ht="51.75" customHeight="1">
      <c r="A54" s="1125"/>
      <c r="B54" s="558" t="s">
        <v>1800</v>
      </c>
      <c r="C54" s="258" t="s">
        <v>1829</v>
      </c>
      <c r="D54" s="170" t="s">
        <v>1908</v>
      </c>
      <c r="E54" s="259"/>
      <c r="F54" s="259" t="s">
        <v>1763</v>
      </c>
      <c r="G54" s="254" t="s">
        <v>1798</v>
      </c>
      <c r="H54" s="456"/>
    </row>
    <row r="55" spans="1:8" ht="45" customHeight="1">
      <c r="A55" s="1125"/>
      <c r="B55" s="558" t="s">
        <v>1801</v>
      </c>
      <c r="C55" s="259" t="s">
        <v>2298</v>
      </c>
      <c r="D55" s="259" t="s">
        <v>17</v>
      </c>
      <c r="E55" s="259"/>
      <c r="F55" s="259" t="s">
        <v>1763</v>
      </c>
      <c r="G55" s="254" t="s">
        <v>1009</v>
      </c>
      <c r="H55" s="559" t="s">
        <v>2297</v>
      </c>
    </row>
    <row r="56" spans="1:8" ht="45" customHeight="1">
      <c r="A56" s="1125"/>
      <c r="B56" s="558" t="s">
        <v>1802</v>
      </c>
      <c r="C56" s="259" t="s">
        <v>2299</v>
      </c>
      <c r="D56" s="259" t="s">
        <v>17</v>
      </c>
      <c r="E56" s="259"/>
      <c r="F56" s="259" t="s">
        <v>1763</v>
      </c>
      <c r="G56" s="254" t="s">
        <v>1009</v>
      </c>
      <c r="H56" s="559" t="s">
        <v>2297</v>
      </c>
    </row>
    <row r="57" spans="1:8" ht="65">
      <c r="A57" s="1125"/>
      <c r="B57" s="558" t="s">
        <v>1803</v>
      </c>
      <c r="C57" s="259" t="s">
        <v>2312</v>
      </c>
      <c r="D57" s="259" t="s">
        <v>17</v>
      </c>
      <c r="E57" s="259"/>
      <c r="F57" s="259" t="s">
        <v>1940</v>
      </c>
      <c r="G57" s="254" t="s">
        <v>2313</v>
      </c>
      <c r="H57" s="559" t="s">
        <v>2303</v>
      </c>
    </row>
    <row r="58" spans="1:8" ht="65">
      <c r="A58" s="1125"/>
      <c r="B58" s="558" t="s">
        <v>1805</v>
      </c>
      <c r="C58" s="259" t="s">
        <v>2314</v>
      </c>
      <c r="D58" s="259" t="s">
        <v>17</v>
      </c>
      <c r="E58" s="259"/>
      <c r="F58" s="259" t="s">
        <v>1940</v>
      </c>
      <c r="G58" s="254" t="s">
        <v>2315</v>
      </c>
      <c r="H58" s="559" t="s">
        <v>2303</v>
      </c>
    </row>
    <row r="59" spans="1:8" ht="52">
      <c r="A59" s="1125"/>
      <c r="B59" s="558" t="s">
        <v>1807</v>
      </c>
      <c r="C59" s="525" t="s">
        <v>2296</v>
      </c>
      <c r="D59" s="259" t="s">
        <v>17</v>
      </c>
      <c r="E59" s="259"/>
      <c r="F59" s="259"/>
      <c r="G59" s="254" t="s">
        <v>2178</v>
      </c>
      <c r="H59" s="559" t="s">
        <v>2297</v>
      </c>
    </row>
    <row r="60" spans="1:8" ht="45" customHeight="1">
      <c r="A60" s="1126"/>
      <c r="B60" s="558" t="s">
        <v>1809</v>
      </c>
      <c r="C60" s="259" t="s">
        <v>65</v>
      </c>
      <c r="D60" s="259" t="s">
        <v>18</v>
      </c>
      <c r="E60" s="259"/>
      <c r="F60" s="259" t="s">
        <v>1763</v>
      </c>
      <c r="G60" s="254"/>
      <c r="H60" s="456"/>
    </row>
    <row r="61" spans="1:8" ht="45" customHeight="1">
      <c r="A61" s="1127" t="s">
        <v>1584</v>
      </c>
      <c r="B61" s="560" t="s">
        <v>1812</v>
      </c>
      <c r="C61" s="260" t="s">
        <v>1931</v>
      </c>
      <c r="D61" s="260" t="s">
        <v>17</v>
      </c>
      <c r="E61" s="260"/>
      <c r="F61" s="260" t="s">
        <v>2015</v>
      </c>
      <c r="G61" s="261" t="s">
        <v>1804</v>
      </c>
      <c r="H61" s="456"/>
    </row>
    <row r="62" spans="1:8" ht="45" customHeight="1">
      <c r="A62" s="1128"/>
      <c r="B62" s="560" t="s">
        <v>1815</v>
      </c>
      <c r="C62" s="260" t="s">
        <v>1961</v>
      </c>
      <c r="D62" s="260" t="s">
        <v>17</v>
      </c>
      <c r="E62" s="260"/>
      <c r="F62" s="260" t="s">
        <v>2015</v>
      </c>
      <c r="G62" s="261" t="s">
        <v>1962</v>
      </c>
      <c r="H62" s="456"/>
    </row>
    <row r="63" spans="1:8" ht="45" customHeight="1">
      <c r="A63" s="1128"/>
      <c r="B63" s="560" t="s">
        <v>1817</v>
      </c>
      <c r="C63" s="262" t="s">
        <v>1932</v>
      </c>
      <c r="D63" s="262" t="s">
        <v>17</v>
      </c>
      <c r="E63" s="262"/>
      <c r="F63" s="262" t="s">
        <v>304</v>
      </c>
      <c r="G63" s="261" t="s">
        <v>1808</v>
      </c>
      <c r="H63" s="456"/>
    </row>
    <row r="64" spans="1:8" ht="45" customHeight="1">
      <c r="A64" s="1128"/>
      <c r="B64" s="560" t="s">
        <v>1818</v>
      </c>
      <c r="C64" s="262" t="s">
        <v>1933</v>
      </c>
      <c r="D64" s="262" t="s">
        <v>17</v>
      </c>
      <c r="E64" s="262"/>
      <c r="F64" s="260" t="s">
        <v>2015</v>
      </c>
      <c r="G64" s="261" t="s">
        <v>1806</v>
      </c>
      <c r="H64" s="456"/>
    </row>
    <row r="65" spans="1:8" ht="45" customHeight="1">
      <c r="A65" s="1128"/>
      <c r="B65" s="560" t="s">
        <v>1819</v>
      </c>
      <c r="C65" s="262" t="s">
        <v>1963</v>
      </c>
      <c r="D65" s="262" t="s">
        <v>17</v>
      </c>
      <c r="E65" s="262"/>
      <c r="F65" s="260" t="s">
        <v>2015</v>
      </c>
      <c r="G65" s="261" t="s">
        <v>1964</v>
      </c>
      <c r="H65" s="456"/>
    </row>
    <row r="66" spans="1:8" ht="39">
      <c r="A66" s="1128"/>
      <c r="B66" s="560" t="s">
        <v>1820</v>
      </c>
      <c r="C66" s="262" t="s">
        <v>1810</v>
      </c>
      <c r="D66" s="262" t="s">
        <v>17</v>
      </c>
      <c r="E66" s="262"/>
      <c r="F66" s="262" t="s">
        <v>1763</v>
      </c>
      <c r="G66" s="263" t="s">
        <v>1811</v>
      </c>
      <c r="H66" s="561" t="s">
        <v>2304</v>
      </c>
    </row>
    <row r="67" spans="1:8" ht="39">
      <c r="A67" s="1128"/>
      <c r="B67" s="560" t="s">
        <v>1954</v>
      </c>
      <c r="C67" s="262" t="s">
        <v>1813</v>
      </c>
      <c r="D67" s="262" t="s">
        <v>17</v>
      </c>
      <c r="E67" s="262"/>
      <c r="F67" s="262" t="s">
        <v>1763</v>
      </c>
      <c r="G67" s="263" t="s">
        <v>1814</v>
      </c>
      <c r="H67" s="561" t="s">
        <v>2304</v>
      </c>
    </row>
    <row r="68" spans="1:8" ht="45" customHeight="1">
      <c r="A68" s="1128"/>
      <c r="B68" s="560" t="s">
        <v>1955</v>
      </c>
      <c r="C68" s="262" t="s">
        <v>1816</v>
      </c>
      <c r="D68" s="229" t="s">
        <v>17</v>
      </c>
      <c r="E68" s="229"/>
      <c r="F68" s="262" t="s">
        <v>1763</v>
      </c>
      <c r="G68" s="263" t="s">
        <v>2016</v>
      </c>
      <c r="H68" s="561" t="s">
        <v>2304</v>
      </c>
    </row>
    <row r="69" spans="1:8" ht="39">
      <c r="A69" s="1128"/>
      <c r="B69" s="560" t="s">
        <v>2018</v>
      </c>
      <c r="C69" s="262" t="s">
        <v>2316</v>
      </c>
      <c r="D69" s="229" t="s">
        <v>17</v>
      </c>
      <c r="E69" s="229"/>
      <c r="F69" s="262" t="s">
        <v>1763</v>
      </c>
      <c r="G69" s="263" t="s">
        <v>2317</v>
      </c>
      <c r="H69" s="561" t="s">
        <v>2304</v>
      </c>
    </row>
    <row r="70" spans="1:8" ht="45" customHeight="1">
      <c r="A70" s="1128"/>
      <c r="B70" s="560" t="s">
        <v>2021</v>
      </c>
      <c r="C70" s="229" t="s">
        <v>2017</v>
      </c>
      <c r="D70" s="229" t="s">
        <v>1907</v>
      </c>
      <c r="E70" s="229"/>
      <c r="F70" s="229" t="s">
        <v>1940</v>
      </c>
      <c r="G70" s="263"/>
      <c r="H70" s="456"/>
    </row>
    <row r="71" spans="1:8" ht="45" customHeight="1">
      <c r="A71" s="1128"/>
      <c r="B71" s="560" t="s">
        <v>2023</v>
      </c>
      <c r="C71" s="229" t="s">
        <v>2019</v>
      </c>
      <c r="D71" s="229" t="s">
        <v>17</v>
      </c>
      <c r="E71" s="229"/>
      <c r="F71" s="229" t="s">
        <v>1940</v>
      </c>
      <c r="G71" s="263" t="s">
        <v>2020</v>
      </c>
      <c r="H71" s="456"/>
    </row>
    <row r="72" spans="1:8" ht="45" customHeight="1">
      <c r="A72" s="1128"/>
      <c r="B72" s="560" t="s">
        <v>2183</v>
      </c>
      <c r="C72" s="264" t="s">
        <v>2022</v>
      </c>
      <c r="D72" s="264" t="s">
        <v>52</v>
      </c>
      <c r="E72" s="264"/>
      <c r="F72" s="229" t="s">
        <v>304</v>
      </c>
      <c r="G72" s="265" t="s">
        <v>2022</v>
      </c>
      <c r="H72" s="459"/>
    </row>
    <row r="73" spans="1:8" ht="45" customHeight="1">
      <c r="A73" s="1129"/>
      <c r="B73" s="560" t="s">
        <v>2184</v>
      </c>
      <c r="C73" s="264" t="s">
        <v>72</v>
      </c>
      <c r="D73" s="264" t="s">
        <v>18</v>
      </c>
      <c r="E73" s="264"/>
      <c r="F73" s="264" t="s">
        <v>1763</v>
      </c>
      <c r="G73" s="265"/>
      <c r="H73" s="459"/>
    </row>
    <row r="74" spans="1:8" ht="45" customHeight="1">
      <c r="A74" s="1130" t="s">
        <v>2224</v>
      </c>
      <c r="B74" s="562" t="s">
        <v>2185</v>
      </c>
      <c r="C74" s="482" t="s">
        <v>2179</v>
      </c>
      <c r="D74" s="482" t="s">
        <v>52</v>
      </c>
      <c r="F74" s="482" t="s">
        <v>1763</v>
      </c>
      <c r="G74" s="483"/>
    </row>
    <row r="75" spans="1:8" ht="45" customHeight="1">
      <c r="A75" s="1131"/>
      <c r="B75" s="562" t="s">
        <v>2186</v>
      </c>
      <c r="C75" s="482" t="s">
        <v>2180</v>
      </c>
      <c r="D75" s="482" t="s">
        <v>52</v>
      </c>
      <c r="F75" s="482" t="s">
        <v>1763</v>
      </c>
      <c r="G75" s="483"/>
    </row>
    <row r="76" spans="1:8" ht="45" customHeight="1">
      <c r="A76" s="1131"/>
      <c r="B76" s="562" t="s">
        <v>2187</v>
      </c>
      <c r="C76" s="482" t="s">
        <v>2181</v>
      </c>
      <c r="D76" s="482" t="s">
        <v>17</v>
      </c>
      <c r="F76" s="482" t="s">
        <v>1763</v>
      </c>
      <c r="G76" s="483"/>
    </row>
    <row r="77" spans="1:8" ht="45" customHeight="1">
      <c r="A77" s="1132"/>
      <c r="B77" s="562" t="s">
        <v>2270</v>
      </c>
      <c r="C77" s="482" t="s">
        <v>2182</v>
      </c>
      <c r="D77" s="482" t="s">
        <v>52</v>
      </c>
      <c r="F77" s="482" t="s">
        <v>1763</v>
      </c>
      <c r="G77" s="483"/>
    </row>
    <row r="78" spans="1:8" ht="45" customHeight="1">
      <c r="A78" s="1115" t="s">
        <v>2274</v>
      </c>
      <c r="B78" s="522" t="s">
        <v>2271</v>
      </c>
      <c r="C78" s="483" t="s">
        <v>2267</v>
      </c>
      <c r="D78" s="483" t="s">
        <v>17</v>
      </c>
      <c r="E78" s="483" t="s">
        <v>2259</v>
      </c>
      <c r="F78" s="511"/>
      <c r="G78" s="483"/>
      <c r="H78" s="563" t="s">
        <v>2309</v>
      </c>
    </row>
    <row r="79" spans="1:8" ht="45" customHeight="1">
      <c r="A79" s="1116"/>
      <c r="B79" s="522" t="s">
        <v>2272</v>
      </c>
      <c r="C79" s="483" t="s">
        <v>2268</v>
      </c>
      <c r="D79" s="483" t="s">
        <v>17</v>
      </c>
      <c r="E79" s="483" t="s">
        <v>2259</v>
      </c>
      <c r="F79" s="511"/>
      <c r="G79" s="483"/>
      <c r="H79" s="563" t="s">
        <v>2309</v>
      </c>
    </row>
    <row r="80" spans="1:8" ht="45" customHeight="1">
      <c r="A80" s="1116"/>
      <c r="B80" s="522" t="s">
        <v>2318</v>
      </c>
      <c r="C80" s="483" t="s">
        <v>2269</v>
      </c>
      <c r="D80" s="483" t="s">
        <v>17</v>
      </c>
      <c r="E80" s="483" t="s">
        <v>2259</v>
      </c>
      <c r="F80" s="511"/>
      <c r="G80" s="483"/>
      <c r="H80" s="563" t="s">
        <v>2309</v>
      </c>
    </row>
    <row r="81" spans="1:7" ht="45" customHeight="1">
      <c r="A81" s="1114" t="s">
        <v>2701</v>
      </c>
      <c r="B81" s="705" t="s">
        <v>2698</v>
      </c>
      <c r="C81" s="704" t="s">
        <v>2689</v>
      </c>
      <c r="D81" s="704" t="s">
        <v>17</v>
      </c>
      <c r="E81" s="700"/>
      <c r="F81" s="700"/>
      <c r="G81" s="700"/>
    </row>
    <row r="82" spans="1:7" ht="45" customHeight="1">
      <c r="A82" s="1114"/>
      <c r="B82" s="705" t="s">
        <v>2699</v>
      </c>
      <c r="C82" s="704" t="s">
        <v>2690</v>
      </c>
      <c r="D82" s="704" t="s">
        <v>17</v>
      </c>
      <c r="E82" s="700"/>
      <c r="F82" s="700"/>
      <c r="G82" s="700"/>
    </row>
    <row r="83" spans="1:7" ht="45" customHeight="1">
      <c r="A83" s="1114"/>
      <c r="B83" s="705" t="s">
        <v>2700</v>
      </c>
      <c r="C83" s="704" t="s">
        <v>2691</v>
      </c>
      <c r="D83" s="704" t="s">
        <v>19</v>
      </c>
      <c r="E83" s="700"/>
      <c r="F83" s="700"/>
      <c r="G83" s="700"/>
    </row>
    <row r="84" spans="1:7" ht="45" customHeight="1">
      <c r="A84" s="1114"/>
      <c r="B84" s="705" t="s">
        <v>2702</v>
      </c>
      <c r="C84" s="704" t="s">
        <v>2692</v>
      </c>
      <c r="D84" s="704" t="s">
        <v>18</v>
      </c>
      <c r="E84" s="700"/>
      <c r="F84" s="700"/>
      <c r="G84" s="700"/>
    </row>
    <row r="85" spans="1:7" ht="45" customHeight="1">
      <c r="C85" s="266" t="s">
        <v>1280</v>
      </c>
    </row>
  </sheetData>
  <autoFilter ref="B2:H73" xr:uid="{00000000-0009-0000-0000-000004000000}"/>
  <mergeCells count="8">
    <mergeCell ref="A81:A84"/>
    <mergeCell ref="A78:A80"/>
    <mergeCell ref="B1:G1"/>
    <mergeCell ref="A3:A21"/>
    <mergeCell ref="A22:A44"/>
    <mergeCell ref="A45:A60"/>
    <mergeCell ref="A61:A73"/>
    <mergeCell ref="A74:A77"/>
  </mergeCells>
  <phoneticPr fontId="150" type="noConversion"/>
  <pageMargins left="0.25" right="0.25" top="0" bottom="0" header="0.3" footer="0.3"/>
  <pageSetup scale="60" orientation="portrait" r:id="rId1"/>
  <rowBreaks count="3" manualBreakCount="3">
    <brk id="24" min="1" max="6" man="1"/>
    <brk id="50" min="1" max="6" man="1"/>
    <brk id="73"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4"/>
  <sheetViews>
    <sheetView topLeftCell="A78" zoomScale="110" zoomScaleNormal="110" zoomScaleSheetLayoutView="91" workbookViewId="0">
      <selection activeCell="G84" sqref="G84"/>
    </sheetView>
  </sheetViews>
  <sheetFormatPr defaultColWidth="8" defaultRowHeight="45" customHeight="1"/>
  <cols>
    <col min="1" max="1" width="7.58203125" style="514" bestFit="1" customWidth="1"/>
    <col min="2" max="2" width="6.08203125" style="245" customWidth="1"/>
    <col min="3" max="3" width="46.5" style="272" customWidth="1"/>
    <col min="4" max="4" width="11.58203125" style="267" customWidth="1"/>
    <col min="5" max="5" width="16.58203125" style="267" hidden="1" customWidth="1"/>
    <col min="6" max="6" width="13.1640625" style="267" hidden="1" customWidth="1"/>
    <col min="7" max="7" width="65.1640625" style="271" customWidth="1"/>
    <col min="8" max="8" width="57.1640625" style="165" bestFit="1" customWidth="1"/>
    <col min="9" max="16384" width="8" style="268"/>
  </cols>
  <sheetData>
    <row r="1" spans="1:8" ht="45" customHeight="1">
      <c r="A1" s="512"/>
      <c r="B1" s="1134"/>
      <c r="C1" s="1134"/>
      <c r="D1" s="1134"/>
      <c r="E1" s="1134"/>
      <c r="F1" s="1134"/>
      <c r="G1" s="1134"/>
    </row>
    <row r="2" spans="1:8" s="269" customFormat="1" ht="56.25" customHeight="1">
      <c r="A2" s="513"/>
      <c r="B2" s="246" t="s">
        <v>45</v>
      </c>
      <c r="C2" s="222" t="s">
        <v>1758</v>
      </c>
      <c r="D2" s="247" t="s">
        <v>1759</v>
      </c>
      <c r="E2" s="247" t="s">
        <v>1760</v>
      </c>
      <c r="F2" s="247" t="s">
        <v>1761</v>
      </c>
      <c r="G2" s="247" t="s">
        <v>46</v>
      </c>
      <c r="H2" s="166" t="s">
        <v>2287</v>
      </c>
    </row>
    <row r="3" spans="1:8" ht="14">
      <c r="A3" s="1118" t="s">
        <v>2273</v>
      </c>
      <c r="B3" s="553" t="s">
        <v>0</v>
      </c>
      <c r="C3" s="221" t="s">
        <v>1857</v>
      </c>
      <c r="D3" s="249" t="s">
        <v>16</v>
      </c>
      <c r="E3" s="249"/>
      <c r="F3" s="249" t="s">
        <v>1763</v>
      </c>
      <c r="G3" s="564" t="s">
        <v>1857</v>
      </c>
      <c r="H3" s="456"/>
    </row>
    <row r="4" spans="1:8" ht="14">
      <c r="A4" s="1119"/>
      <c r="B4" s="553" t="s">
        <v>1</v>
      </c>
      <c r="C4" s="221" t="s">
        <v>1858</v>
      </c>
      <c r="D4" s="249" t="s">
        <v>16</v>
      </c>
      <c r="E4" s="249"/>
      <c r="F4" s="249" t="s">
        <v>1763</v>
      </c>
      <c r="G4" s="564" t="s">
        <v>1968</v>
      </c>
      <c r="H4" s="456"/>
    </row>
    <row r="5" spans="1:8" ht="14">
      <c r="A5" s="1119"/>
      <c r="B5" s="553" t="s">
        <v>2</v>
      </c>
      <c r="C5" s="221" t="s">
        <v>1859</v>
      </c>
      <c r="D5" s="249" t="s">
        <v>16</v>
      </c>
      <c r="E5" s="249"/>
      <c r="F5" s="249" t="s">
        <v>1763</v>
      </c>
      <c r="G5" s="564" t="s">
        <v>1859</v>
      </c>
      <c r="H5" s="456"/>
    </row>
    <row r="6" spans="1:8" ht="14">
      <c r="A6" s="1119"/>
      <c r="B6" s="553" t="s">
        <v>3</v>
      </c>
      <c r="C6" s="221" t="s">
        <v>1860</v>
      </c>
      <c r="D6" s="249" t="s">
        <v>18</v>
      </c>
      <c r="E6" s="249"/>
      <c r="F6" s="249" t="s">
        <v>1763</v>
      </c>
      <c r="G6" s="564" t="s">
        <v>1967</v>
      </c>
      <c r="H6" s="456"/>
    </row>
    <row r="7" spans="1:8" ht="14">
      <c r="A7" s="1119"/>
      <c r="B7" s="553" t="s">
        <v>4</v>
      </c>
      <c r="C7" s="221" t="s">
        <v>1861</v>
      </c>
      <c r="D7" s="249" t="s">
        <v>16</v>
      </c>
      <c r="E7" s="249"/>
      <c r="F7" s="249" t="s">
        <v>1763</v>
      </c>
      <c r="G7" s="564" t="s">
        <v>1861</v>
      </c>
      <c r="H7" s="456"/>
    </row>
    <row r="8" spans="1:8" ht="14">
      <c r="A8" s="1119"/>
      <c r="B8" s="553" t="s">
        <v>874</v>
      </c>
      <c r="C8" s="221" t="s">
        <v>1862</v>
      </c>
      <c r="D8" s="249" t="s">
        <v>16</v>
      </c>
      <c r="E8" s="249"/>
      <c r="F8" s="249" t="s">
        <v>1763</v>
      </c>
      <c r="G8" s="564" t="s">
        <v>1862</v>
      </c>
      <c r="H8" s="456"/>
    </row>
    <row r="9" spans="1:8" ht="26">
      <c r="A9" s="1119"/>
      <c r="B9" s="553" t="s">
        <v>5</v>
      </c>
      <c r="C9" s="221" t="s">
        <v>1863</v>
      </c>
      <c r="D9" s="249" t="s">
        <v>1942</v>
      </c>
      <c r="E9" s="249"/>
      <c r="F9" s="249" t="s">
        <v>1763</v>
      </c>
      <c r="G9" s="564" t="s">
        <v>1863</v>
      </c>
      <c r="H9" s="456"/>
    </row>
    <row r="10" spans="1:8" ht="25">
      <c r="A10" s="1119"/>
      <c r="B10" s="553" t="s">
        <v>6</v>
      </c>
      <c r="C10" s="221" t="s">
        <v>1864</v>
      </c>
      <c r="D10" s="249" t="s">
        <v>16</v>
      </c>
      <c r="E10" s="249"/>
      <c r="F10" s="249" t="s">
        <v>1763</v>
      </c>
      <c r="G10" s="564" t="s">
        <v>1864</v>
      </c>
      <c r="H10" s="456"/>
    </row>
    <row r="11" spans="1:8" ht="14">
      <c r="A11" s="1119"/>
      <c r="B11" s="553" t="s">
        <v>47</v>
      </c>
      <c r="C11" s="221" t="s">
        <v>1904</v>
      </c>
      <c r="D11" s="249" t="s">
        <v>17</v>
      </c>
      <c r="E11" s="249"/>
      <c r="F11" s="249" t="s">
        <v>1763</v>
      </c>
      <c r="G11" s="564" t="s">
        <v>1969</v>
      </c>
      <c r="H11" s="456"/>
    </row>
    <row r="12" spans="1:8" ht="14">
      <c r="A12" s="1119"/>
      <c r="B12" s="553" t="s">
        <v>48</v>
      </c>
      <c r="C12" s="221" t="s">
        <v>1903</v>
      </c>
      <c r="D12" s="249" t="s">
        <v>17</v>
      </c>
      <c r="E12" s="249"/>
      <c r="F12" s="249" t="s">
        <v>1763</v>
      </c>
      <c r="G12" s="564" t="s">
        <v>1970</v>
      </c>
      <c r="H12" s="456"/>
    </row>
    <row r="13" spans="1:8" ht="14">
      <c r="A13" s="1119"/>
      <c r="B13" s="553" t="s">
        <v>51</v>
      </c>
      <c r="C13" s="221" t="s">
        <v>1865</v>
      </c>
      <c r="D13" s="249" t="s">
        <v>19</v>
      </c>
      <c r="E13" s="249"/>
      <c r="F13" s="249" t="s">
        <v>1763</v>
      </c>
      <c r="G13" s="564" t="s">
        <v>1865</v>
      </c>
      <c r="H13" s="456"/>
    </row>
    <row r="14" spans="1:8" ht="14">
      <c r="A14" s="1119"/>
      <c r="B14" s="553" t="s">
        <v>53</v>
      </c>
      <c r="C14" s="221" t="s">
        <v>1866</v>
      </c>
      <c r="D14" s="249" t="s">
        <v>19</v>
      </c>
      <c r="E14" s="249"/>
      <c r="F14" s="249" t="s">
        <v>1763</v>
      </c>
      <c r="G14" s="564" t="s">
        <v>1866</v>
      </c>
      <c r="H14" s="456"/>
    </row>
    <row r="15" spans="1:8" ht="25">
      <c r="A15" s="1119"/>
      <c r="B15" s="553" t="s">
        <v>54</v>
      </c>
      <c r="C15" s="221" t="s">
        <v>2024</v>
      </c>
      <c r="D15" s="249" t="s">
        <v>17</v>
      </c>
      <c r="E15" s="249"/>
      <c r="F15" s="249" t="s">
        <v>1940</v>
      </c>
      <c r="G15" s="564" t="s">
        <v>2024</v>
      </c>
      <c r="H15" s="456"/>
    </row>
    <row r="16" spans="1:8" ht="37.5">
      <c r="A16" s="1119"/>
      <c r="B16" s="553" t="s">
        <v>115</v>
      </c>
      <c r="C16" s="221" t="s">
        <v>1572</v>
      </c>
      <c r="D16" s="249" t="s">
        <v>17</v>
      </c>
      <c r="E16" s="249"/>
      <c r="F16" s="249" t="s">
        <v>304</v>
      </c>
      <c r="G16" s="564" t="s">
        <v>1867</v>
      </c>
      <c r="H16" s="456"/>
    </row>
    <row r="17" spans="1:8" ht="37.5">
      <c r="A17" s="1119"/>
      <c r="B17" s="553" t="s">
        <v>116</v>
      </c>
      <c r="C17" s="221" t="s">
        <v>1868</v>
      </c>
      <c r="D17" s="249" t="s">
        <v>17</v>
      </c>
      <c r="E17" s="249"/>
      <c r="F17" s="249" t="s">
        <v>304</v>
      </c>
      <c r="G17" s="564" t="s">
        <v>1869</v>
      </c>
      <c r="H17" s="456"/>
    </row>
    <row r="18" spans="1:8" ht="26">
      <c r="A18" s="1119"/>
      <c r="B18" s="553" t="s">
        <v>59</v>
      </c>
      <c r="C18" s="221" t="s">
        <v>1870</v>
      </c>
      <c r="D18" s="249" t="s">
        <v>17</v>
      </c>
      <c r="E18" s="249" t="s">
        <v>1991</v>
      </c>
      <c r="F18" s="249" t="s">
        <v>1763</v>
      </c>
      <c r="G18" s="564" t="s">
        <v>1871</v>
      </c>
      <c r="H18" s="456"/>
    </row>
    <row r="19" spans="1:8" ht="26">
      <c r="A19" s="1119"/>
      <c r="B19" s="553" t="s">
        <v>57</v>
      </c>
      <c r="C19" s="221" t="s">
        <v>1872</v>
      </c>
      <c r="D19" s="249" t="s">
        <v>1780</v>
      </c>
      <c r="E19" s="249"/>
      <c r="F19" s="249" t="s">
        <v>1763</v>
      </c>
      <c r="G19" s="564" t="s">
        <v>1971</v>
      </c>
      <c r="H19" s="456"/>
    </row>
    <row r="20" spans="1:8" ht="14">
      <c r="A20" s="1119"/>
      <c r="B20" s="553" t="s">
        <v>61</v>
      </c>
      <c r="C20" s="221" t="s">
        <v>1873</v>
      </c>
      <c r="D20" s="249" t="s">
        <v>17</v>
      </c>
      <c r="E20" s="249"/>
      <c r="F20" s="249" t="s">
        <v>1763</v>
      </c>
      <c r="G20" s="564" t="s">
        <v>1973</v>
      </c>
      <c r="H20" s="456"/>
    </row>
    <row r="21" spans="1:8" ht="14">
      <c r="A21" s="1120"/>
      <c r="B21" s="553" t="s">
        <v>875</v>
      </c>
      <c r="C21" s="221" t="s">
        <v>1874</v>
      </c>
      <c r="D21" s="249" t="s">
        <v>17</v>
      </c>
      <c r="E21" s="249"/>
      <c r="F21" s="249" t="s">
        <v>1763</v>
      </c>
      <c r="G21" s="564" t="s">
        <v>1972</v>
      </c>
      <c r="H21" s="456"/>
    </row>
    <row r="22" spans="1:8" ht="39">
      <c r="A22" s="1121" t="s">
        <v>1582</v>
      </c>
      <c r="B22" s="555" t="s">
        <v>62</v>
      </c>
      <c r="C22" s="212" t="s">
        <v>1945</v>
      </c>
      <c r="D22" s="167" t="s">
        <v>17</v>
      </c>
      <c r="E22" s="167"/>
      <c r="F22" s="167" t="s">
        <v>1763</v>
      </c>
      <c r="G22" s="210" t="s">
        <v>1974</v>
      </c>
      <c r="H22" s="457" t="s">
        <v>2302</v>
      </c>
    </row>
    <row r="23" spans="1:8" ht="37.5">
      <c r="A23" s="1122"/>
      <c r="B23" s="555" t="s">
        <v>63</v>
      </c>
      <c r="C23" s="212" t="s">
        <v>1913</v>
      </c>
      <c r="D23" s="167" t="s">
        <v>17</v>
      </c>
      <c r="E23" s="167"/>
      <c r="F23" s="167" t="s">
        <v>1763</v>
      </c>
      <c r="G23" s="210" t="s">
        <v>1913</v>
      </c>
      <c r="H23" s="456"/>
    </row>
    <row r="24" spans="1:8" ht="25">
      <c r="A24" s="1122"/>
      <c r="B24" s="555" t="s">
        <v>64</v>
      </c>
      <c r="C24" s="212" t="s">
        <v>1914</v>
      </c>
      <c r="D24" s="167" t="s">
        <v>17</v>
      </c>
      <c r="E24" s="167"/>
      <c r="F24" s="167" t="s">
        <v>1763</v>
      </c>
      <c r="G24" s="213" t="s">
        <v>1915</v>
      </c>
      <c r="H24" s="456"/>
    </row>
    <row r="25" spans="1:8" ht="39">
      <c r="A25" s="1122"/>
      <c r="B25" s="555" t="s">
        <v>66</v>
      </c>
      <c r="C25" s="214" t="s">
        <v>2025</v>
      </c>
      <c r="D25" s="168" t="s">
        <v>17</v>
      </c>
      <c r="E25" s="167"/>
      <c r="F25" s="168" t="s">
        <v>1763</v>
      </c>
      <c r="G25" s="211" t="s">
        <v>1946</v>
      </c>
      <c r="H25" s="457" t="s">
        <v>2302</v>
      </c>
    </row>
    <row r="26" spans="1:8" ht="39">
      <c r="A26" s="1122"/>
      <c r="B26" s="555" t="s">
        <v>876</v>
      </c>
      <c r="C26" s="212" t="s">
        <v>1947</v>
      </c>
      <c r="D26" s="168" t="s">
        <v>17</v>
      </c>
      <c r="E26" s="167"/>
      <c r="F26" s="168" t="s">
        <v>1763</v>
      </c>
      <c r="G26" s="213" t="s">
        <v>1897</v>
      </c>
      <c r="H26" s="457" t="s">
        <v>2302</v>
      </c>
    </row>
    <row r="27" spans="1:8" ht="62.5">
      <c r="A27" s="1122"/>
      <c r="B27" s="555" t="s">
        <v>67</v>
      </c>
      <c r="C27" s="214" t="s">
        <v>2026</v>
      </c>
      <c r="D27" s="168" t="s">
        <v>17</v>
      </c>
      <c r="E27" s="167"/>
      <c r="F27" s="168" t="s">
        <v>1763</v>
      </c>
      <c r="G27" s="214" t="s">
        <v>2026</v>
      </c>
      <c r="H27" s="456"/>
    </row>
    <row r="28" spans="1:8" ht="62.5">
      <c r="A28" s="1122"/>
      <c r="B28" s="555" t="s">
        <v>68</v>
      </c>
      <c r="C28" s="212" t="s">
        <v>2027</v>
      </c>
      <c r="D28" s="168" t="s">
        <v>17</v>
      </c>
      <c r="E28" s="167"/>
      <c r="F28" s="168" t="s">
        <v>1763</v>
      </c>
      <c r="G28" s="212" t="s">
        <v>2027</v>
      </c>
      <c r="H28" s="456"/>
    </row>
    <row r="29" spans="1:8" ht="39">
      <c r="A29" s="1122"/>
      <c r="B29" s="555" t="s">
        <v>69</v>
      </c>
      <c r="C29" s="214" t="s">
        <v>1975</v>
      </c>
      <c r="D29" s="168" t="s">
        <v>2000</v>
      </c>
      <c r="E29" s="168" t="s">
        <v>1929</v>
      </c>
      <c r="F29" s="168" t="s">
        <v>1763</v>
      </c>
      <c r="G29" s="211" t="s">
        <v>1898</v>
      </c>
      <c r="H29" s="457" t="s">
        <v>2302</v>
      </c>
    </row>
    <row r="30" spans="1:8" ht="50">
      <c r="A30" s="1122"/>
      <c r="B30" s="555" t="s">
        <v>70</v>
      </c>
      <c r="C30" s="214" t="s">
        <v>1980</v>
      </c>
      <c r="D30" s="168" t="s">
        <v>2000</v>
      </c>
      <c r="E30" s="168"/>
      <c r="F30" s="168" t="s">
        <v>1763</v>
      </c>
      <c r="G30" s="211" t="s">
        <v>1916</v>
      </c>
      <c r="H30" s="456"/>
    </row>
    <row r="31" spans="1:8" ht="50">
      <c r="A31" s="1122"/>
      <c r="B31" s="555" t="s">
        <v>1011</v>
      </c>
      <c r="C31" s="214" t="s">
        <v>2028</v>
      </c>
      <c r="D31" s="168" t="s">
        <v>2000</v>
      </c>
      <c r="E31" s="168"/>
      <c r="F31" s="168" t="s">
        <v>1763</v>
      </c>
      <c r="G31" s="211" t="s">
        <v>1917</v>
      </c>
      <c r="H31" s="458"/>
    </row>
    <row r="32" spans="1:8" ht="62" customHeight="1">
      <c r="A32" s="1122"/>
      <c r="B32" s="555" t="s">
        <v>1012</v>
      </c>
      <c r="C32" s="214" t="s">
        <v>2319</v>
      </c>
      <c r="D32" s="168" t="s">
        <v>17</v>
      </c>
      <c r="E32" s="167" t="s">
        <v>2001</v>
      </c>
      <c r="F32" s="168" t="s">
        <v>1940</v>
      </c>
      <c r="G32" s="213" t="s">
        <v>1875</v>
      </c>
      <c r="H32" s="457" t="s">
        <v>2302</v>
      </c>
    </row>
    <row r="33" spans="1:8" ht="39">
      <c r="A33" s="1122"/>
      <c r="B33" s="555" t="s">
        <v>1013</v>
      </c>
      <c r="C33" s="214" t="s">
        <v>1927</v>
      </c>
      <c r="D33" s="230" t="s">
        <v>17</v>
      </c>
      <c r="E33" s="167" t="s">
        <v>1783</v>
      </c>
      <c r="F33" s="230" t="s">
        <v>304</v>
      </c>
      <c r="G33" s="228" t="s">
        <v>1876</v>
      </c>
      <c r="H33" s="457" t="s">
        <v>2302</v>
      </c>
    </row>
    <row r="34" spans="1:8" ht="39">
      <c r="A34" s="1122"/>
      <c r="B34" s="555" t="s">
        <v>1014</v>
      </c>
      <c r="C34" s="214" t="s">
        <v>2320</v>
      </c>
      <c r="D34" s="230" t="s">
        <v>17</v>
      </c>
      <c r="E34" s="167" t="s">
        <v>1783</v>
      </c>
      <c r="F34" s="230" t="s">
        <v>1763</v>
      </c>
      <c r="G34" s="228" t="s">
        <v>2029</v>
      </c>
      <c r="H34" s="457" t="s">
        <v>2302</v>
      </c>
    </row>
    <row r="35" spans="1:8" ht="37.5">
      <c r="A35" s="1122"/>
      <c r="B35" s="555" t="s">
        <v>1015</v>
      </c>
      <c r="C35" s="214" t="s">
        <v>2030</v>
      </c>
      <c r="D35" s="250" t="s">
        <v>17</v>
      </c>
      <c r="E35" s="251"/>
      <c r="F35" s="252" t="s">
        <v>304</v>
      </c>
      <c r="G35" s="214" t="s">
        <v>2030</v>
      </c>
      <c r="H35" s="459"/>
    </row>
    <row r="36" spans="1:8" ht="55.25" customHeight="1">
      <c r="A36" s="1122"/>
      <c r="B36" s="555" t="s">
        <v>1016</v>
      </c>
      <c r="C36" s="214" t="s">
        <v>2031</v>
      </c>
      <c r="D36" s="252" t="s">
        <v>17</v>
      </c>
      <c r="E36" s="252"/>
      <c r="F36" s="252" t="s">
        <v>304</v>
      </c>
      <c r="G36" s="228" t="s">
        <v>2032</v>
      </c>
      <c r="H36" s="459"/>
    </row>
    <row r="37" spans="1:8" ht="25">
      <c r="A37" s="1122"/>
      <c r="B37" s="555" t="s">
        <v>1017</v>
      </c>
      <c r="C37" s="214" t="s">
        <v>1918</v>
      </c>
      <c r="D37" s="169" t="s">
        <v>17</v>
      </c>
      <c r="E37" s="169"/>
      <c r="F37" s="169" t="s">
        <v>1763</v>
      </c>
      <c r="G37" s="228" t="s">
        <v>1919</v>
      </c>
      <c r="H37" s="456"/>
    </row>
    <row r="38" spans="1:8" ht="50">
      <c r="A38" s="1122"/>
      <c r="B38" s="555" t="s">
        <v>1018</v>
      </c>
      <c r="C38" s="211" t="s">
        <v>2275</v>
      </c>
      <c r="D38" s="169" t="s">
        <v>17</v>
      </c>
      <c r="E38" s="169"/>
      <c r="F38" s="169" t="s">
        <v>1763</v>
      </c>
      <c r="G38" s="211" t="s">
        <v>2275</v>
      </c>
      <c r="H38" s="456"/>
    </row>
    <row r="39" spans="1:8" ht="25">
      <c r="A39" s="1122"/>
      <c r="B39" s="555" t="s">
        <v>1019</v>
      </c>
      <c r="C39" s="214" t="s">
        <v>1921</v>
      </c>
      <c r="D39" s="557" t="s">
        <v>17</v>
      </c>
      <c r="E39" s="557"/>
      <c r="F39" s="169" t="s">
        <v>1763</v>
      </c>
      <c r="G39" s="228" t="s">
        <v>1920</v>
      </c>
      <c r="H39" s="456"/>
    </row>
    <row r="40" spans="1:8" ht="62.75" customHeight="1">
      <c r="A40" s="1122"/>
      <c r="B40" s="555" t="s">
        <v>1020</v>
      </c>
      <c r="C40" s="214" t="s">
        <v>2276</v>
      </c>
      <c r="D40" s="557" t="s">
        <v>17</v>
      </c>
      <c r="E40" s="557"/>
      <c r="F40" s="169" t="s">
        <v>1763</v>
      </c>
      <c r="G40" s="228" t="s">
        <v>2277</v>
      </c>
      <c r="H40" s="456"/>
    </row>
    <row r="41" spans="1:8" ht="37.5">
      <c r="A41" s="1122"/>
      <c r="B41" s="555" t="s">
        <v>1568</v>
      </c>
      <c r="C41" s="214" t="s">
        <v>2282</v>
      </c>
      <c r="D41" s="168" t="s">
        <v>17</v>
      </c>
      <c r="E41" s="168"/>
      <c r="F41" s="169" t="s">
        <v>1940</v>
      </c>
      <c r="G41" s="214" t="s">
        <v>2282</v>
      </c>
      <c r="H41" s="456"/>
    </row>
    <row r="42" spans="1:8" ht="78">
      <c r="A42" s="1122"/>
      <c r="B42" s="555" t="s">
        <v>1570</v>
      </c>
      <c r="C42" s="214" t="s">
        <v>2283</v>
      </c>
      <c r="D42" s="226" t="s">
        <v>17</v>
      </c>
      <c r="E42" s="168"/>
      <c r="F42" s="169" t="s">
        <v>1940</v>
      </c>
      <c r="G42" s="228" t="s">
        <v>2284</v>
      </c>
      <c r="H42" s="457" t="s">
        <v>2308</v>
      </c>
    </row>
    <row r="43" spans="1:8" ht="25">
      <c r="A43" s="1123"/>
      <c r="B43" s="555" t="s">
        <v>1713</v>
      </c>
      <c r="C43" s="214" t="s">
        <v>1877</v>
      </c>
      <c r="D43" s="226" t="s">
        <v>18</v>
      </c>
      <c r="E43" s="226"/>
      <c r="F43" s="226" t="s">
        <v>1763</v>
      </c>
      <c r="G43" s="228" t="s">
        <v>1877</v>
      </c>
      <c r="H43" s="456"/>
    </row>
    <row r="44" spans="1:8" ht="87.65" customHeight="1">
      <c r="A44" s="1124" t="s">
        <v>1583</v>
      </c>
      <c r="B44" s="558" t="s">
        <v>1788</v>
      </c>
      <c r="C44" s="215" t="s">
        <v>1976</v>
      </c>
      <c r="D44" s="170" t="s">
        <v>17</v>
      </c>
      <c r="E44" s="170"/>
      <c r="F44" s="170" t="s">
        <v>1763</v>
      </c>
      <c r="G44" s="216" t="s">
        <v>1928</v>
      </c>
      <c r="H44" s="457" t="s">
        <v>2297</v>
      </c>
    </row>
    <row r="45" spans="1:8" ht="39">
      <c r="A45" s="1125"/>
      <c r="B45" s="558" t="s">
        <v>1790</v>
      </c>
      <c r="C45" s="215" t="s">
        <v>2033</v>
      </c>
      <c r="D45" s="170" t="s">
        <v>17</v>
      </c>
      <c r="E45" s="170"/>
      <c r="F45" s="170" t="s">
        <v>1763</v>
      </c>
      <c r="G45" s="216" t="s">
        <v>1977</v>
      </c>
      <c r="H45" s="457" t="s">
        <v>2297</v>
      </c>
    </row>
    <row r="46" spans="1:8" ht="25">
      <c r="A46" s="1125"/>
      <c r="B46" s="558" t="s">
        <v>1791</v>
      </c>
      <c r="C46" s="215" t="s">
        <v>2034</v>
      </c>
      <c r="D46" s="170" t="s">
        <v>18</v>
      </c>
      <c r="E46" s="170"/>
      <c r="F46" s="170" t="s">
        <v>1763</v>
      </c>
      <c r="G46" s="216" t="s">
        <v>2035</v>
      </c>
      <c r="H46" s="456"/>
    </row>
    <row r="47" spans="1:8" ht="50">
      <c r="A47" s="1125"/>
      <c r="B47" s="558" t="s">
        <v>1792</v>
      </c>
      <c r="C47" s="215" t="s">
        <v>2036</v>
      </c>
      <c r="D47" s="170" t="s">
        <v>17</v>
      </c>
      <c r="E47" s="170"/>
      <c r="F47" s="170" t="s">
        <v>1763</v>
      </c>
      <c r="G47" s="216" t="s">
        <v>2037</v>
      </c>
      <c r="H47" s="456"/>
    </row>
    <row r="48" spans="1:8" ht="62.5">
      <c r="A48" s="1125"/>
      <c r="B48" s="558" t="s">
        <v>1793</v>
      </c>
      <c r="C48" s="215" t="s">
        <v>2038</v>
      </c>
      <c r="D48" s="170" t="s">
        <v>17</v>
      </c>
      <c r="E48" s="170"/>
      <c r="F48" s="170" t="s">
        <v>1763</v>
      </c>
      <c r="G48" s="216" t="s">
        <v>2039</v>
      </c>
      <c r="H48" s="456"/>
    </row>
    <row r="49" spans="1:8" ht="25">
      <c r="A49" s="1125"/>
      <c r="B49" s="558" t="s">
        <v>1794</v>
      </c>
      <c r="C49" s="215" t="s">
        <v>1922</v>
      </c>
      <c r="D49" s="170" t="s">
        <v>17</v>
      </c>
      <c r="E49" s="170"/>
      <c r="F49" s="170" t="s">
        <v>1763</v>
      </c>
      <c r="G49" s="216" t="s">
        <v>1923</v>
      </c>
      <c r="H49" s="456" t="s">
        <v>1787</v>
      </c>
    </row>
    <row r="50" spans="1:8" ht="25">
      <c r="A50" s="1125"/>
      <c r="B50" s="558" t="s">
        <v>1795</v>
      </c>
      <c r="C50" s="215" t="s">
        <v>1925</v>
      </c>
      <c r="D50" s="255" t="s">
        <v>2000</v>
      </c>
      <c r="E50" s="255"/>
      <c r="F50" s="255" t="s">
        <v>304</v>
      </c>
      <c r="G50" s="216" t="s">
        <v>1924</v>
      </c>
      <c r="H50" s="456" t="s">
        <v>1787</v>
      </c>
    </row>
    <row r="51" spans="1:8" ht="25">
      <c r="A51" s="1125"/>
      <c r="B51" s="558" t="s">
        <v>1797</v>
      </c>
      <c r="C51" s="215" t="s">
        <v>1926</v>
      </c>
      <c r="D51" s="170" t="s">
        <v>17</v>
      </c>
      <c r="E51" s="170"/>
      <c r="F51" s="170" t="s">
        <v>304</v>
      </c>
      <c r="G51" s="216" t="s">
        <v>1878</v>
      </c>
      <c r="H51" s="456"/>
    </row>
    <row r="52" spans="1:8" ht="62" customHeight="1">
      <c r="A52" s="1125"/>
      <c r="B52" s="558" t="s">
        <v>1799</v>
      </c>
      <c r="C52" s="217" t="s">
        <v>1879</v>
      </c>
      <c r="D52" s="170" t="s">
        <v>1912</v>
      </c>
      <c r="E52" s="257"/>
      <c r="F52" s="257" t="s">
        <v>1763</v>
      </c>
      <c r="G52" s="216" t="s">
        <v>1880</v>
      </c>
      <c r="H52" s="456"/>
    </row>
    <row r="53" spans="1:8" ht="52">
      <c r="A53" s="1125"/>
      <c r="B53" s="558" t="s">
        <v>1800</v>
      </c>
      <c r="C53" s="217" t="s">
        <v>1899</v>
      </c>
      <c r="D53" s="170" t="s">
        <v>1908</v>
      </c>
      <c r="E53" s="259"/>
      <c r="F53" s="259" t="s">
        <v>1763</v>
      </c>
      <c r="G53" s="216" t="s">
        <v>1881</v>
      </c>
      <c r="H53" s="456"/>
    </row>
    <row r="54" spans="1:8" ht="39">
      <c r="A54" s="1125"/>
      <c r="B54" s="558" t="s">
        <v>1801</v>
      </c>
      <c r="C54" s="217" t="s">
        <v>1882</v>
      </c>
      <c r="D54" s="259" t="s">
        <v>17</v>
      </c>
      <c r="E54" s="259"/>
      <c r="F54" s="259" t="s">
        <v>1763</v>
      </c>
      <c r="G54" s="216" t="s">
        <v>1883</v>
      </c>
      <c r="H54" s="457" t="s">
        <v>2297</v>
      </c>
    </row>
    <row r="55" spans="1:8" ht="39">
      <c r="A55" s="1125"/>
      <c r="B55" s="558" t="s">
        <v>1802</v>
      </c>
      <c r="C55" s="217" t="s">
        <v>1884</v>
      </c>
      <c r="D55" s="259" t="s">
        <v>17</v>
      </c>
      <c r="E55" s="259"/>
      <c r="F55" s="259" t="s">
        <v>1763</v>
      </c>
      <c r="G55" s="216" t="s">
        <v>1885</v>
      </c>
      <c r="H55" s="457" t="s">
        <v>2297</v>
      </c>
    </row>
    <row r="56" spans="1:8" ht="65">
      <c r="A56" s="1125"/>
      <c r="B56" s="558" t="s">
        <v>1803</v>
      </c>
      <c r="C56" s="217" t="s">
        <v>2321</v>
      </c>
      <c r="D56" s="259" t="s">
        <v>17</v>
      </c>
      <c r="E56" s="259"/>
      <c r="F56" s="259" t="s">
        <v>1940</v>
      </c>
      <c r="G56" s="216" t="s">
        <v>2322</v>
      </c>
      <c r="H56" s="457" t="s">
        <v>2303</v>
      </c>
    </row>
    <row r="57" spans="1:8" ht="37.5">
      <c r="A57" s="1125"/>
      <c r="B57" s="558" t="s">
        <v>1805</v>
      </c>
      <c r="C57" s="217" t="s">
        <v>2323</v>
      </c>
      <c r="D57" s="259"/>
      <c r="E57" s="259"/>
      <c r="F57" s="259"/>
      <c r="G57" s="216" t="s">
        <v>2324</v>
      </c>
      <c r="H57" s="457"/>
    </row>
    <row r="58" spans="1:8" ht="52">
      <c r="A58" s="1125"/>
      <c r="B58" s="558" t="s">
        <v>1807</v>
      </c>
      <c r="C58" s="217" t="s">
        <v>2192</v>
      </c>
      <c r="D58" s="259" t="s">
        <v>17</v>
      </c>
      <c r="E58" s="259"/>
      <c r="F58" s="259" t="s">
        <v>1763</v>
      </c>
      <c r="G58" s="254" t="s">
        <v>2178</v>
      </c>
      <c r="H58" s="457" t="s">
        <v>2297</v>
      </c>
    </row>
    <row r="59" spans="1:8" ht="25">
      <c r="A59" s="1126"/>
      <c r="B59" s="558" t="s">
        <v>1809</v>
      </c>
      <c r="C59" s="217" t="s">
        <v>1886</v>
      </c>
      <c r="D59" s="259" t="s">
        <v>18</v>
      </c>
      <c r="E59" s="259"/>
      <c r="F59" s="259" t="s">
        <v>1763</v>
      </c>
      <c r="G59" s="216" t="s">
        <v>1887</v>
      </c>
      <c r="H59" s="456"/>
    </row>
    <row r="60" spans="1:8" ht="25">
      <c r="A60" s="1127" t="s">
        <v>1584</v>
      </c>
      <c r="B60" s="560" t="s">
        <v>1812</v>
      </c>
      <c r="C60" s="218" t="s">
        <v>1888</v>
      </c>
      <c r="D60" s="260" t="s">
        <v>17</v>
      </c>
      <c r="E60" s="260"/>
      <c r="F60" s="260" t="s">
        <v>2015</v>
      </c>
      <c r="G60" s="220" t="s">
        <v>1889</v>
      </c>
      <c r="H60" s="456"/>
    </row>
    <row r="61" spans="1:8" ht="25">
      <c r="A61" s="1128"/>
      <c r="B61" s="560" t="s">
        <v>1815</v>
      </c>
      <c r="C61" s="218" t="s">
        <v>1978</v>
      </c>
      <c r="D61" s="260" t="s">
        <v>17</v>
      </c>
      <c r="E61" s="260"/>
      <c r="F61" s="260" t="s">
        <v>2015</v>
      </c>
      <c r="G61" s="220" t="s">
        <v>1978</v>
      </c>
      <c r="H61" s="456"/>
    </row>
    <row r="62" spans="1:8" ht="25">
      <c r="A62" s="1128"/>
      <c r="B62" s="560" t="s">
        <v>1817</v>
      </c>
      <c r="C62" s="218" t="s">
        <v>1890</v>
      </c>
      <c r="D62" s="262" t="s">
        <v>17</v>
      </c>
      <c r="E62" s="262"/>
      <c r="F62" s="262" t="s">
        <v>304</v>
      </c>
      <c r="G62" s="220" t="s">
        <v>1890</v>
      </c>
      <c r="H62" s="456"/>
    </row>
    <row r="63" spans="1:8" ht="56.75" customHeight="1">
      <c r="A63" s="1128"/>
      <c r="B63" s="560" t="s">
        <v>1818</v>
      </c>
      <c r="C63" s="218" t="s">
        <v>1891</v>
      </c>
      <c r="D63" s="262" t="s">
        <v>17</v>
      </c>
      <c r="E63" s="262"/>
      <c r="F63" s="260" t="s">
        <v>2015</v>
      </c>
      <c r="G63" s="220" t="s">
        <v>1892</v>
      </c>
      <c r="H63" s="456"/>
    </row>
    <row r="64" spans="1:8" ht="56.75" customHeight="1">
      <c r="A64" s="1128"/>
      <c r="B64" s="560" t="s">
        <v>1819</v>
      </c>
      <c r="C64" s="218" t="s">
        <v>1979</v>
      </c>
      <c r="D64" s="262" t="s">
        <v>17</v>
      </c>
      <c r="E64" s="262"/>
      <c r="F64" s="260" t="s">
        <v>2015</v>
      </c>
      <c r="G64" s="220" t="s">
        <v>1979</v>
      </c>
      <c r="H64" s="456"/>
    </row>
    <row r="65" spans="1:8" ht="56.75" customHeight="1">
      <c r="A65" s="1128"/>
      <c r="B65" s="560" t="s">
        <v>1820</v>
      </c>
      <c r="C65" s="219" t="s">
        <v>1900</v>
      </c>
      <c r="D65" s="262" t="s">
        <v>17</v>
      </c>
      <c r="E65" s="262"/>
      <c r="F65" s="262" t="s">
        <v>1763</v>
      </c>
      <c r="G65" s="220" t="s">
        <v>1901</v>
      </c>
      <c r="H65" s="457" t="s">
        <v>2304</v>
      </c>
    </row>
    <row r="66" spans="1:8" ht="51" customHeight="1">
      <c r="A66" s="1128"/>
      <c r="B66" s="560" t="s">
        <v>1954</v>
      </c>
      <c r="C66" s="219" t="s">
        <v>1902</v>
      </c>
      <c r="D66" s="262" t="s">
        <v>17</v>
      </c>
      <c r="E66" s="262"/>
      <c r="F66" s="262" t="s">
        <v>1763</v>
      </c>
      <c r="G66" s="220" t="s">
        <v>1893</v>
      </c>
      <c r="H66" s="457" t="s">
        <v>2304</v>
      </c>
    </row>
    <row r="67" spans="1:8" ht="44.25" customHeight="1">
      <c r="A67" s="1128"/>
      <c r="B67" s="560" t="s">
        <v>1955</v>
      </c>
      <c r="C67" s="219" t="s">
        <v>1894</v>
      </c>
      <c r="D67" s="229" t="s">
        <v>17</v>
      </c>
      <c r="E67" s="229"/>
      <c r="F67" s="262" t="s">
        <v>1763</v>
      </c>
      <c r="G67" s="220" t="s">
        <v>1894</v>
      </c>
      <c r="H67" s="457" t="s">
        <v>2304</v>
      </c>
    </row>
    <row r="68" spans="1:8" ht="50">
      <c r="A68" s="1128"/>
      <c r="B68" s="560" t="s">
        <v>2018</v>
      </c>
      <c r="C68" s="219" t="s">
        <v>2325</v>
      </c>
      <c r="D68" s="229" t="s">
        <v>17</v>
      </c>
      <c r="E68" s="229"/>
      <c r="F68" s="262" t="s">
        <v>1763</v>
      </c>
      <c r="G68" s="220" t="s">
        <v>2325</v>
      </c>
      <c r="H68" s="457" t="s">
        <v>2304</v>
      </c>
    </row>
    <row r="69" spans="1:8" ht="26">
      <c r="A69" s="1128"/>
      <c r="B69" s="560" t="s">
        <v>2021</v>
      </c>
      <c r="C69" s="219" t="s">
        <v>1895</v>
      </c>
      <c r="D69" s="229" t="s">
        <v>1907</v>
      </c>
      <c r="E69" s="229"/>
      <c r="F69" s="229" t="s">
        <v>1940</v>
      </c>
      <c r="G69" s="220" t="s">
        <v>1895</v>
      </c>
      <c r="H69" s="262"/>
    </row>
    <row r="70" spans="1:8" ht="50">
      <c r="A70" s="1128"/>
      <c r="B70" s="560" t="s">
        <v>2023</v>
      </c>
      <c r="C70" s="219" t="s">
        <v>2040</v>
      </c>
      <c r="D70" s="229" t="s">
        <v>17</v>
      </c>
      <c r="E70" s="229"/>
      <c r="F70" s="229" t="s">
        <v>1940</v>
      </c>
      <c r="G70" s="220" t="s">
        <v>2040</v>
      </c>
      <c r="H70" s="456"/>
    </row>
    <row r="71" spans="1:8" ht="25">
      <c r="A71" s="1128"/>
      <c r="B71" s="560" t="s">
        <v>2183</v>
      </c>
      <c r="C71" s="219" t="s">
        <v>2041</v>
      </c>
      <c r="D71" s="264" t="s">
        <v>52</v>
      </c>
      <c r="E71" s="264"/>
      <c r="F71" s="229" t="s">
        <v>304</v>
      </c>
      <c r="G71" s="220" t="s">
        <v>2041</v>
      </c>
      <c r="H71" s="459"/>
    </row>
    <row r="72" spans="1:8" ht="54.75" customHeight="1">
      <c r="A72" s="1129"/>
      <c r="B72" s="560" t="s">
        <v>2184</v>
      </c>
      <c r="C72" s="219" t="s">
        <v>1896</v>
      </c>
      <c r="D72" s="264" t="s">
        <v>18</v>
      </c>
      <c r="E72" s="264"/>
      <c r="F72" s="264" t="s">
        <v>1763</v>
      </c>
      <c r="G72" s="220" t="s">
        <v>1896</v>
      </c>
      <c r="H72" s="459"/>
    </row>
    <row r="73" spans="1:8" ht="51">
      <c r="A73" s="1130" t="s">
        <v>2224</v>
      </c>
      <c r="B73" s="562" t="s">
        <v>2185</v>
      </c>
      <c r="C73" s="486" t="s">
        <v>2193</v>
      </c>
      <c r="D73" s="482" t="s">
        <v>52</v>
      </c>
      <c r="F73" s="482" t="s">
        <v>1763</v>
      </c>
      <c r="G73" s="486" t="s">
        <v>2193</v>
      </c>
      <c r="H73" s="455"/>
    </row>
    <row r="74" spans="1:8" ht="54.75" customHeight="1">
      <c r="A74" s="1131"/>
      <c r="B74" s="562" t="s">
        <v>2186</v>
      </c>
      <c r="C74" s="486" t="s">
        <v>2194</v>
      </c>
      <c r="D74" s="482" t="s">
        <v>52</v>
      </c>
      <c r="F74" s="482" t="s">
        <v>1763</v>
      </c>
      <c r="G74" s="486" t="s">
        <v>2194</v>
      </c>
      <c r="H74" s="455"/>
    </row>
    <row r="75" spans="1:8" ht="38.5">
      <c r="A75" s="1131"/>
      <c r="B75" s="562" t="s">
        <v>2187</v>
      </c>
      <c r="C75" s="486" t="s">
        <v>2196</v>
      </c>
      <c r="D75" s="482" t="s">
        <v>17</v>
      </c>
      <c r="F75" s="482" t="s">
        <v>1763</v>
      </c>
      <c r="G75" s="486" t="s">
        <v>2196</v>
      </c>
      <c r="H75" s="455"/>
    </row>
    <row r="76" spans="1:8" ht="50">
      <c r="A76" s="1132"/>
      <c r="B76" s="562" t="s">
        <v>2270</v>
      </c>
      <c r="C76" s="486" t="s">
        <v>2195</v>
      </c>
      <c r="D76" s="482" t="s">
        <v>52</v>
      </c>
      <c r="F76" s="482" t="s">
        <v>1763</v>
      </c>
      <c r="G76" s="486" t="s">
        <v>2195</v>
      </c>
      <c r="H76" s="455"/>
    </row>
    <row r="77" spans="1:8" ht="39">
      <c r="A77" s="1115" t="s">
        <v>2274</v>
      </c>
      <c r="B77" s="510" t="s">
        <v>2271</v>
      </c>
      <c r="C77" s="483" t="s">
        <v>2267</v>
      </c>
      <c r="D77" s="483" t="s">
        <v>17</v>
      </c>
      <c r="E77" s="483" t="s">
        <v>2259</v>
      </c>
      <c r="F77" s="511"/>
      <c r="G77" s="483"/>
      <c r="H77" s="457" t="s">
        <v>2309</v>
      </c>
    </row>
    <row r="78" spans="1:8" ht="39">
      <c r="A78" s="1116"/>
      <c r="B78" s="510" t="s">
        <v>2272</v>
      </c>
      <c r="C78" s="483" t="s">
        <v>2268</v>
      </c>
      <c r="D78" s="483" t="s">
        <v>17</v>
      </c>
      <c r="E78" s="483" t="s">
        <v>2259</v>
      </c>
      <c r="F78" s="511"/>
      <c r="G78" s="483"/>
      <c r="H78" s="457" t="s">
        <v>2309</v>
      </c>
    </row>
    <row r="79" spans="1:8" ht="26">
      <c r="A79" s="1116"/>
      <c r="B79" s="510" t="s">
        <v>2318</v>
      </c>
      <c r="C79" s="483" t="s">
        <v>2269</v>
      </c>
      <c r="D79" s="483" t="s">
        <v>17</v>
      </c>
      <c r="E79" s="483" t="s">
        <v>2259</v>
      </c>
      <c r="F79" s="511"/>
      <c r="G79" s="483"/>
      <c r="H79" s="457" t="s">
        <v>2309</v>
      </c>
    </row>
    <row r="80" spans="1:8" ht="45" customHeight="1">
      <c r="A80" s="1133" t="s">
        <v>2701</v>
      </c>
      <c r="B80" s="706" t="s">
        <v>1815</v>
      </c>
      <c r="C80" s="707" t="s">
        <v>2689</v>
      </c>
      <c r="D80" s="707" t="s">
        <v>17</v>
      </c>
      <c r="E80" s="708"/>
      <c r="F80" s="708"/>
      <c r="G80" s="708"/>
    </row>
    <row r="81" spans="1:7" ht="45" customHeight="1">
      <c r="A81" s="1133"/>
      <c r="B81" s="706" t="s">
        <v>1817</v>
      </c>
      <c r="C81" s="707" t="s">
        <v>2690</v>
      </c>
      <c r="D81" s="707" t="s">
        <v>17</v>
      </c>
      <c r="E81" s="708"/>
      <c r="F81" s="708"/>
      <c r="G81" s="708"/>
    </row>
    <row r="82" spans="1:7" ht="45" customHeight="1">
      <c r="A82" s="1133"/>
      <c r="B82" s="706" t="s">
        <v>1818</v>
      </c>
      <c r="C82" s="707" t="s">
        <v>2691</v>
      </c>
      <c r="D82" s="707" t="s">
        <v>19</v>
      </c>
      <c r="E82" s="708"/>
      <c r="F82" s="708"/>
      <c r="G82" s="708"/>
    </row>
    <row r="83" spans="1:7" ht="45" customHeight="1">
      <c r="A83" s="1133"/>
      <c r="B83" s="706" t="s">
        <v>1819</v>
      </c>
      <c r="C83" s="707" t="s">
        <v>2692</v>
      </c>
      <c r="D83" s="707" t="s">
        <v>18</v>
      </c>
      <c r="E83" s="708"/>
      <c r="F83" s="708"/>
      <c r="G83" s="708"/>
    </row>
    <row r="84" spans="1:7" ht="45" customHeight="1">
      <c r="C84" s="270" t="s">
        <v>1280</v>
      </c>
    </row>
  </sheetData>
  <mergeCells count="8">
    <mergeCell ref="A80:A83"/>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8FBE-84E1-48DD-AD94-366424E2B928}">
  <sheetPr>
    <tabColor rgb="FF92D050"/>
  </sheetPr>
  <dimension ref="A1:G11"/>
  <sheetViews>
    <sheetView view="pageBreakPreview" zoomScale="89" zoomScaleNormal="85" zoomScaleSheetLayoutView="89" workbookViewId="0">
      <selection activeCell="B3" sqref="B3"/>
    </sheetView>
  </sheetViews>
  <sheetFormatPr defaultColWidth="6.6640625" defaultRowHeight="15.5"/>
  <cols>
    <col min="1" max="1" width="10.6640625" style="171" customWidth="1"/>
    <col min="2" max="2" width="45.5" style="171" customWidth="1"/>
    <col min="3" max="3" width="19" style="171" customWidth="1"/>
    <col min="4" max="4" width="63.5" style="171" customWidth="1"/>
    <col min="5" max="5" width="40.6640625" style="173" customWidth="1"/>
    <col min="6" max="6" width="25.1640625" style="173" customWidth="1"/>
    <col min="7" max="16384" width="6.6640625" style="173"/>
  </cols>
  <sheetData>
    <row r="1" spans="1:7">
      <c r="B1" s="172"/>
      <c r="C1" s="172"/>
      <c r="D1" s="172"/>
    </row>
    <row r="2" spans="1:7" ht="37">
      <c r="A2" s="174" t="s">
        <v>73</v>
      </c>
      <c r="B2" s="174" t="s">
        <v>3110</v>
      </c>
      <c r="C2" s="174" t="s">
        <v>74</v>
      </c>
      <c r="D2" s="174" t="s">
        <v>75</v>
      </c>
      <c r="E2" s="174" t="s">
        <v>1008</v>
      </c>
      <c r="F2" s="174" t="s">
        <v>76</v>
      </c>
    </row>
    <row r="3" spans="1:7" ht="243" customHeight="1">
      <c r="A3" s="175" t="s">
        <v>1021</v>
      </c>
      <c r="B3" s="175" t="s">
        <v>2288</v>
      </c>
      <c r="C3" s="175" t="s">
        <v>2354</v>
      </c>
      <c r="D3" s="176" t="s">
        <v>2960</v>
      </c>
      <c r="E3" s="175" t="s">
        <v>1821</v>
      </c>
      <c r="F3" s="175" t="s">
        <v>2301</v>
      </c>
    </row>
    <row r="4" spans="1:7" ht="111">
      <c r="A4" s="177" t="s">
        <v>1022</v>
      </c>
      <c r="B4" s="177" t="s">
        <v>2289</v>
      </c>
      <c r="C4" s="177" t="s">
        <v>2959</v>
      </c>
      <c r="D4" s="177" t="s">
        <v>2958</v>
      </c>
      <c r="E4" s="177" t="s">
        <v>2300</v>
      </c>
      <c r="F4" s="177" t="s">
        <v>2301</v>
      </c>
    </row>
    <row r="5" spans="1:7" ht="195.75" customHeight="1">
      <c r="A5" s="178" t="s">
        <v>1267</v>
      </c>
      <c r="B5" s="178" t="s">
        <v>2290</v>
      </c>
      <c r="C5" s="178" t="s">
        <v>2326</v>
      </c>
      <c r="D5" s="178" t="s">
        <v>2327</v>
      </c>
      <c r="E5" s="178" t="s">
        <v>2072</v>
      </c>
      <c r="F5" s="178" t="s">
        <v>2301</v>
      </c>
    </row>
    <row r="6" spans="1:7" ht="148">
      <c r="A6" s="524" t="s">
        <v>2293</v>
      </c>
      <c r="B6" s="524" t="s">
        <v>2291</v>
      </c>
      <c r="C6" s="524" t="s">
        <v>2328</v>
      </c>
      <c r="D6" s="524" t="s">
        <v>2295</v>
      </c>
      <c r="E6" s="524" t="s">
        <v>2307</v>
      </c>
      <c r="F6" s="524" t="s">
        <v>2301</v>
      </c>
    </row>
    <row r="7" spans="1:7" ht="92.5">
      <c r="A7" s="523" t="s">
        <v>2294</v>
      </c>
      <c r="B7" s="523" t="s">
        <v>2957</v>
      </c>
      <c r="C7" s="523" t="s">
        <v>2956</v>
      </c>
      <c r="D7" s="523" t="s">
        <v>2955</v>
      </c>
      <c r="E7" s="523" t="s">
        <v>2951</v>
      </c>
      <c r="F7" s="523" t="s">
        <v>2301</v>
      </c>
    </row>
    <row r="8" spans="1:7" s="171" customFormat="1" ht="74">
      <c r="A8" s="523" t="s">
        <v>2954</v>
      </c>
      <c r="B8" s="523" t="s">
        <v>2715</v>
      </c>
      <c r="C8" s="523" t="s">
        <v>2953</v>
      </c>
      <c r="D8" s="523" t="s">
        <v>2952</v>
      </c>
      <c r="E8" s="523" t="s">
        <v>2951</v>
      </c>
      <c r="F8" s="523" t="s">
        <v>2301</v>
      </c>
      <c r="G8" s="179"/>
    </row>
    <row r="9" spans="1:7" s="171" customFormat="1"/>
    <row r="10" spans="1:7">
      <c r="E10" s="171"/>
      <c r="F10" s="171"/>
    </row>
    <row r="11" spans="1:7">
      <c r="E11" s="171"/>
      <c r="F11" s="171"/>
    </row>
  </sheetData>
  <pageMargins left="0" right="0" top="0.5" bottom="0.5" header="0.3" footer="0.3"/>
  <pageSetup scale="58" orientation="landscape" r:id="rId1"/>
  <rowBreaks count="1" manualBreakCount="1">
    <brk id="8" max="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BH272"/>
  <sheetViews>
    <sheetView showGridLines="0" topLeftCell="C20" zoomScale="70" zoomScaleNormal="70" workbookViewId="0">
      <pane xSplit="4" ySplit="5" topLeftCell="G25" activePane="bottomRight" state="frozen"/>
      <selection activeCell="C20" sqref="C20"/>
      <selection pane="topRight" activeCell="G20" sqref="G20"/>
      <selection pane="bottomLeft" activeCell="C25" sqref="C25"/>
      <selection pane="bottomRight" activeCell="P30" sqref="P30:P125"/>
    </sheetView>
  </sheetViews>
  <sheetFormatPr defaultColWidth="9" defaultRowHeight="15.5"/>
  <cols>
    <col min="1" max="1" width="17.08203125" style="58" bestFit="1" customWidth="1"/>
    <col min="2" max="2" width="10.6640625" style="58" customWidth="1"/>
    <col min="3" max="3" width="39.4140625" style="58" customWidth="1"/>
    <col min="4" max="4" width="16.9140625" style="58" customWidth="1"/>
    <col min="5" max="5" width="20.4140625" style="58" customWidth="1"/>
    <col min="6" max="6" width="17.1640625" style="58" customWidth="1"/>
    <col min="7" max="7" width="14.4140625" style="58" customWidth="1"/>
    <col min="8" max="8" width="13.08203125" style="58" customWidth="1"/>
    <col min="9" max="9" width="15.58203125" style="58" customWidth="1"/>
    <col min="10" max="10" width="14.4140625" style="58" customWidth="1"/>
    <col min="11" max="11" width="12.83203125" style="58" customWidth="1"/>
    <col min="12" max="12" width="15.6640625" style="58" customWidth="1"/>
    <col min="13" max="13" width="9.6640625" style="58" hidden="1" customWidth="1"/>
    <col min="14" max="14" width="10.58203125" style="58" hidden="1" customWidth="1"/>
    <col min="15" max="15" width="12.83203125" style="58" hidden="1" customWidth="1"/>
    <col min="16" max="16" width="12.6640625" style="58" customWidth="1"/>
    <col min="17" max="17" width="25.33203125" style="58" customWidth="1"/>
    <col min="18" max="18" width="17.08203125" style="58" customWidth="1"/>
    <col min="19" max="19" width="19" style="58" customWidth="1"/>
    <col min="20" max="21" width="16.08203125" style="58" customWidth="1"/>
    <col min="22" max="22" width="21.58203125" style="58" customWidth="1"/>
    <col min="23" max="23" width="19.1640625" style="58" bestFit="1" customWidth="1"/>
    <col min="24" max="24" width="11.5" style="58" customWidth="1"/>
    <col min="25" max="25" width="13" style="58" bestFit="1" customWidth="1"/>
    <col min="26" max="30" width="14.58203125" style="58" customWidth="1"/>
    <col min="31" max="37" width="9.1640625" style="58" customWidth="1"/>
    <col min="38" max="38" width="16.58203125" style="58" customWidth="1"/>
    <col min="39" max="39" width="16.6640625" style="58" customWidth="1"/>
    <col min="40" max="40" width="9.1640625" style="58" customWidth="1"/>
    <col min="41" max="41" width="24.5" style="58" customWidth="1"/>
    <col min="42" max="42" width="22.1640625" style="58" customWidth="1"/>
    <col min="43" max="43" width="19.1640625" style="58" bestFit="1" customWidth="1"/>
    <col min="44" max="44" width="9.1640625" style="58" customWidth="1"/>
    <col min="45" max="45" width="23" style="58" customWidth="1"/>
    <col min="46" max="46" width="9.1640625" style="58" customWidth="1"/>
    <col min="47" max="47" width="10.1640625" style="58" customWidth="1"/>
    <col min="48" max="16384" width="9" style="58"/>
  </cols>
  <sheetData>
    <row r="1" spans="1:35" ht="50.5" customHeight="1">
      <c r="C1" s="655" t="s">
        <v>2075</v>
      </c>
      <c r="D1" s="656" t="s">
        <v>2076</v>
      </c>
      <c r="E1" s="657" t="s">
        <v>2077</v>
      </c>
      <c r="F1" s="658" t="s">
        <v>2345</v>
      </c>
      <c r="G1" s="659" t="s">
        <v>2346</v>
      </c>
      <c r="H1" s="659" t="s">
        <v>2775</v>
      </c>
      <c r="I1" s="660" t="s">
        <v>2094</v>
      </c>
      <c r="J1" s="660" t="s">
        <v>2097</v>
      </c>
      <c r="K1" s="660" t="s">
        <v>2096</v>
      </c>
      <c r="L1" s="661" t="s">
        <v>2779</v>
      </c>
      <c r="M1" s="661" t="s">
        <v>2780</v>
      </c>
      <c r="N1" s="661" t="s">
        <v>2340</v>
      </c>
      <c r="O1" s="661" t="s">
        <v>2778</v>
      </c>
    </row>
    <row r="2" spans="1:35">
      <c r="A2" s="1137" t="s">
        <v>2621</v>
      </c>
      <c r="B2" s="649" t="s">
        <v>37</v>
      </c>
      <c r="C2" s="650">
        <f>'HRP ref'!C4</f>
        <v>60255.333333333336</v>
      </c>
      <c r="D2" s="650">
        <f>'HRP ref'!D4</f>
        <v>65270</v>
      </c>
      <c r="E2" s="650">
        <f>'HRP ref'!E4</f>
        <v>54583</v>
      </c>
      <c r="F2" s="650">
        <f>'HRP ref'!F4</f>
        <v>26327.719999999998</v>
      </c>
      <c r="G2" s="650">
        <f>'HRP ref'!G4</f>
        <v>10418</v>
      </c>
      <c r="H2" s="650">
        <f>'HRP ref'!H4</f>
        <v>1593</v>
      </c>
      <c r="I2" s="650">
        <f>'HRP ref'!I4</f>
        <v>10884</v>
      </c>
      <c r="J2" s="650">
        <f>'HRP ref'!J4</f>
        <v>50884</v>
      </c>
      <c r="K2" s="650">
        <f>'HRP ref'!K4</f>
        <v>48089</v>
      </c>
      <c r="L2" s="650">
        <f>'HRP ref'!L4</f>
        <v>10328</v>
      </c>
      <c r="M2" s="650">
        <f>'HRP ref'!M4</f>
        <v>1118</v>
      </c>
      <c r="N2" s="650">
        <f>'HRP ref'!N4</f>
        <v>90</v>
      </c>
      <c r="O2" s="650">
        <f>'HRP ref'!O4</f>
        <v>475</v>
      </c>
    </row>
    <row r="3" spans="1:35">
      <c r="A3" s="1138"/>
      <c r="B3" s="649" t="s">
        <v>515</v>
      </c>
      <c r="C3" s="651">
        <f>'HRP ref'!S4</f>
        <v>9893.9999999999982</v>
      </c>
      <c r="D3" s="651">
        <f>'HRP ref'!T4</f>
        <v>7616</v>
      </c>
      <c r="E3" s="651">
        <f>'HRP ref'!U4</f>
        <v>5587</v>
      </c>
      <c r="F3" s="651">
        <f>'HRP ref'!V4</f>
        <v>0</v>
      </c>
      <c r="G3" s="651">
        <f>'HRP ref'!W4</f>
        <v>2223</v>
      </c>
      <c r="H3" s="651">
        <f>'HRP ref'!X4</f>
        <v>0</v>
      </c>
      <c r="I3" s="651">
        <f>'HRP ref'!Y4</f>
        <v>45</v>
      </c>
      <c r="J3" s="651">
        <f>'HRP ref'!Z4</f>
        <v>5542</v>
      </c>
      <c r="K3" s="651">
        <f>'HRP ref'!AA4</f>
        <v>5900</v>
      </c>
      <c r="L3" s="651">
        <f>'HRP ref'!AB4</f>
        <v>2223</v>
      </c>
      <c r="M3" s="651">
        <f>'HRP ref'!AC4</f>
        <v>0</v>
      </c>
      <c r="N3" s="651">
        <f>'HRP ref'!AD4</f>
        <v>0</v>
      </c>
      <c r="O3" s="651">
        <f>'HRP ref'!AE4</f>
        <v>0</v>
      </c>
      <c r="S3" s="58">
        <f>S100/$P$100</f>
        <v>0.49364065487486508</v>
      </c>
      <c r="T3" s="58">
        <f t="shared" ref="T3:X3" si="0">T100/$P$100</f>
        <v>0.50635934512513503</v>
      </c>
      <c r="U3" s="58">
        <f t="shared" si="0"/>
        <v>0.36324675042595922</v>
      </c>
      <c r="V3" s="58">
        <f t="shared" si="0"/>
        <v>0.56687472553496865</v>
      </c>
      <c r="W3" s="58">
        <f t="shared" si="0"/>
        <v>6.9878524039072271E-2</v>
      </c>
      <c r="X3" s="58">
        <f t="shared" si="0"/>
        <v>0.12711887899426313</v>
      </c>
    </row>
    <row r="4" spans="1:35">
      <c r="A4" s="652"/>
      <c r="B4" s="653"/>
      <c r="C4" s="654"/>
      <c r="D4" s="654"/>
      <c r="E4" s="654"/>
      <c r="F4" s="654"/>
      <c r="G4" s="654"/>
      <c r="H4" s="654"/>
      <c r="I4" s="654"/>
      <c r="J4" s="654"/>
      <c r="K4" s="654"/>
      <c r="L4" s="654"/>
      <c r="M4" s="654"/>
      <c r="N4" s="654"/>
      <c r="S4" s="58">
        <f>S81/$P$81</f>
        <v>0.48530800834863519</v>
      </c>
      <c r="T4" s="58">
        <f t="shared" ref="T4:X4" si="1">T81/$P$81</f>
        <v>0.51469199165136481</v>
      </c>
      <c r="U4" s="58">
        <f t="shared" si="1"/>
        <v>0.37062631858418571</v>
      </c>
      <c r="V4" s="58">
        <f t="shared" si="1"/>
        <v>0.55180009324853974</v>
      </c>
      <c r="W4" s="58">
        <f t="shared" si="1"/>
        <v>7.7573588167274693E-2</v>
      </c>
      <c r="X4" s="58">
        <f t="shared" si="1"/>
        <v>0.14951575361515726</v>
      </c>
    </row>
    <row r="5" spans="1:35" s="59" customFormat="1" hidden="1">
      <c r="A5" s="1023" t="s">
        <v>34</v>
      </c>
      <c r="B5" s="1024" t="s">
        <v>34</v>
      </c>
      <c r="AB5" s="58"/>
      <c r="AC5" s="58"/>
      <c r="AD5" s="58"/>
      <c r="AF5" s="58"/>
      <c r="AH5" s="58"/>
    </row>
    <row r="6" spans="1:35" hidden="1">
      <c r="A6" s="1023" t="s">
        <v>134</v>
      </c>
      <c r="B6" s="1024" t="s">
        <v>1284</v>
      </c>
    </row>
    <row r="7" spans="1:35" s="647" customFormat="1" hidden="1">
      <c r="A7" s="646"/>
      <c r="B7" s="646"/>
      <c r="AB7" s="646"/>
      <c r="AC7" s="646"/>
      <c r="AD7" s="646"/>
      <c r="AF7" s="646"/>
    </row>
    <row r="8" spans="1:35" ht="93.5" hidden="1" thickBot="1">
      <c r="A8" s="1024"/>
      <c r="B8" s="1024"/>
      <c r="C8" s="1031" t="s">
        <v>1294</v>
      </c>
      <c r="D8" s="1032" t="s">
        <v>2075</v>
      </c>
      <c r="E8" s="1033" t="s">
        <v>2076</v>
      </c>
      <c r="F8" s="1034" t="s">
        <v>2077</v>
      </c>
      <c r="G8" s="1040" t="s">
        <v>2345</v>
      </c>
      <c r="H8" s="1041" t="s">
        <v>2346</v>
      </c>
      <c r="I8" s="1037" t="s">
        <v>2094</v>
      </c>
      <c r="J8" s="1037" t="s">
        <v>2097</v>
      </c>
      <c r="K8" s="1037" t="s">
        <v>2096</v>
      </c>
      <c r="L8" s="1042" t="s">
        <v>2355</v>
      </c>
      <c r="M8"/>
      <c r="N8"/>
      <c r="P8" s="59"/>
      <c r="Q8" s="666"/>
      <c r="R8" s="666"/>
      <c r="S8" s="667"/>
      <c r="T8" s="667"/>
      <c r="U8" s="667"/>
      <c r="V8" s="668"/>
      <c r="W8"/>
      <c r="X8"/>
      <c r="Y8"/>
      <c r="AB8"/>
      <c r="AC8"/>
      <c r="AD8"/>
      <c r="AE8"/>
      <c r="AF8"/>
      <c r="AG8"/>
      <c r="AH8"/>
      <c r="AI8" s="368"/>
    </row>
    <row r="9" spans="1:35" hidden="1">
      <c r="A9" s="1024" t="s">
        <v>37</v>
      </c>
      <c r="B9" s="1024" t="s">
        <v>2977</v>
      </c>
      <c r="C9" s="1030">
        <v>92358</v>
      </c>
      <c r="D9" s="1027">
        <v>63858.333333333328</v>
      </c>
      <c r="E9" s="1028">
        <v>72331</v>
      </c>
      <c r="F9" s="1029">
        <v>61845</v>
      </c>
      <c r="G9" s="1038">
        <v>24266.92</v>
      </c>
      <c r="H9" s="1039">
        <v>17318</v>
      </c>
      <c r="I9" s="1036">
        <v>10372</v>
      </c>
      <c r="J9" s="1036">
        <v>58146</v>
      </c>
      <c r="K9" s="1036">
        <v>48234</v>
      </c>
      <c r="L9" s="1026">
        <v>90</v>
      </c>
      <c r="M9"/>
      <c r="N9"/>
      <c r="P9" s="587"/>
      <c r="Q9" s="669"/>
      <c r="R9" s="669"/>
      <c r="S9" s="670"/>
      <c r="T9" s="670"/>
      <c r="U9" s="670"/>
      <c r="V9" s="671"/>
      <c r="W9"/>
      <c r="X9"/>
      <c r="Y9"/>
      <c r="AB9"/>
      <c r="AC9"/>
      <c r="AD9"/>
      <c r="AE9"/>
      <c r="AF9"/>
      <c r="AG9"/>
      <c r="AH9"/>
    </row>
    <row r="10" spans="1:35" hidden="1">
      <c r="A10" s="1024" t="s">
        <v>515</v>
      </c>
      <c r="B10" s="1024" t="s">
        <v>2977</v>
      </c>
      <c r="C10" s="1030">
        <v>11311</v>
      </c>
      <c r="D10" s="1027">
        <v>9894</v>
      </c>
      <c r="E10" s="1028">
        <v>7616</v>
      </c>
      <c r="F10" s="1029">
        <v>5587</v>
      </c>
      <c r="G10" s="1038">
        <v>0</v>
      </c>
      <c r="H10" s="1039">
        <v>2223</v>
      </c>
      <c r="I10" s="1036">
        <v>45</v>
      </c>
      <c r="J10" s="1036">
        <v>5542</v>
      </c>
      <c r="K10" s="1036">
        <v>5900</v>
      </c>
      <c r="L10" s="1026">
        <v>0</v>
      </c>
      <c r="M10"/>
      <c r="N10"/>
      <c r="P10" s="587"/>
      <c r="Q10" s="669"/>
      <c r="R10" s="669"/>
      <c r="S10" s="670"/>
      <c r="T10" s="670"/>
      <c r="U10" s="670"/>
      <c r="V10" s="671"/>
      <c r="W10"/>
      <c r="X10"/>
      <c r="Y10"/>
      <c r="AB10"/>
      <c r="AC10"/>
      <c r="AD10"/>
      <c r="AE10"/>
      <c r="AF10"/>
      <c r="AG10"/>
      <c r="AH10"/>
    </row>
    <row r="11" spans="1:35" hidden="1">
      <c r="A11" s="1024" t="s">
        <v>1285</v>
      </c>
      <c r="B11" s="1024"/>
      <c r="C11" s="1030">
        <v>103669</v>
      </c>
      <c r="D11" s="1027">
        <v>73752.333333333328</v>
      </c>
      <c r="E11" s="1028">
        <v>79947</v>
      </c>
      <c r="F11" s="1029">
        <v>67432</v>
      </c>
      <c r="G11" s="1038">
        <v>24266.92</v>
      </c>
      <c r="H11" s="1039">
        <v>19541</v>
      </c>
      <c r="I11" s="1036">
        <v>10417</v>
      </c>
      <c r="J11" s="1036">
        <v>63688</v>
      </c>
      <c r="K11" s="1036">
        <v>54134</v>
      </c>
      <c r="L11" s="1026">
        <v>90</v>
      </c>
      <c r="M11"/>
      <c r="N11"/>
      <c r="P11" s="587"/>
      <c r="Q11" s="669"/>
      <c r="R11" s="669"/>
      <c r="S11" s="670"/>
      <c r="T11" s="670"/>
      <c r="U11" s="670"/>
      <c r="V11" s="671"/>
      <c r="W11"/>
      <c r="X11"/>
      <c r="Y11"/>
      <c r="AB11"/>
      <c r="AC11"/>
      <c r="AD11"/>
      <c r="AE11"/>
      <c r="AF11"/>
      <c r="AG11"/>
      <c r="AH11"/>
    </row>
    <row r="12" spans="1:35" hidden="1">
      <c r="A12"/>
      <c r="B12"/>
      <c r="C12"/>
      <c r="D12"/>
      <c r="E12"/>
      <c r="F12"/>
      <c r="G12"/>
      <c r="H12"/>
      <c r="I12"/>
      <c r="J12"/>
      <c r="K12"/>
      <c r="L12"/>
      <c r="M12"/>
      <c r="N12"/>
      <c r="P12" s="587"/>
      <c r="Q12" s="669"/>
      <c r="R12" s="669"/>
      <c r="S12" s="670"/>
      <c r="T12" s="670"/>
      <c r="U12" s="670"/>
      <c r="V12" s="671"/>
      <c r="W12"/>
      <c r="X12"/>
      <c r="Y12"/>
      <c r="Z12"/>
      <c r="AA12"/>
      <c r="AB12"/>
      <c r="AC12"/>
      <c r="AD12"/>
      <c r="AE12"/>
      <c r="AF12"/>
      <c r="AG12"/>
      <c r="AH12"/>
    </row>
    <row r="13" spans="1:35" hidden="1">
      <c r="A13"/>
      <c r="B13"/>
      <c r="C13"/>
      <c r="D13"/>
      <c r="E13"/>
      <c r="F13"/>
      <c r="G13"/>
      <c r="H13"/>
      <c r="I13"/>
      <c r="J13"/>
      <c r="K13"/>
      <c r="L13"/>
      <c r="M13"/>
      <c r="N13"/>
      <c r="P13" s="587"/>
      <c r="Q13" s="669"/>
      <c r="R13" s="669"/>
      <c r="S13" s="670"/>
      <c r="T13" s="670"/>
      <c r="U13" s="670"/>
      <c r="V13" s="671"/>
      <c r="W13" s="417"/>
      <c r="X13" s="417"/>
      <c r="Y13" s="417"/>
      <c r="Z13" s="417"/>
      <c r="AA13" s="417"/>
      <c r="AB13" s="417"/>
      <c r="AC13" s="417"/>
      <c r="AD13" s="417"/>
      <c r="AE13" s="417"/>
      <c r="AF13" s="417"/>
      <c r="AG13" s="417"/>
      <c r="AH13" s="417"/>
    </row>
    <row r="14" spans="1:35" hidden="1">
      <c r="A14"/>
      <c r="B14"/>
      <c r="C14"/>
      <c r="D14"/>
      <c r="E14"/>
      <c r="F14"/>
      <c r="G14"/>
      <c r="H14"/>
      <c r="I14"/>
      <c r="J14"/>
      <c r="K14"/>
      <c r="L14"/>
      <c r="M14"/>
      <c r="N14"/>
      <c r="P14" s="417"/>
      <c r="Q14" s="417"/>
      <c r="R14" s="417"/>
      <c r="S14" s="417"/>
      <c r="T14" s="417"/>
      <c r="U14" s="417"/>
      <c r="V14" s="417"/>
      <c r="W14" s="417"/>
      <c r="X14" s="417"/>
      <c r="Y14" s="417"/>
      <c r="Z14" s="417"/>
      <c r="AA14" s="417"/>
      <c r="AB14" s="417"/>
      <c r="AC14" s="417"/>
      <c r="AD14" s="417"/>
      <c r="AE14" s="417"/>
      <c r="AF14" s="417"/>
      <c r="AG14" s="417"/>
      <c r="AH14" s="417"/>
    </row>
    <row r="15" spans="1:35" hidden="1">
      <c r="A15"/>
      <c r="B15"/>
      <c r="C15"/>
      <c r="D15"/>
      <c r="E15"/>
      <c r="F15"/>
      <c r="G15"/>
      <c r="H15"/>
      <c r="I15"/>
      <c r="J15"/>
      <c r="K15"/>
      <c r="L15"/>
      <c r="M15"/>
      <c r="N15"/>
      <c r="P15" s="417"/>
      <c r="Q15" s="417"/>
      <c r="R15" s="417"/>
      <c r="S15" s="417"/>
      <c r="T15" s="417"/>
      <c r="U15" s="417"/>
      <c r="V15" s="417"/>
      <c r="W15" s="417"/>
      <c r="X15" s="417"/>
      <c r="Y15" s="417"/>
      <c r="Z15" s="417"/>
      <c r="AA15" s="417"/>
      <c r="AB15" s="417"/>
      <c r="AC15" s="417"/>
      <c r="AD15" s="417"/>
      <c r="AE15" s="417"/>
      <c r="AF15" s="417"/>
      <c r="AG15" s="417"/>
      <c r="AH15" s="417"/>
    </row>
    <row r="16" spans="1:35" hidden="1">
      <c r="A16"/>
      <c r="B16"/>
      <c r="C16"/>
      <c r="D16"/>
      <c r="E16"/>
      <c r="F16"/>
      <c r="G16"/>
      <c r="H16"/>
      <c r="I16"/>
      <c r="J16"/>
      <c r="K16"/>
      <c r="L16"/>
      <c r="M16"/>
      <c r="N16"/>
      <c r="P16" s="417"/>
      <c r="Q16" s="417"/>
      <c r="R16" s="417"/>
      <c r="S16" s="417"/>
      <c r="T16" s="417"/>
      <c r="U16" s="417"/>
      <c r="V16" s="417"/>
      <c r="W16" s="417"/>
      <c r="X16" s="417"/>
      <c r="Y16" s="417"/>
      <c r="Z16" s="417"/>
      <c r="AA16" s="417"/>
      <c r="AB16" s="417"/>
      <c r="AC16" s="417"/>
      <c r="AD16" s="417"/>
      <c r="AE16" s="417"/>
      <c r="AF16" s="417"/>
      <c r="AG16" s="417"/>
      <c r="AH16" s="417"/>
    </row>
    <row r="17" spans="1:42" hidden="1">
      <c r="A17"/>
      <c r="B17"/>
      <c r="C17"/>
      <c r="D17"/>
      <c r="E17"/>
      <c r="F17"/>
      <c r="G17"/>
      <c r="H17"/>
      <c r="I17"/>
      <c r="J17"/>
      <c r="K17"/>
      <c r="L17"/>
      <c r="M17"/>
      <c r="N17"/>
      <c r="P17" s="417"/>
      <c r="Q17" s="417"/>
      <c r="R17" s="417"/>
      <c r="S17" s="417"/>
      <c r="T17" s="417"/>
      <c r="U17" s="417"/>
      <c r="V17" s="417"/>
      <c r="W17" s="417"/>
      <c r="X17" s="417"/>
      <c r="Y17" s="417"/>
      <c r="Z17" s="417"/>
      <c r="AA17" s="417"/>
      <c r="AB17" s="417"/>
      <c r="AC17" s="417"/>
      <c r="AD17" s="417"/>
      <c r="AE17" s="417"/>
      <c r="AF17" s="417"/>
      <c r="AG17" s="417"/>
      <c r="AH17" s="417"/>
    </row>
    <row r="18" spans="1:42" hidden="1">
      <c r="A18"/>
      <c r="B18"/>
      <c r="C18"/>
      <c r="D18"/>
      <c r="E18"/>
      <c r="F18"/>
      <c r="G18"/>
      <c r="H18"/>
      <c r="I18"/>
      <c r="J18"/>
      <c r="K18"/>
      <c r="L18"/>
      <c r="M18"/>
      <c r="N18"/>
      <c r="O18" s="417"/>
      <c r="P18" s="417"/>
      <c r="Q18" s="417"/>
      <c r="R18" s="417"/>
      <c r="S18" s="417"/>
      <c r="T18" s="417"/>
      <c r="U18" s="417"/>
      <c r="V18" s="417"/>
      <c r="W18" s="417"/>
      <c r="X18" s="417"/>
      <c r="Y18" s="417"/>
      <c r="Z18" s="417"/>
      <c r="AA18" s="417"/>
      <c r="AB18" s="417"/>
      <c r="AC18" s="417"/>
      <c r="AD18" s="417"/>
      <c r="AE18" s="417"/>
      <c r="AF18" s="417"/>
      <c r="AG18" s="417"/>
      <c r="AH18" s="417"/>
    </row>
    <row r="19" spans="1:42" s="154" customFormat="1" hidden="1">
      <c r="A19"/>
      <c r="B19"/>
      <c r="C19"/>
      <c r="D19"/>
      <c r="E19"/>
      <c r="F19"/>
      <c r="G19"/>
      <c r="H19"/>
      <c r="I19"/>
      <c r="J19"/>
      <c r="K19"/>
      <c r="L19"/>
      <c r="M19"/>
      <c r="N19"/>
      <c r="O19" s="435"/>
      <c r="P19" s="435"/>
      <c r="Q19" s="435"/>
      <c r="R19" s="435"/>
      <c r="S19" s="435"/>
      <c r="T19" s="435"/>
      <c r="U19" s="435"/>
      <c r="V19" s="435"/>
      <c r="W19" s="435"/>
      <c r="X19" s="435"/>
      <c r="Y19" s="435"/>
      <c r="Z19" s="435"/>
      <c r="AA19" s="435"/>
      <c r="AB19" s="435"/>
      <c r="AC19" s="435"/>
      <c r="AD19" s="435"/>
      <c r="AE19" s="435"/>
      <c r="AF19" s="435"/>
      <c r="AG19" s="435"/>
      <c r="AH19" s="435"/>
    </row>
    <row r="20" spans="1:42" s="154" customFormat="1" ht="16" thickBot="1">
      <c r="A20" s="639"/>
      <c r="B20" s="639"/>
      <c r="C20" s="640"/>
      <c r="D20" s="640"/>
      <c r="E20" s="640"/>
      <c r="F20" s="640"/>
      <c r="G20" s="641"/>
      <c r="H20" s="641"/>
      <c r="I20" s="642"/>
      <c r="J20" s="642"/>
      <c r="K20" s="642"/>
      <c r="L20" s="641"/>
      <c r="M20" s="641"/>
      <c r="N20" s="641"/>
      <c r="O20" s="435"/>
      <c r="P20" s="780"/>
      <c r="Q20" s="435"/>
      <c r="R20" s="780"/>
      <c r="S20" s="435">
        <f>S62/$P$62</f>
        <v>0.48596697504492326</v>
      </c>
      <c r="T20" s="435">
        <f>T62/$P$62</f>
        <v>0.51403302495507674</v>
      </c>
      <c r="U20" s="435">
        <f>U62/$P$62</f>
        <v>0.37229078900307999</v>
      </c>
      <c r="V20" s="435">
        <f>V62/$P$62</f>
        <v>0.55175984248056009</v>
      </c>
      <c r="W20" s="435">
        <f t="shared" ref="W20" si="2">W62/$P$62</f>
        <v>7.5949368516359958E-2</v>
      </c>
      <c r="X20" s="435">
        <f>X62/$P$62</f>
        <v>0.14163531583369041</v>
      </c>
      <c r="Y20" s="435"/>
      <c r="Z20" s="435"/>
      <c r="AA20" s="435"/>
      <c r="AB20" s="435"/>
      <c r="AC20" s="435"/>
      <c r="AD20" s="435"/>
      <c r="AE20" s="435"/>
      <c r="AF20" s="435"/>
      <c r="AG20" s="435"/>
      <c r="AH20" s="435"/>
    </row>
    <row r="21" spans="1:42" ht="78" thickTop="1">
      <c r="C21" s="154"/>
      <c r="D21" s="957"/>
      <c r="E21" s="958"/>
      <c r="F21" s="958"/>
      <c r="G21" s="631" t="s">
        <v>2654</v>
      </c>
      <c r="H21" s="632" t="s">
        <v>2655</v>
      </c>
      <c r="I21" s="632" t="s">
        <v>2781</v>
      </c>
      <c r="J21" s="632" t="s">
        <v>2782</v>
      </c>
      <c r="K21" s="684" t="s">
        <v>2821</v>
      </c>
      <c r="L21" s="686" t="s">
        <v>646</v>
      </c>
      <c r="M21" s="633" t="s">
        <v>2964</v>
      </c>
      <c r="N21" s="633" t="s">
        <v>2819</v>
      </c>
      <c r="O21" s="633" t="s">
        <v>2820</v>
      </c>
      <c r="P21" s="689" t="s">
        <v>2688</v>
      </c>
      <c r="R21"/>
      <c r="S21" s="769">
        <f>S43/P43</f>
        <v>0.48584350948234351</v>
      </c>
      <c r="T21" s="769">
        <f>T43/P43</f>
        <v>0.51415649051765633</v>
      </c>
      <c r="U21" s="769"/>
      <c r="W21"/>
      <c r="X21"/>
      <c r="Y21"/>
      <c r="Z21"/>
    </row>
    <row r="22" spans="1:42" hidden="1">
      <c r="C22" s="154"/>
      <c r="D22" s="372"/>
      <c r="E22" s="154"/>
      <c r="P22" s="677"/>
      <c r="Q22" s="677"/>
      <c r="R22" s="695">
        <f>S81/P81</f>
        <v>0.48530800834863519</v>
      </c>
      <c r="S22" s="695">
        <f>T81/P81</f>
        <v>0.51469199165136481</v>
      </c>
      <c r="T22" s="770">
        <f>U81/P81</f>
        <v>0.37062631858418571</v>
      </c>
      <c r="U22" s="770">
        <f>V81/P81</f>
        <v>0.55180009324853974</v>
      </c>
      <c r="V22" s="770">
        <f>W81/P81</f>
        <v>7.7573588167274693E-2</v>
      </c>
      <c r="W22" s="768">
        <f>X81/P81</f>
        <v>0.14951575361515726</v>
      </c>
      <c r="Z22" s="58" t="s">
        <v>2793</v>
      </c>
    </row>
    <row r="23" spans="1:42" ht="16" hidden="1" customHeight="1" thickBot="1">
      <c r="E23" s="60"/>
      <c r="F23" s="695"/>
      <c r="G23" s="875" t="s">
        <v>1289</v>
      </c>
      <c r="H23" s="876"/>
      <c r="I23" s="876"/>
      <c r="J23" s="877"/>
      <c r="K23" s="926" t="s">
        <v>241</v>
      </c>
      <c r="L23" s="688"/>
      <c r="M23" s="688"/>
      <c r="N23" s="688"/>
      <c r="O23" s="688"/>
      <c r="P23" s="711" t="s">
        <v>2646</v>
      </c>
      <c r="Q23" s="687"/>
      <c r="R23" s="695">
        <f>S43/P43</f>
        <v>0.48584350948234351</v>
      </c>
      <c r="S23" s="1135" t="s">
        <v>1496</v>
      </c>
      <c r="T23" s="1136"/>
      <c r="U23" s="778">
        <f>U43/P43</f>
        <v>0.3708210507887047</v>
      </c>
      <c r="V23" s="778">
        <f>V43/P43</f>
        <v>0.55279916586320765</v>
      </c>
      <c r="W23" s="779">
        <f>W43/P43</f>
        <v>7.6379783348087774E-2</v>
      </c>
      <c r="X23" s="695">
        <f>X43/P43</f>
        <v>0.14336988619145707</v>
      </c>
      <c r="Y23" s="695"/>
    </row>
    <row r="24" spans="1:42" ht="60" hidden="1" customHeight="1" thickTop="1">
      <c r="C24" s="72" t="s">
        <v>1286</v>
      </c>
      <c r="D24" s="73" t="s">
        <v>1287</v>
      </c>
      <c r="E24" s="73" t="s">
        <v>1288</v>
      </c>
      <c r="F24" s="621" t="s">
        <v>1295</v>
      </c>
      <c r="G24" s="878" t="s">
        <v>2654</v>
      </c>
      <c r="H24" s="879" t="s">
        <v>2655</v>
      </c>
      <c r="I24" s="879" t="s">
        <v>2781</v>
      </c>
      <c r="J24" s="880" t="s">
        <v>2782</v>
      </c>
      <c r="K24" s="927" t="s">
        <v>2821</v>
      </c>
      <c r="L24" s="928" t="s">
        <v>646</v>
      </c>
      <c r="M24" s="933" t="s">
        <v>2964</v>
      </c>
      <c r="N24" s="934" t="s">
        <v>2819</v>
      </c>
      <c r="O24" s="935" t="s">
        <v>2820</v>
      </c>
      <c r="P24" s="689" t="s">
        <v>2688</v>
      </c>
      <c r="Q24" s="626" t="s">
        <v>1586</v>
      </c>
      <c r="R24" s="723" t="s">
        <v>1587</v>
      </c>
      <c r="S24" s="735" t="s">
        <v>2629</v>
      </c>
      <c r="T24" s="736" t="s">
        <v>2630</v>
      </c>
      <c r="U24" s="736" t="s">
        <v>2631</v>
      </c>
      <c r="V24" s="736" t="s">
        <v>2785</v>
      </c>
      <c r="W24" s="737" t="s">
        <v>2786</v>
      </c>
      <c r="X24" s="737" t="s">
        <v>2628</v>
      </c>
      <c r="Y24" s="738" t="s">
        <v>1291</v>
      </c>
      <c r="AA24" s="720" t="s">
        <v>1283</v>
      </c>
      <c r="AB24" s="720" t="s">
        <v>2792</v>
      </c>
      <c r="AC24" s="720" t="s">
        <v>2787</v>
      </c>
      <c r="AD24" s="720" t="s">
        <v>2788</v>
      </c>
      <c r="AE24" s="720" t="s">
        <v>2789</v>
      </c>
      <c r="AF24" s="720" t="s">
        <v>2790</v>
      </c>
      <c r="AG24" s="720" t="s">
        <v>2791</v>
      </c>
      <c r="AH24" s="720" t="s">
        <v>2219</v>
      </c>
      <c r="AI24" s="720" t="s">
        <v>2220</v>
      </c>
      <c r="AK24" s="58" t="s">
        <v>2974</v>
      </c>
      <c r="AL24" s="58" t="s">
        <v>2975</v>
      </c>
      <c r="AN24" s="58" t="s">
        <v>2974</v>
      </c>
      <c r="AO24" s="58" t="s">
        <v>2975</v>
      </c>
    </row>
    <row r="25" spans="1:42" ht="17.5" hidden="1" customHeight="1">
      <c r="B25" s="695">
        <f>(P25+P27+P28+P31+P32)/(F25+F27+F28+F31+F32)</f>
        <v>0.60342477787296545</v>
      </c>
      <c r="C25" s="1139" t="s">
        <v>2981</v>
      </c>
      <c r="D25" s="587" t="s">
        <v>2703</v>
      </c>
      <c r="E25" s="588">
        <v>111096.7979840148</v>
      </c>
      <c r="F25" s="622">
        <v>15598.324798401482</v>
      </c>
      <c r="G25" s="881"/>
      <c r="H25" s="882">
        <v>10700</v>
      </c>
      <c r="I25" s="882"/>
      <c r="J25" s="883"/>
      <c r="K25" s="881"/>
      <c r="L25" s="883"/>
      <c r="M25" s="881"/>
      <c r="N25" s="882"/>
      <c r="O25" s="883"/>
      <c r="P25" s="931">
        <f t="shared" ref="P25:P42" si="3">SUM(G25:O25)</f>
        <v>10700</v>
      </c>
      <c r="Q25" s="590">
        <f t="shared" ref="Q25:Q56" si="4">P25/F25</f>
        <v>0.68597109871032669</v>
      </c>
      <c r="R25" s="724">
        <f>1-Q25</f>
        <v>0.31402890128967331</v>
      </c>
      <c r="S25" s="739">
        <f>P25*Table7[[#This Row],[% Male]]</f>
        <v>5127.5773763012457</v>
      </c>
      <c r="T25" s="589">
        <f>P25*Table7[[#This Row],[% Female]]</f>
        <v>5572.4226236987543</v>
      </c>
      <c r="U25" s="589">
        <f>P25*Table7[[#This Row],[% CHILDREN  (Age 18&lt;)]]</f>
        <v>3927.2321313400121</v>
      </c>
      <c r="V25" s="589">
        <f>P25*Table7[[#This Row],[ % ADULTS ( Age 18-60)]]</f>
        <v>5822.1396295645482</v>
      </c>
      <c r="W25" s="589">
        <f>P25*Table7[[#This Row],[% ELDERS  (Age 60+)]]</f>
        <v>950.62823909544113</v>
      </c>
      <c r="X25" s="589">
        <f>P25*Table7[[#This Row],[% of people with disabilities (Age 5 yrs+)]]</f>
        <v>1629.3647293625268</v>
      </c>
      <c r="Y25" s="740">
        <f t="shared" ref="Y25:Y42" si="5">F25-P25</f>
        <v>4898.3247984014815</v>
      </c>
      <c r="AA25" s="695" t="s">
        <v>2703</v>
      </c>
      <c r="AB25" s="695">
        <f>1-Table7[[#This Row],[% Female]]</f>
        <v>0.47921283890665844</v>
      </c>
      <c r="AC25" s="695">
        <v>0.52078716109334156</v>
      </c>
      <c r="AD25" s="695">
        <v>0.36703104031215067</v>
      </c>
      <c r="AE25" s="695">
        <v>0.54412519902472412</v>
      </c>
      <c r="AF25" s="695">
        <v>8.884376066312534E-2</v>
      </c>
      <c r="AG25" s="695">
        <v>0.15227707751051653</v>
      </c>
      <c r="AH25" s="721">
        <f>Table7[[#This Row],[% Female]]*P25</f>
        <v>5572.4226236987543</v>
      </c>
      <c r="AI25" s="721">
        <f>P25*Table7[[#This Row],[% of people with disabilities (Age 5 yrs+)]]</f>
        <v>1629.3647293625268</v>
      </c>
      <c r="AK25" s="60">
        <f>G25+H25+K25+M25</f>
        <v>10700</v>
      </c>
      <c r="AL25" s="60">
        <f>I25+J25+L25+N25+O25</f>
        <v>0</v>
      </c>
      <c r="AM25" s="60">
        <f>(AK25+AL25)-P25</f>
        <v>0</v>
      </c>
      <c r="AN25" s="60">
        <f>MAX(AK25,AK44,AK63,AK82,AK101,AK120)</f>
        <v>10750</v>
      </c>
      <c r="AO25" s="60">
        <f>MAX(AL25,AL44,AL63,AL82,AL101,AL120)</f>
        <v>0</v>
      </c>
      <c r="AP25" s="60">
        <f>AN25+AO25</f>
        <v>10750</v>
      </c>
    </row>
    <row r="26" spans="1:42" ht="17.5" hidden="1" customHeight="1">
      <c r="C26" s="1140"/>
      <c r="D26" s="587" t="s">
        <v>2704</v>
      </c>
      <c r="E26" s="588">
        <v>6881.8180702501222</v>
      </c>
      <c r="F26" s="622">
        <v>1386.2472281000487</v>
      </c>
      <c r="G26" s="881"/>
      <c r="H26" s="882"/>
      <c r="I26" s="882"/>
      <c r="J26" s="883"/>
      <c r="K26" s="881"/>
      <c r="L26" s="883"/>
      <c r="M26" s="881"/>
      <c r="N26" s="882"/>
      <c r="O26" s="883"/>
      <c r="P26" s="931">
        <f t="shared" si="3"/>
        <v>0</v>
      </c>
      <c r="Q26" s="590">
        <f t="shared" si="4"/>
        <v>0</v>
      </c>
      <c r="R26" s="724">
        <f>1-Q26</f>
        <v>1</v>
      </c>
      <c r="S26" s="739">
        <f>P26*Table7[[#This Row],[% Male]]</f>
        <v>0</v>
      </c>
      <c r="T26" s="589">
        <f>P26*Table7[[#This Row],[% Female]]</f>
        <v>0</v>
      </c>
      <c r="U26" s="589">
        <f>P26*Table7[[#This Row],[% CHILDREN  (Age 18&lt;)]]</f>
        <v>0</v>
      </c>
      <c r="V26" s="589">
        <f>P26*Table7[[#This Row],[ % ADULTS ( Age 18-60)]]</f>
        <v>0</v>
      </c>
      <c r="W26" s="589">
        <f>P26*Table7[[#This Row],[% ELDERS  (Age 60+)]]</f>
        <v>0</v>
      </c>
      <c r="X26" s="589">
        <f>P26*Table7[[#This Row],[% of people with disabilities (Age 5 yrs+)]]</f>
        <v>0</v>
      </c>
      <c r="Y26" s="740">
        <f t="shared" si="5"/>
        <v>1386.2472281000487</v>
      </c>
      <c r="AA26" s="695" t="s">
        <v>2704</v>
      </c>
      <c r="AB26" s="695">
        <f>1-Table7[[#This Row],[% Female]]</f>
        <v>0.48551985988309021</v>
      </c>
      <c r="AC26" s="695">
        <v>0.51448014011690979</v>
      </c>
      <c r="AD26" s="695">
        <v>0.34678517385040053</v>
      </c>
      <c r="AE26" s="695">
        <v>0.57096178406872689</v>
      </c>
      <c r="AF26" s="695">
        <v>8.2253042080872446E-2</v>
      </c>
      <c r="AG26" s="695">
        <v>0.17328178854818205</v>
      </c>
      <c r="AH26" s="721">
        <f>Table7[[#This Row],[% Female]]*P26</f>
        <v>0</v>
      </c>
      <c r="AI26" s="721">
        <f>P26*Table7[[#This Row],[% of people with disabilities (Age 5 yrs+)]]</f>
        <v>0</v>
      </c>
      <c r="AK26" s="60">
        <f t="shared" ref="AK26:AK89" si="6">G26+H26+K26+M26</f>
        <v>0</v>
      </c>
      <c r="AL26" s="60">
        <f t="shared" ref="AL26:AL89" si="7">I26+J26+L26+N26+O26</f>
        <v>0</v>
      </c>
      <c r="AM26" s="60">
        <f t="shared" ref="AM26:AM89" si="8">(AK26+AL26)-P26</f>
        <v>0</v>
      </c>
      <c r="AP26" s="60">
        <f t="shared" ref="AP26:AP42" si="9">AN26+AO26</f>
        <v>0</v>
      </c>
    </row>
    <row r="27" spans="1:42" ht="17.5" hidden="1" customHeight="1">
      <c r="C27" s="1140"/>
      <c r="D27" s="587" t="s">
        <v>2705</v>
      </c>
      <c r="E27" s="588">
        <v>170547.23083816754</v>
      </c>
      <c r="F27" s="622">
        <v>18946.09385029005</v>
      </c>
      <c r="G27" s="881"/>
      <c r="H27" s="882"/>
      <c r="I27" s="882"/>
      <c r="J27" s="883"/>
      <c r="K27" s="987">
        <v>1074</v>
      </c>
      <c r="L27" s="883"/>
      <c r="M27" s="881"/>
      <c r="N27" s="882"/>
      <c r="O27" s="883"/>
      <c r="P27" s="931">
        <f t="shared" si="3"/>
        <v>1074</v>
      </c>
      <c r="Q27" s="590">
        <f t="shared" si="4"/>
        <v>5.6687146621706291E-2</v>
      </c>
      <c r="R27" s="724">
        <f>1-Q27</f>
        <v>0.94331285337829374</v>
      </c>
      <c r="S27" s="739">
        <f>P27*Table7[[#This Row],[% Male]]</f>
        <v>512.56962206256162</v>
      </c>
      <c r="T27" s="589">
        <f>P27*Table7[[#This Row],[% Female]]</f>
        <v>561.43037793743838</v>
      </c>
      <c r="U27" s="589">
        <f>P27*Table7[[#This Row],[% CHILDREN  (Age 18&lt;)]]</f>
        <v>362.59517033110046</v>
      </c>
      <c r="V27" s="589">
        <f>P27*Table7[[#This Row],[ % ADULTS ( Age 18-60)]]</f>
        <v>617.39521750233644</v>
      </c>
      <c r="W27" s="589">
        <f>P27*Table7[[#This Row],[% ELDERS  (Age 60+)]]</f>
        <v>94.009612166562931</v>
      </c>
      <c r="X27" s="589">
        <f>P27*Table7[[#This Row],[% of people with disabilities (Age 5 yrs+)]]</f>
        <v>134.87660820332951</v>
      </c>
      <c r="Y27" s="740">
        <f t="shared" si="5"/>
        <v>17872.09385029005</v>
      </c>
      <c r="AA27" s="695" t="s">
        <v>2705</v>
      </c>
      <c r="AB27" s="695">
        <f>1-Table7[[#This Row],[% Female]]</f>
        <v>0.47725290694838141</v>
      </c>
      <c r="AC27" s="695">
        <v>0.52274709305161859</v>
      </c>
      <c r="AD27" s="695">
        <v>0.33761189043864104</v>
      </c>
      <c r="AE27" s="695">
        <v>0.57485588221819039</v>
      </c>
      <c r="AF27" s="695">
        <v>8.753222734316847E-2</v>
      </c>
      <c r="AG27" s="695">
        <v>0.1255834340813124</v>
      </c>
      <c r="AH27" s="721">
        <f>Table7[[#This Row],[% Female]]*P27</f>
        <v>561.43037793743838</v>
      </c>
      <c r="AI27" s="721">
        <f>P27*Table7[[#This Row],[% of people with disabilities (Age 5 yrs+)]]</f>
        <v>134.87660820332951</v>
      </c>
      <c r="AK27" s="60">
        <f t="shared" si="6"/>
        <v>1074</v>
      </c>
      <c r="AL27" s="60">
        <f t="shared" si="7"/>
        <v>0</v>
      </c>
      <c r="AM27" s="60">
        <f t="shared" si="8"/>
        <v>0</v>
      </c>
      <c r="AN27" s="60">
        <f>MAX(AK27,AK46,AK65,AK84,AK102,AK121)</f>
        <v>1872</v>
      </c>
      <c r="AO27" s="60">
        <f>MAX(AL27,AL46,AL65,AL84,AL102,AL121)</f>
        <v>0</v>
      </c>
      <c r="AP27" s="60">
        <f t="shared" si="9"/>
        <v>1872</v>
      </c>
    </row>
    <row r="28" spans="1:42" ht="17.5" hidden="1" customHeight="1">
      <c r="C28" s="1140"/>
      <c r="D28" s="587" t="s">
        <v>2706</v>
      </c>
      <c r="E28" s="588">
        <v>0</v>
      </c>
      <c r="F28" s="622">
        <v>0</v>
      </c>
      <c r="G28" s="881"/>
      <c r="H28" s="884"/>
      <c r="I28" s="884"/>
      <c r="J28" s="883"/>
      <c r="K28" s="881"/>
      <c r="L28" s="883"/>
      <c r="M28" s="881"/>
      <c r="N28" s="882"/>
      <c r="O28" s="883"/>
      <c r="P28" s="931">
        <f t="shared" si="3"/>
        <v>0</v>
      </c>
      <c r="Q28" s="590" t="e">
        <f t="shared" si="4"/>
        <v>#DIV/0!</v>
      </c>
      <c r="R28" s="724" t="e">
        <f>1-Q28</f>
        <v>#DIV/0!</v>
      </c>
      <c r="S28" s="739">
        <f>P28*Table7[[#This Row],[% Male]]</f>
        <v>0</v>
      </c>
      <c r="T28" s="589">
        <f>P28*Table7[[#This Row],[% Female]]</f>
        <v>0</v>
      </c>
      <c r="U28" s="589">
        <f>P28*Table7[[#This Row],[% CHILDREN  (Age 18&lt;)]]</f>
        <v>0</v>
      </c>
      <c r="V28" s="589">
        <f>P28*Table7[[#This Row],[ % ADULTS ( Age 18-60)]]</f>
        <v>0</v>
      </c>
      <c r="W28" s="589">
        <f>P28*Table7[[#This Row],[% ELDERS  (Age 60+)]]</f>
        <v>0</v>
      </c>
      <c r="X28" s="589">
        <f>P28*Table7[[#This Row],[% of people with disabilities (Age 5 yrs+)]]</f>
        <v>0</v>
      </c>
      <c r="Y28" s="740">
        <f t="shared" si="5"/>
        <v>0</v>
      </c>
      <c r="AA28" s="695" t="s">
        <v>2706</v>
      </c>
      <c r="AB28" s="695">
        <f>1-Table7[[#This Row],[% Female]]</f>
        <v>0.47722473638009399</v>
      </c>
      <c r="AC28" s="695">
        <v>0.52277526361990601</v>
      </c>
      <c r="AD28" s="695">
        <v>0.33761189043864104</v>
      </c>
      <c r="AE28" s="695">
        <v>0.57485588221819039</v>
      </c>
      <c r="AF28" s="695">
        <v>8.753222734316847E-2</v>
      </c>
      <c r="AG28" s="695">
        <v>0.1255834340813124</v>
      </c>
      <c r="AH28" s="721">
        <f>Table7[[#This Row],[% Female]]*P28</f>
        <v>0</v>
      </c>
      <c r="AI28" s="721">
        <f>P28*Table7[[#This Row],[% of people with disabilities (Age 5 yrs+)]]</f>
        <v>0</v>
      </c>
      <c r="AK28" s="60">
        <f t="shared" si="6"/>
        <v>0</v>
      </c>
      <c r="AL28" s="60">
        <f t="shared" si="7"/>
        <v>0</v>
      </c>
      <c r="AM28" s="60">
        <f t="shared" si="8"/>
        <v>0</v>
      </c>
      <c r="AP28" s="60">
        <f t="shared" si="9"/>
        <v>0</v>
      </c>
    </row>
    <row r="29" spans="1:42" ht="17.5" hidden="1" customHeight="1">
      <c r="B29" s="695">
        <f>(P29+P33+P37)/(F29+F33+F37)</f>
        <v>0.14887481336029357</v>
      </c>
      <c r="C29" s="1140"/>
      <c r="D29" s="587" t="s">
        <v>613</v>
      </c>
      <c r="E29" s="588">
        <v>133949.83369622205</v>
      </c>
      <c r="F29" s="622">
        <v>85472.123369622204</v>
      </c>
      <c r="G29" s="881"/>
      <c r="H29" s="882"/>
      <c r="I29" s="882"/>
      <c r="J29" s="883"/>
      <c r="K29" s="987">
        <v>14831</v>
      </c>
      <c r="L29" s="883"/>
      <c r="M29" s="881"/>
      <c r="N29" s="882"/>
      <c r="O29" s="883"/>
      <c r="P29" s="931">
        <f t="shared" si="3"/>
        <v>14831</v>
      </c>
      <c r="Q29" s="590">
        <f t="shared" si="4"/>
        <v>0.17351856272323651</v>
      </c>
      <c r="R29" s="724">
        <f>1-Q29</f>
        <v>0.82648143727676349</v>
      </c>
      <c r="S29" s="739">
        <f>P29*Table7[[#This Row],[% Male]]</f>
        <v>7114.4559366002741</v>
      </c>
      <c r="T29" s="589">
        <f>P29*Table7[[#This Row],[% Female]]</f>
        <v>7716.5440633997259</v>
      </c>
      <c r="U29" s="589">
        <f>P29*Table7[[#This Row],[% CHILDREN  (Age 18&lt;)]]</f>
        <v>6849.1013281091728</v>
      </c>
      <c r="V29" s="589">
        <f>P29*Table7[[#This Row],[ % ADULTS ( Age 18-60)]]</f>
        <v>7006.7345807548436</v>
      </c>
      <c r="W29" s="589">
        <f>P29*Table7[[#This Row],[% ELDERS  (Age 60+)]]</f>
        <v>975.16409113598343</v>
      </c>
      <c r="X29" s="589">
        <f>P29*Table7[[#This Row],[% of people with disabilities (Age 5 yrs+)]]</f>
        <v>3059.5924107173664</v>
      </c>
      <c r="Y29" s="740">
        <f t="shared" si="5"/>
        <v>70641.123369622204</v>
      </c>
      <c r="AA29" s="695" t="s">
        <v>613</v>
      </c>
      <c r="AB29" s="695">
        <f>1-Table7[[#This Row],[% Female]]</f>
        <v>0.47970170161150794</v>
      </c>
      <c r="AC29" s="695">
        <v>0.52029829838849206</v>
      </c>
      <c r="AD29" s="695">
        <v>0.46180981242729235</v>
      </c>
      <c r="AE29" s="695">
        <v>0.4724384451995714</v>
      </c>
      <c r="AF29" s="695">
        <v>6.5751742373136232E-2</v>
      </c>
      <c r="AG29" s="695">
        <v>0.20629710813278715</v>
      </c>
      <c r="AH29" s="721">
        <f>Table7[[#This Row],[% Female]]*P29</f>
        <v>7716.5440633997259</v>
      </c>
      <c r="AI29" s="721">
        <f>P29*Table7[[#This Row],[% of people with disabilities (Age 5 yrs+)]]</f>
        <v>3059.5924107173664</v>
      </c>
      <c r="AK29" s="60">
        <f>G29+H29+K29+M29</f>
        <v>14831</v>
      </c>
      <c r="AL29" s="60">
        <f t="shared" si="7"/>
        <v>0</v>
      </c>
      <c r="AM29" s="60">
        <f t="shared" si="8"/>
        <v>0</v>
      </c>
      <c r="AN29" s="60">
        <f t="shared" ref="AN29:AO32" si="10">MAX(AK29,AK48,AK67,AK86,AK103,AK122)</f>
        <v>22379</v>
      </c>
      <c r="AO29" s="60">
        <f t="shared" si="10"/>
        <v>0</v>
      </c>
      <c r="AP29" s="60">
        <f t="shared" si="9"/>
        <v>22379</v>
      </c>
    </row>
    <row r="30" spans="1:42" ht="17.5" customHeight="1">
      <c r="C30" s="1140"/>
      <c r="D30" s="587" t="s">
        <v>37</v>
      </c>
      <c r="E30" s="588">
        <v>231228.27654495894</v>
      </c>
      <c r="F30" s="622">
        <v>94859.013827247953</v>
      </c>
      <c r="G30" s="881">
        <f>C2</f>
        <v>60255.333333333336</v>
      </c>
      <c r="H30" s="882">
        <v>64</v>
      </c>
      <c r="I30" s="882"/>
      <c r="J30" s="883"/>
      <c r="K30" s="881"/>
      <c r="L30" s="883"/>
      <c r="M30" s="881"/>
      <c r="N30" s="882"/>
      <c r="O30" s="883"/>
      <c r="P30" s="931">
        <f t="shared" si="3"/>
        <v>60319.333333333336</v>
      </c>
      <c r="Q30" s="590">
        <f t="shared" si="4"/>
        <v>0.63588404411607746</v>
      </c>
      <c r="R30" s="724">
        <f t="shared" ref="R30:R42" si="11">1-Q30</f>
        <v>0.36411595588392254</v>
      </c>
      <c r="S30" s="739">
        <f>P30*Table7[[#This Row],[% Male]]</f>
        <v>30753.626933690492</v>
      </c>
      <c r="T30" s="589">
        <f>P30*Table7[[#This Row],[% Female]]</f>
        <v>29565.706399642844</v>
      </c>
      <c r="U30" s="589">
        <f>P30*Table7[[#This Row],[% CHILDREN  (Age 18&lt;)]]</f>
        <v>21720.843448229818</v>
      </c>
      <c r="V30" s="589">
        <f>P30*Table7[[#This Row],[ % ADULTS ( Age 18-60)]]</f>
        <v>35281.156213332077</v>
      </c>
      <c r="W30" s="589">
        <f>P30*Table7[[#This Row],[% ELDERS  (Age 60+)]]</f>
        <v>3317.3336717714415</v>
      </c>
      <c r="X30" s="589">
        <f>P30*Table7[[#This Row],[% of people with disabilities (Age 5 yrs+)]]</f>
        <v>5367.070485611529</v>
      </c>
      <c r="Y30" s="740">
        <f t="shared" si="5"/>
        <v>34539.680493914617</v>
      </c>
      <c r="AA30" s="695" t="s">
        <v>37</v>
      </c>
      <c r="AB30" s="695">
        <f>1-Table7[[#This Row],[% Female]]</f>
        <v>0.50984693023282457</v>
      </c>
      <c r="AC30" s="695">
        <v>0.49015306976717543</v>
      </c>
      <c r="AD30" s="695">
        <v>0.36009753834972452</v>
      </c>
      <c r="AE30" s="695">
        <v>0.5849062690789919</v>
      </c>
      <c r="AF30" s="695">
        <v>5.4996192571283527E-2</v>
      </c>
      <c r="AG30" s="695">
        <v>8.8977616114427588E-2</v>
      </c>
      <c r="AH30" s="721">
        <f>Table7[[#This Row],[% Female]]*P30</f>
        <v>29565.706399642844</v>
      </c>
      <c r="AI30" s="721">
        <f>P30*Table7[[#This Row],[% of people with disabilities (Age 5 yrs+)]]</f>
        <v>5367.070485611529</v>
      </c>
      <c r="AK30" s="60">
        <f t="shared" si="6"/>
        <v>60319.333333333336</v>
      </c>
      <c r="AL30" s="60">
        <f t="shared" si="7"/>
        <v>0</v>
      </c>
      <c r="AM30" s="60">
        <f t="shared" si="8"/>
        <v>0</v>
      </c>
      <c r="AN30" s="60">
        <f t="shared" si="10"/>
        <v>65270</v>
      </c>
      <c r="AO30" s="60">
        <f t="shared" si="10"/>
        <v>0</v>
      </c>
      <c r="AP30" s="60">
        <f t="shared" si="9"/>
        <v>65270</v>
      </c>
    </row>
    <row r="31" spans="1:42" ht="17.5" hidden="1" customHeight="1">
      <c r="C31" s="1140"/>
      <c r="D31" s="587" t="s">
        <v>2707</v>
      </c>
      <c r="E31" s="588">
        <v>207176.84686270333</v>
      </c>
      <c r="F31" s="622">
        <v>38551.719686270328</v>
      </c>
      <c r="G31" s="881"/>
      <c r="H31" s="882"/>
      <c r="I31" s="882"/>
      <c r="J31" s="883"/>
      <c r="K31" s="987">
        <v>30416</v>
      </c>
      <c r="L31" s="883"/>
      <c r="M31" s="881"/>
      <c r="N31" s="882"/>
      <c r="O31" s="883"/>
      <c r="P31" s="931">
        <f t="shared" si="3"/>
        <v>30416</v>
      </c>
      <c r="Q31" s="590">
        <f t="shared" si="4"/>
        <v>0.78896610183727411</v>
      </c>
      <c r="R31" s="724">
        <f t="shared" si="11"/>
        <v>0.21103389816272589</v>
      </c>
      <c r="S31" s="739">
        <f>P31*Table7[[#This Row],[% Male]]</f>
        <v>15666.583894869786</v>
      </c>
      <c r="T31" s="589">
        <f>P31*Table7[[#This Row],[% Female]]</f>
        <v>14749.416105130216</v>
      </c>
      <c r="U31" s="589">
        <f>P31*Table7[[#This Row],[% CHILDREN  (Age 18&lt;)]]</f>
        <v>12322.73157797416</v>
      </c>
      <c r="V31" s="589">
        <f>P31*Table7[[#This Row],[ % ADULTS ( Age 18-60)]]</f>
        <v>16503.529506989922</v>
      </c>
      <c r="W31" s="589">
        <f>P31*Table7[[#This Row],[% ELDERS  (Age 60+)]]</f>
        <v>1589.7389150359177</v>
      </c>
      <c r="X31" s="589">
        <f>P31*Table7[[#This Row],[% of people with disabilities (Age 5 yrs+)]]</f>
        <v>3294.6289195432455</v>
      </c>
      <c r="Y31" s="740">
        <f t="shared" si="5"/>
        <v>8135.7196862703277</v>
      </c>
      <c r="AA31" s="695" t="s">
        <v>2707</v>
      </c>
      <c r="AB31" s="695">
        <f>1-Table7[[#This Row],[% Female]]</f>
        <v>0.51507706124637642</v>
      </c>
      <c r="AC31" s="695">
        <v>0.48492293875362363</v>
      </c>
      <c r="AD31" s="695">
        <v>0.40513978096969228</v>
      </c>
      <c r="AE31" s="695">
        <v>0.54259368447494483</v>
      </c>
      <c r="AF31" s="695">
        <v>5.2266534555362891E-2</v>
      </c>
      <c r="AG31" s="695">
        <v>0.10831894133164274</v>
      </c>
      <c r="AH31" s="721">
        <f>Table7[[#This Row],[% Female]]*P31</f>
        <v>14749.416105130216</v>
      </c>
      <c r="AI31" s="721">
        <f>P31*Table7[[#This Row],[% of people with disabilities (Age 5 yrs+)]]</f>
        <v>3294.6289195432455</v>
      </c>
      <c r="AK31" s="60">
        <f t="shared" si="6"/>
        <v>30416</v>
      </c>
      <c r="AL31" s="60">
        <f t="shared" si="7"/>
        <v>0</v>
      </c>
      <c r="AM31" s="60">
        <f t="shared" si="8"/>
        <v>0</v>
      </c>
      <c r="AN31" s="60">
        <f t="shared" si="10"/>
        <v>30416</v>
      </c>
      <c r="AO31" s="60">
        <f t="shared" si="10"/>
        <v>0</v>
      </c>
      <c r="AP31" s="60">
        <f t="shared" si="9"/>
        <v>30416</v>
      </c>
    </row>
    <row r="32" spans="1:42" ht="17.5" hidden="1" customHeight="1">
      <c r="C32" s="1140"/>
      <c r="D32" s="587" t="s">
        <v>2347</v>
      </c>
      <c r="E32" s="588">
        <v>293903.52269109758</v>
      </c>
      <c r="F32" s="622">
        <v>37310.332269109756</v>
      </c>
      <c r="G32" s="881"/>
      <c r="H32" s="882"/>
      <c r="I32" s="882"/>
      <c r="J32" s="883"/>
      <c r="K32" s="987">
        <v>24432</v>
      </c>
      <c r="L32" s="883"/>
      <c r="M32" s="881"/>
      <c r="N32" s="882"/>
      <c r="O32" s="883"/>
      <c r="P32" s="931">
        <f t="shared" si="3"/>
        <v>24432</v>
      </c>
      <c r="Q32" s="590">
        <f t="shared" si="4"/>
        <v>0.6548320133891683</v>
      </c>
      <c r="R32" s="724">
        <f t="shared" si="11"/>
        <v>0.3451679866108317</v>
      </c>
      <c r="S32" s="739">
        <f>P32*Table7[[#This Row],[% Male]]</f>
        <v>12122.1195937998</v>
      </c>
      <c r="T32" s="589">
        <f>P32*Table7[[#This Row],[% Female]]</f>
        <v>12309.8804062002</v>
      </c>
      <c r="U32" s="589">
        <f>P32*Table7[[#This Row],[% CHILDREN  (Age 18&lt;)]]</f>
        <v>10073.027596411948</v>
      </c>
      <c r="V32" s="589">
        <f>P32*Table7[[#This Row],[ % ADULTS ( Age 18-60)]]</f>
        <v>12637.977831932705</v>
      </c>
      <c r="W32" s="589">
        <f>P32*Table7[[#This Row],[% ELDERS  (Age 60+)]]</f>
        <v>1720.9945716553464</v>
      </c>
      <c r="X32" s="589">
        <f>P32*Table7[[#This Row],[% of people with disabilities (Age 5 yrs+)]]</f>
        <v>4063.3598714993063</v>
      </c>
      <c r="Y32" s="740">
        <f t="shared" si="5"/>
        <v>12878.332269109756</v>
      </c>
      <c r="AA32" s="695" t="s">
        <v>2347</v>
      </c>
      <c r="AB32" s="695">
        <f>1-Table7[[#This Row],[% Female]]</f>
        <v>0.49615748173705798</v>
      </c>
      <c r="AC32" s="695">
        <v>0.50384251826294202</v>
      </c>
      <c r="AD32" s="695">
        <v>0.41228829389374377</v>
      </c>
      <c r="AE32" s="695">
        <v>0.51727152226312645</v>
      </c>
      <c r="AF32" s="695">
        <v>7.0440183843129764E-2</v>
      </c>
      <c r="AG32" s="695">
        <v>0.16631302682953938</v>
      </c>
      <c r="AH32" s="721">
        <f>Table7[[#This Row],[% Female]]*P32</f>
        <v>12309.8804062002</v>
      </c>
      <c r="AI32" s="721">
        <f>P32*Table7[[#This Row],[% of people with disabilities (Age 5 yrs+)]]</f>
        <v>4063.3598714993063</v>
      </c>
      <c r="AK32" s="60">
        <f t="shared" si="6"/>
        <v>24432</v>
      </c>
      <c r="AL32" s="60">
        <f t="shared" si="7"/>
        <v>0</v>
      </c>
      <c r="AM32" s="60">
        <f t="shared" si="8"/>
        <v>0</v>
      </c>
      <c r="AN32" s="60">
        <f t="shared" si="10"/>
        <v>24432</v>
      </c>
      <c r="AO32" s="60">
        <f t="shared" si="10"/>
        <v>0</v>
      </c>
      <c r="AP32" s="60">
        <f t="shared" si="9"/>
        <v>24432</v>
      </c>
    </row>
    <row r="33" spans="2:44" ht="17.5" hidden="1" customHeight="1">
      <c r="C33" s="1140"/>
      <c r="D33" s="587" t="s">
        <v>2708</v>
      </c>
      <c r="E33" s="588">
        <v>388884.05822737725</v>
      </c>
      <c r="F33" s="622">
        <v>87923.325822737723</v>
      </c>
      <c r="G33" s="881"/>
      <c r="H33" s="882">
        <v>2000</v>
      </c>
      <c r="I33" s="882"/>
      <c r="J33" s="883"/>
      <c r="K33" s="881"/>
      <c r="L33" s="883"/>
      <c r="M33" s="881"/>
      <c r="N33" s="882"/>
      <c r="O33" s="883"/>
      <c r="P33" s="931">
        <f t="shared" si="3"/>
        <v>2000</v>
      </c>
      <c r="Q33" s="590">
        <f t="shared" si="4"/>
        <v>2.274709221114089E-2</v>
      </c>
      <c r="R33" s="724">
        <f t="shared" si="11"/>
        <v>0.97725290778885909</v>
      </c>
      <c r="S33" s="739">
        <f>P33*Table7[[#This Row],[% Male]]</f>
        <v>932.4805297033239</v>
      </c>
      <c r="T33" s="589">
        <f>P33*Table7[[#This Row],[% Female]]</f>
        <v>1067.5194702966762</v>
      </c>
      <c r="U33" s="589">
        <f>P33*Table7[[#This Row],[% CHILDREN  (Age 18&lt;)]]</f>
        <v>637.81182546581567</v>
      </c>
      <c r="V33" s="589">
        <f>P33*Table7[[#This Row],[ % ADULTS ( Age 18-60)]]</f>
        <v>1164.9956408577361</v>
      </c>
      <c r="W33" s="589">
        <f>P33*Table7[[#This Row],[% ELDERS  (Age 60+)]]</f>
        <v>197.19253367644819</v>
      </c>
      <c r="X33" s="589">
        <f>P33*Table7[[#This Row],[% of people with disabilities (Age 5 yrs+)]]</f>
        <v>340.55150611101601</v>
      </c>
      <c r="Y33" s="740">
        <f t="shared" si="5"/>
        <v>85923.325822737723</v>
      </c>
      <c r="AA33" s="695" t="s">
        <v>2708</v>
      </c>
      <c r="AB33" s="695">
        <f>1-Table7[[#This Row],[% Female]]</f>
        <v>0.46624026485166192</v>
      </c>
      <c r="AC33" s="695">
        <v>0.53375973514833808</v>
      </c>
      <c r="AD33" s="695">
        <v>0.31890591273290786</v>
      </c>
      <c r="AE33" s="695">
        <v>0.58249782042886811</v>
      </c>
      <c r="AF33" s="695">
        <v>9.8596266838224103E-2</v>
      </c>
      <c r="AG33" s="695">
        <v>0.17027575305550802</v>
      </c>
      <c r="AH33" s="721">
        <f>Table7[[#This Row],[% Female]]*P33</f>
        <v>1067.5194702966762</v>
      </c>
      <c r="AI33" s="721">
        <f>P33*Table7[[#This Row],[% of people with disabilities (Age 5 yrs+)]]</f>
        <v>340.55150611101601</v>
      </c>
      <c r="AK33" s="60">
        <f t="shared" si="6"/>
        <v>2000</v>
      </c>
      <c r="AL33" s="60">
        <f t="shared" si="7"/>
        <v>0</v>
      </c>
      <c r="AM33" s="60">
        <f t="shared" si="8"/>
        <v>0</v>
      </c>
      <c r="AN33" s="60">
        <f>MAX(AK33,AK52,AK71,AK90,AK107,AK126)</f>
        <v>2667</v>
      </c>
      <c r="AP33" s="60">
        <f t="shared" si="9"/>
        <v>2667</v>
      </c>
    </row>
    <row r="34" spans="2:44" ht="17.5" hidden="1" customHeight="1">
      <c r="C34" s="1140"/>
      <c r="D34" s="587" t="s">
        <v>2709</v>
      </c>
      <c r="E34" s="588">
        <v>22342.381043354912</v>
      </c>
      <c r="F34" s="622">
        <v>0</v>
      </c>
      <c r="G34" s="881"/>
      <c r="H34" s="882"/>
      <c r="I34" s="882"/>
      <c r="J34" s="883"/>
      <c r="K34" s="881"/>
      <c r="L34" s="883"/>
      <c r="M34" s="881"/>
      <c r="N34" s="882"/>
      <c r="O34" s="883"/>
      <c r="P34" s="931">
        <f t="shared" si="3"/>
        <v>0</v>
      </c>
      <c r="Q34" s="590" t="e">
        <f t="shared" si="4"/>
        <v>#DIV/0!</v>
      </c>
      <c r="R34" s="724" t="e">
        <f>1-Q34</f>
        <v>#DIV/0!</v>
      </c>
      <c r="S34" s="739">
        <f>P34*Table7[[#This Row],[% Male]]</f>
        <v>0</v>
      </c>
      <c r="T34" s="589">
        <f>P34*Table7[[#This Row],[% Female]]</f>
        <v>0</v>
      </c>
      <c r="U34" s="589">
        <f>P34*Table7[[#This Row],[% CHILDREN  (Age 18&lt;)]]</f>
        <v>0</v>
      </c>
      <c r="V34" s="589">
        <f>P34*Table7[[#This Row],[ % ADULTS ( Age 18-60)]]</f>
        <v>0</v>
      </c>
      <c r="W34" s="589">
        <f>P34*Table7[[#This Row],[% ELDERS  (Age 60+)]]</f>
        <v>0</v>
      </c>
      <c r="X34" s="589">
        <f>P34*Table7[[#This Row],[% of people with disabilities (Age 5 yrs+)]]</f>
        <v>0</v>
      </c>
      <c r="Y34" s="740">
        <f t="shared" si="5"/>
        <v>0</v>
      </c>
      <c r="AA34" s="695" t="s">
        <v>2709</v>
      </c>
      <c r="AB34" s="695">
        <f>1-Table7[[#This Row],[% Female]]</f>
        <v>0.47497740305257174</v>
      </c>
      <c r="AC34" s="695">
        <v>0.52502259694742826</v>
      </c>
      <c r="AD34" s="695">
        <v>0.3138931152113062</v>
      </c>
      <c r="AE34" s="695">
        <v>0.60118432177378078</v>
      </c>
      <c r="AF34" s="695">
        <v>8.4922563014913258E-2</v>
      </c>
      <c r="AG34" s="695">
        <v>0.10165982960370988</v>
      </c>
      <c r="AH34" s="721">
        <f>Table7[[#This Row],[% Female]]*P34</f>
        <v>0</v>
      </c>
      <c r="AI34" s="721">
        <f>P34*Table7[[#This Row],[% of people with disabilities (Age 5 yrs+)]]</f>
        <v>0</v>
      </c>
      <c r="AK34" s="60">
        <f t="shared" si="6"/>
        <v>0</v>
      </c>
      <c r="AL34" s="60">
        <f t="shared" si="7"/>
        <v>0</v>
      </c>
      <c r="AM34" s="60">
        <f t="shared" si="8"/>
        <v>0</v>
      </c>
      <c r="AP34" s="60">
        <f t="shared" si="9"/>
        <v>0</v>
      </c>
    </row>
    <row r="35" spans="2:44" ht="17.5" hidden="1" customHeight="1">
      <c r="C35" s="1140"/>
      <c r="D35" s="587" t="s">
        <v>2710</v>
      </c>
      <c r="E35" s="588">
        <v>0</v>
      </c>
      <c r="F35" s="622">
        <v>0</v>
      </c>
      <c r="G35" s="881"/>
      <c r="H35" s="882"/>
      <c r="I35" s="882"/>
      <c r="J35" s="883"/>
      <c r="K35" s="881"/>
      <c r="L35" s="883"/>
      <c r="M35" s="881"/>
      <c r="N35" s="882"/>
      <c r="O35" s="883"/>
      <c r="P35" s="931">
        <f t="shared" si="3"/>
        <v>0</v>
      </c>
      <c r="Q35" s="590" t="e">
        <f t="shared" si="4"/>
        <v>#DIV/0!</v>
      </c>
      <c r="R35" s="724" t="e">
        <f>1-Q35</f>
        <v>#DIV/0!</v>
      </c>
      <c r="S35" s="739">
        <f>P35*Table7[[#This Row],[% Male]]</f>
        <v>0</v>
      </c>
      <c r="T35" s="589">
        <f>P35*Table7[[#This Row],[% Female]]</f>
        <v>0</v>
      </c>
      <c r="U35" s="589">
        <f>P35*Table7[[#This Row],[% CHILDREN  (Age 18&lt;)]]</f>
        <v>0</v>
      </c>
      <c r="V35" s="589">
        <f>P35*Table7[[#This Row],[ % ADULTS ( Age 18-60)]]</f>
        <v>0</v>
      </c>
      <c r="W35" s="589">
        <f>P35*Table7[[#This Row],[% ELDERS  (Age 60+)]]</f>
        <v>0</v>
      </c>
      <c r="X35" s="589">
        <f>P35*Table7[[#This Row],[% of people with disabilities (Age 5 yrs+)]]</f>
        <v>0</v>
      </c>
      <c r="Y35" s="740">
        <f t="shared" si="5"/>
        <v>0</v>
      </c>
      <c r="AA35" s="695" t="s">
        <v>2710</v>
      </c>
      <c r="AB35" s="695">
        <f>1-Table7[[#This Row],[% Female]]</f>
        <v>0.49204036182964128</v>
      </c>
      <c r="AC35" s="695">
        <v>0.50795963817035872</v>
      </c>
      <c r="AD35" s="695">
        <v>0.36703104031215061</v>
      </c>
      <c r="AE35" s="695">
        <v>0.54412519902472412</v>
      </c>
      <c r="AF35" s="695">
        <v>8.8843760663125326E-2</v>
      </c>
      <c r="AG35" s="695">
        <v>0.10766915021305525</v>
      </c>
      <c r="AH35" s="721">
        <f>Table7[[#This Row],[% Female]]*P35</f>
        <v>0</v>
      </c>
      <c r="AI35" s="721">
        <f>P35*Table7[[#This Row],[% of people with disabilities (Age 5 yrs+)]]</f>
        <v>0</v>
      </c>
      <c r="AK35" s="60">
        <f t="shared" si="6"/>
        <v>0</v>
      </c>
      <c r="AL35" s="60">
        <f t="shared" si="7"/>
        <v>0</v>
      </c>
      <c r="AM35" s="60">
        <f t="shared" si="8"/>
        <v>0</v>
      </c>
      <c r="AP35" s="60">
        <f t="shared" si="9"/>
        <v>0</v>
      </c>
    </row>
    <row r="36" spans="2:44" ht="17.5" hidden="1" customHeight="1">
      <c r="C36" s="1140"/>
      <c r="D36" s="587" t="s">
        <v>304</v>
      </c>
      <c r="E36" s="588">
        <v>1041892.4324525243</v>
      </c>
      <c r="F36" s="622">
        <v>434841.37338480778</v>
      </c>
      <c r="G36" s="881">
        <v>121785</v>
      </c>
      <c r="H36" s="950">
        <v>46825</v>
      </c>
      <c r="I36" s="882">
        <v>15503</v>
      </c>
      <c r="J36" s="883"/>
      <c r="K36" s="881"/>
      <c r="L36" s="883"/>
      <c r="M36" s="881"/>
      <c r="N36" s="882"/>
      <c r="O36" s="883"/>
      <c r="P36" s="931">
        <f t="shared" si="3"/>
        <v>184113</v>
      </c>
      <c r="Q36" s="590">
        <f t="shared" si="4"/>
        <v>0.42340267340907178</v>
      </c>
      <c r="R36" s="724">
        <f>1-Q36</f>
        <v>0.57659732659092822</v>
      </c>
      <c r="S36" s="739">
        <f>P36*Table7[[#This Row],[% Male]]</f>
        <v>87260.575173228382</v>
      </c>
      <c r="T36" s="589">
        <f>P36*Table7[[#This Row],[% Female]]</f>
        <v>96852.424826771618</v>
      </c>
      <c r="U36" s="589">
        <f>P36*Table7[[#This Row],[% CHILDREN  (Age 18&lt;)]]</f>
        <v>67582.877746738974</v>
      </c>
      <c r="V36" s="589">
        <f>P36*Table7[[#This Row],[ % ADULTS ( Age 18-60)]]</f>
        <v>100335.63608564297</v>
      </c>
      <c r="W36" s="589">
        <f>P36*Table7[[#This Row],[% ELDERS  (Age 60+)]]</f>
        <v>16194.486167618084</v>
      </c>
      <c r="X36" s="589">
        <f>P36*Table7[[#This Row],[% of people with disabilities (Age 5 yrs+)]]</f>
        <v>31935.833640385543</v>
      </c>
      <c r="Y36" s="740">
        <f t="shared" si="5"/>
        <v>250728.37338480778</v>
      </c>
      <c r="AA36" s="695" t="s">
        <v>304</v>
      </c>
      <c r="AB36" s="695">
        <f>1-Table7[[#This Row],[% Female]]</f>
        <v>0.47395118852676554</v>
      </c>
      <c r="AC36" s="695">
        <v>0.52604881147323446</v>
      </c>
      <c r="AD36" s="695">
        <v>0.36707281803424513</v>
      </c>
      <c r="AE36" s="695">
        <v>0.54496768878701107</v>
      </c>
      <c r="AF36" s="695">
        <v>8.795949317874395E-2</v>
      </c>
      <c r="AG36" s="695">
        <v>0.17345778755647642</v>
      </c>
      <c r="AH36" s="721">
        <f>Table7[[#This Row],[% Female]]*P36</f>
        <v>96852.424826771618</v>
      </c>
      <c r="AI36" s="721">
        <f>P36*Table7[[#This Row],[% of people with disabilities (Age 5 yrs+)]]</f>
        <v>31935.833640385543</v>
      </c>
      <c r="AK36" s="60">
        <f t="shared" si="6"/>
        <v>168610</v>
      </c>
      <c r="AL36" s="60">
        <f t="shared" si="7"/>
        <v>15503</v>
      </c>
      <c r="AM36" s="60">
        <f t="shared" si="8"/>
        <v>0</v>
      </c>
      <c r="AN36" s="60">
        <f>MAX(AK36,AK55,AK74,AK93,AK108,AK127)</f>
        <v>174044.18497434334</v>
      </c>
      <c r="AO36" s="60">
        <f>MAX(AL36,AL55,AL74,AL93,AL108,AL127)</f>
        <v>24840</v>
      </c>
      <c r="AP36" s="60">
        <f t="shared" si="9"/>
        <v>198884.18497434334</v>
      </c>
    </row>
    <row r="37" spans="2:44" ht="17.5" hidden="1" customHeight="1">
      <c r="C37" s="1140"/>
      <c r="D37" s="587" t="s">
        <v>2711</v>
      </c>
      <c r="E37" s="588">
        <v>1841693.9600234586</v>
      </c>
      <c r="F37" s="622">
        <v>173896.33800117296</v>
      </c>
      <c r="G37" s="881"/>
      <c r="H37" s="882">
        <v>34872</v>
      </c>
      <c r="I37" s="882"/>
      <c r="J37" s="883"/>
      <c r="K37" s="881"/>
      <c r="L37" s="883"/>
      <c r="M37" s="881"/>
      <c r="N37" s="882"/>
      <c r="O37" s="883"/>
      <c r="P37" s="931">
        <f t="shared" si="3"/>
        <v>34872</v>
      </c>
      <c r="Q37" s="590">
        <f t="shared" si="4"/>
        <v>0.20053326252197895</v>
      </c>
      <c r="R37" s="724">
        <f>1-Q37</f>
        <v>0.79946673747802111</v>
      </c>
      <c r="S37" s="739">
        <f>P37*Table7[[#This Row],[% Male]]</f>
        <v>16609.6256212564</v>
      </c>
      <c r="T37" s="589">
        <f>P37*Table7[[#This Row],[% Female]]</f>
        <v>18262.3743787436</v>
      </c>
      <c r="U37" s="589">
        <f>P37*Table7[[#This Row],[% CHILDREN  (Age 18&lt;)]]</f>
        <v>11911.669251224372</v>
      </c>
      <c r="V37" s="589">
        <f>P37*Table7[[#This Row],[ % ADULTS ( Age 18-60)]]</f>
        <v>20026.526097172627</v>
      </c>
      <c r="W37" s="589">
        <f>P37*Table7[[#This Row],[% ELDERS  (Age 60+)]]</f>
        <v>2933.8046516029854</v>
      </c>
      <c r="X37" s="589">
        <f>P37*Table7[[#This Row],[% of people with disabilities (Age 5 yrs+)]]</f>
        <v>3352.5044945424543</v>
      </c>
      <c r="Y37" s="740">
        <f t="shared" si="5"/>
        <v>139024.33800117296</v>
      </c>
      <c r="AA37" s="695" t="s">
        <v>2711</v>
      </c>
      <c r="AB37" s="695">
        <f>1-Table7[[#This Row],[% Female]]</f>
        <v>0.4763026388293301</v>
      </c>
      <c r="AC37" s="695">
        <v>0.5236973611706699</v>
      </c>
      <c r="AD37" s="695">
        <v>0.34158262362997166</v>
      </c>
      <c r="AE37" s="695">
        <v>0.5742867084529889</v>
      </c>
      <c r="AF37" s="695">
        <v>8.4130667917039034E-2</v>
      </c>
      <c r="AG37" s="695">
        <v>9.6137431020373199E-2</v>
      </c>
      <c r="AH37" s="721">
        <f>Table7[[#This Row],[% Female]]*P37</f>
        <v>18262.3743787436</v>
      </c>
      <c r="AI37" s="721">
        <f>P37*Table7[[#This Row],[% of people with disabilities (Age 5 yrs+)]]</f>
        <v>3352.5044945424543</v>
      </c>
      <c r="AK37" s="60">
        <f t="shared" si="6"/>
        <v>34872</v>
      </c>
      <c r="AL37" s="60">
        <f t="shared" si="7"/>
        <v>0</v>
      </c>
      <c r="AM37" s="60">
        <f t="shared" si="8"/>
        <v>0</v>
      </c>
      <c r="AN37" s="60">
        <f>MAX(AK37,AK56,AK75,AK94,AK109,AK128)</f>
        <v>41140</v>
      </c>
      <c r="AP37" s="60">
        <f t="shared" si="9"/>
        <v>41140</v>
      </c>
    </row>
    <row r="38" spans="2:44" ht="17.5" hidden="1" customHeight="1">
      <c r="C38" s="1140"/>
      <c r="D38" s="587" t="s">
        <v>2712</v>
      </c>
      <c r="E38" s="588">
        <v>0</v>
      </c>
      <c r="F38" s="622">
        <v>0</v>
      </c>
      <c r="G38" s="881"/>
      <c r="H38" s="882"/>
      <c r="I38" s="882"/>
      <c r="J38" s="883"/>
      <c r="K38" s="881"/>
      <c r="L38" s="883"/>
      <c r="M38" s="881"/>
      <c r="N38" s="882"/>
      <c r="O38" s="883"/>
      <c r="P38" s="931">
        <f t="shared" si="3"/>
        <v>0</v>
      </c>
      <c r="Q38" s="590" t="e">
        <f t="shared" si="4"/>
        <v>#DIV/0!</v>
      </c>
      <c r="R38" s="724" t="e">
        <f>1-Q38</f>
        <v>#DIV/0!</v>
      </c>
      <c r="S38" s="739">
        <f>P38*Table7[[#This Row],[% Male]]</f>
        <v>0</v>
      </c>
      <c r="T38" s="589">
        <f>P38*Table7[[#This Row],[% Female]]</f>
        <v>0</v>
      </c>
      <c r="U38" s="589">
        <f>P38*Table7[[#This Row],[% CHILDREN  (Age 18&lt;)]]</f>
        <v>0</v>
      </c>
      <c r="V38" s="589">
        <f>P38*Table7[[#This Row],[ % ADULTS ( Age 18-60)]]</f>
        <v>0</v>
      </c>
      <c r="W38" s="589">
        <f>P38*Table7[[#This Row],[% ELDERS  (Age 60+)]]</f>
        <v>0</v>
      </c>
      <c r="X38" s="589">
        <f>P38*Table7[[#This Row],[% of people with disabilities (Age 5 yrs+)]]</f>
        <v>0</v>
      </c>
      <c r="Y38" s="740">
        <f t="shared" si="5"/>
        <v>0</v>
      </c>
      <c r="AA38" s="695" t="s">
        <v>2712</v>
      </c>
      <c r="AB38" s="695">
        <f>1-Table7[[#This Row],[% Female]]</f>
        <v>0.52000083467853997</v>
      </c>
      <c r="AC38" s="695">
        <v>0.47999916532146003</v>
      </c>
      <c r="AD38" s="695">
        <v>0.37996649287003431</v>
      </c>
      <c r="AE38" s="695">
        <v>0.56202252854870671</v>
      </c>
      <c r="AF38" s="695">
        <v>5.8010978581259073E-2</v>
      </c>
      <c r="AG38" s="695">
        <v>8.6218050764048523E-2</v>
      </c>
      <c r="AH38" s="721">
        <f>Table7[[#This Row],[% Female]]*P38</f>
        <v>0</v>
      </c>
      <c r="AI38" s="721">
        <f>P38*Table7[[#This Row],[% of people with disabilities (Age 5 yrs+)]]</f>
        <v>0</v>
      </c>
      <c r="AK38" s="60">
        <f t="shared" si="6"/>
        <v>0</v>
      </c>
      <c r="AL38" s="60">
        <f t="shared" si="7"/>
        <v>0</v>
      </c>
      <c r="AM38" s="60">
        <f t="shared" si="8"/>
        <v>0</v>
      </c>
      <c r="AP38" s="60">
        <f t="shared" si="9"/>
        <v>0</v>
      </c>
    </row>
    <row r="39" spans="2:44" ht="17.5" hidden="1" customHeight="1">
      <c r="C39" s="1140"/>
      <c r="D39" s="587" t="s">
        <v>515</v>
      </c>
      <c r="E39" s="588">
        <v>179191.85816781156</v>
      </c>
      <c r="F39" s="622">
        <v>42639.227235103055</v>
      </c>
      <c r="G39" s="881">
        <f>C3</f>
        <v>9893.9999999999982</v>
      </c>
      <c r="H39" s="882">
        <v>310</v>
      </c>
      <c r="I39" s="882"/>
      <c r="J39" s="883"/>
      <c r="K39" s="881"/>
      <c r="L39" s="883"/>
      <c r="M39" s="881"/>
      <c r="N39" s="882"/>
      <c r="O39" s="883"/>
      <c r="P39" s="931">
        <f t="shared" si="3"/>
        <v>10203.999999999998</v>
      </c>
      <c r="Q39" s="590">
        <f t="shared" si="4"/>
        <v>0.23931015315398307</v>
      </c>
      <c r="R39" s="724">
        <f t="shared" si="11"/>
        <v>0.76068984684601693</v>
      </c>
      <c r="S39" s="739">
        <f>P39*Table7[[#This Row],[% Male]]</f>
        <v>5103.5763672915546</v>
      </c>
      <c r="T39" s="589">
        <f>P39*Table7[[#This Row],[% Female]]</f>
        <v>5100.4236327084436</v>
      </c>
      <c r="U39" s="589">
        <f>P39*Table7[[#This Row],[% CHILDREN  (Age 18&lt;)]]</f>
        <v>3877.1780932458282</v>
      </c>
      <c r="V39" s="589">
        <f>P39*Table7[[#This Row],[ % ADULTS ( Age 18-60)]]</f>
        <v>5734.8778813110002</v>
      </c>
      <c r="W39" s="589">
        <f>P39*Table7[[#This Row],[% ELDERS  (Age 60+)]]</f>
        <v>591.94402544316722</v>
      </c>
      <c r="X39" s="589">
        <f>P39*Table7[[#This Row],[% of people with disabilities (Age 5 yrs+)]]</f>
        <v>879.76898999635057</v>
      </c>
      <c r="Y39" s="740">
        <f t="shared" si="5"/>
        <v>32435.227235103055</v>
      </c>
      <c r="AA39" s="695" t="s">
        <v>515</v>
      </c>
      <c r="AB39" s="695">
        <f>1-Table7[[#This Row],[% Female]]</f>
        <v>0.50015448523045425</v>
      </c>
      <c r="AC39" s="695">
        <v>0.49984551476954575</v>
      </c>
      <c r="AD39" s="695">
        <v>0.3799664928700342</v>
      </c>
      <c r="AE39" s="695">
        <v>0.56202252854870649</v>
      </c>
      <c r="AF39" s="695">
        <v>5.8010978581259053E-2</v>
      </c>
      <c r="AG39" s="695">
        <v>8.6218050764048482E-2</v>
      </c>
      <c r="AH39" s="721">
        <f>Table7[[#This Row],[% Female]]*P39</f>
        <v>5100.4236327084436</v>
      </c>
      <c r="AI39" s="721">
        <f>P39*Table7[[#This Row],[% of people with disabilities (Age 5 yrs+)]]</f>
        <v>879.76898999635057</v>
      </c>
      <c r="AK39" s="60">
        <f t="shared" si="6"/>
        <v>10203.999999999998</v>
      </c>
      <c r="AL39" s="60">
        <f t="shared" si="7"/>
        <v>0</v>
      </c>
      <c r="AM39" s="60">
        <f t="shared" si="8"/>
        <v>0</v>
      </c>
      <c r="AN39" s="60">
        <f>MAX(AK39,AK58,AK77,AK96,AK110,AK129)</f>
        <v>10203.999999999998</v>
      </c>
      <c r="AO39" s="60">
        <f>MAX(AL39,AL58,AL77,AL96,AL110,AL129)</f>
        <v>939</v>
      </c>
      <c r="AP39" s="60">
        <f t="shared" si="9"/>
        <v>11142.999999999998</v>
      </c>
    </row>
    <row r="40" spans="2:44" ht="17.5" hidden="1" customHeight="1">
      <c r="C40" s="1140"/>
      <c r="D40" s="587" t="s">
        <v>2653</v>
      </c>
      <c r="E40" s="588">
        <v>360411.00452311093</v>
      </c>
      <c r="F40" s="622">
        <v>52875.330678466635</v>
      </c>
      <c r="G40" s="881"/>
      <c r="H40" s="882"/>
      <c r="I40" s="882"/>
      <c r="J40" s="883"/>
      <c r="K40" s="987">
        <v>6063</v>
      </c>
      <c r="L40" s="883"/>
      <c r="M40" s="881"/>
      <c r="N40" s="882"/>
      <c r="O40" s="883"/>
      <c r="P40" s="931">
        <f t="shared" si="3"/>
        <v>6063</v>
      </c>
      <c r="Q40" s="590">
        <f t="shared" si="4"/>
        <v>0.11466594954968563</v>
      </c>
      <c r="R40" s="724">
        <f t="shared" si="11"/>
        <v>0.88533405045031432</v>
      </c>
      <c r="S40" s="739">
        <f>P40*Table7[[#This Row],[% Male]]</f>
        <v>3007.8361914163293</v>
      </c>
      <c r="T40" s="589">
        <f>P40*Table7[[#This Row],[% Female]]</f>
        <v>3055.1638085836707</v>
      </c>
      <c r="U40" s="589">
        <f>P40*Table7[[#This Row],[% CHILDREN  (Age 18&lt;)]]</f>
        <v>2303.7368462710178</v>
      </c>
      <c r="V40" s="589">
        <f>P40*Table7[[#This Row],[ % ADULTS ( Age 18-60)]]</f>
        <v>3407.5425905908073</v>
      </c>
      <c r="W40" s="589">
        <f>P40*Table7[[#This Row],[% ELDERS  (Age 60+)]]</f>
        <v>351.72056313817365</v>
      </c>
      <c r="X40" s="589">
        <f>P40*Table7[[#This Row],[% of people with disabilities (Age 5 yrs+)]]</f>
        <v>522.74004178242592</v>
      </c>
      <c r="Y40" s="740">
        <f t="shared" si="5"/>
        <v>46812.330678466635</v>
      </c>
      <c r="AA40" s="695" t="s">
        <v>2653</v>
      </c>
      <c r="AB40" s="695">
        <f>1-Table7[[#This Row],[% Female]]</f>
        <v>0.49609701326345523</v>
      </c>
      <c r="AC40" s="695">
        <v>0.50390298673654477</v>
      </c>
      <c r="AD40" s="695">
        <v>0.37996649287003426</v>
      </c>
      <c r="AE40" s="695">
        <v>0.56202252854870649</v>
      </c>
      <c r="AF40" s="695">
        <v>5.8010978581259053E-2</v>
      </c>
      <c r="AG40" s="695">
        <v>8.6218050764048482E-2</v>
      </c>
      <c r="AH40" s="721">
        <f>Table7[[#This Row],[% Female]]*P40</f>
        <v>3055.1638085836707</v>
      </c>
      <c r="AI40" s="721">
        <f>P40*Table7[[#This Row],[% of people with disabilities (Age 5 yrs+)]]</f>
        <v>522.74004178242592</v>
      </c>
      <c r="AK40" s="60">
        <f t="shared" si="6"/>
        <v>6063</v>
      </c>
      <c r="AL40" s="60">
        <f t="shared" si="7"/>
        <v>0</v>
      </c>
      <c r="AM40" s="60">
        <f t="shared" si="8"/>
        <v>0</v>
      </c>
      <c r="AN40" s="60">
        <f>MAX(AK40,AK59,AK78,AK97,AK111,AK130)</f>
        <v>6063</v>
      </c>
      <c r="AP40" s="60">
        <f t="shared" si="9"/>
        <v>6063</v>
      </c>
    </row>
    <row r="41" spans="2:44" ht="17.5" hidden="1" customHeight="1">
      <c r="C41" s="1140"/>
      <c r="D41" s="587" t="s">
        <v>2713</v>
      </c>
      <c r="E41" s="588">
        <v>115607.06136423421</v>
      </c>
      <c r="F41" s="622">
        <v>10150.496136423422</v>
      </c>
      <c r="G41" s="881"/>
      <c r="H41" s="882"/>
      <c r="I41" s="882"/>
      <c r="J41" s="883"/>
      <c r="K41" s="881"/>
      <c r="L41" s="883"/>
      <c r="M41" s="881"/>
      <c r="N41" s="882"/>
      <c r="O41" s="883"/>
      <c r="P41" s="931">
        <f t="shared" si="3"/>
        <v>0</v>
      </c>
      <c r="Q41" s="590">
        <f t="shared" si="4"/>
        <v>0</v>
      </c>
      <c r="R41" s="724">
        <f t="shared" si="11"/>
        <v>1</v>
      </c>
      <c r="S41" s="739">
        <f>P41*Table7[[#This Row],[% Male]]</f>
        <v>0</v>
      </c>
      <c r="T41" s="589">
        <f>P41*Table7[[#This Row],[% Female]]</f>
        <v>0</v>
      </c>
      <c r="U41" s="589">
        <f>P41*Table7[[#This Row],[% CHILDREN  (Age 18&lt;)]]</f>
        <v>0</v>
      </c>
      <c r="V41" s="589">
        <f>P41*Table7[[#This Row],[ % ADULTS ( Age 18-60)]]</f>
        <v>0</v>
      </c>
      <c r="W41" s="589">
        <f>P41*Table7[[#This Row],[% ELDERS  (Age 60+)]]</f>
        <v>0</v>
      </c>
      <c r="X41" s="589">
        <f>P41*Table7[[#This Row],[% of people with disabilities (Age 5 yrs+)]]</f>
        <v>0</v>
      </c>
      <c r="Y41" s="740">
        <f t="shared" si="5"/>
        <v>10150.496136423422</v>
      </c>
      <c r="AA41" s="695" t="s">
        <v>2713</v>
      </c>
      <c r="AB41" s="695">
        <f>1-Table7[[#This Row],[% Female]]</f>
        <v>0.49901005953066535</v>
      </c>
      <c r="AC41" s="695">
        <v>0.50098994046933465</v>
      </c>
      <c r="AD41" s="695">
        <v>0.39528940976327054</v>
      </c>
      <c r="AE41" s="695">
        <v>0.53504648179034231</v>
      </c>
      <c r="AF41" s="695">
        <v>6.9664108446387055E-2</v>
      </c>
      <c r="AG41" s="695">
        <v>0.11591688986589219</v>
      </c>
      <c r="AH41" s="721">
        <f>Table7[[#This Row],[% Female]]*P41</f>
        <v>0</v>
      </c>
      <c r="AI41" s="721">
        <f>P41*Table7[[#This Row],[% of people with disabilities (Age 5 yrs+)]]</f>
        <v>0</v>
      </c>
      <c r="AK41" s="60">
        <f t="shared" si="6"/>
        <v>0</v>
      </c>
      <c r="AL41" s="60">
        <f t="shared" si="7"/>
        <v>0</v>
      </c>
      <c r="AM41" s="60">
        <f t="shared" si="8"/>
        <v>0</v>
      </c>
      <c r="AN41" s="60" t="e">
        <f>MAX(AK41,AK60,AK79,AK98,AK118,#REF!)</f>
        <v>#REF!</v>
      </c>
      <c r="AP41" s="60" t="e">
        <f t="shared" si="9"/>
        <v>#REF!</v>
      </c>
    </row>
    <row r="42" spans="2:44" ht="17.5" hidden="1" customHeight="1">
      <c r="C42" s="1140"/>
      <c r="D42" s="587" t="s">
        <v>2714</v>
      </c>
      <c r="E42" s="588">
        <v>49258.943580096828</v>
      </c>
      <c r="F42" s="622">
        <v>3670.2309728154924</v>
      </c>
      <c r="G42" s="881"/>
      <c r="H42" s="882"/>
      <c r="I42" s="882"/>
      <c r="J42" s="883"/>
      <c r="K42" s="987">
        <v>12562</v>
      </c>
      <c r="L42" s="883"/>
      <c r="M42" s="881"/>
      <c r="N42" s="882"/>
      <c r="O42" s="883"/>
      <c r="P42" s="931">
        <f t="shared" si="3"/>
        <v>12562</v>
      </c>
      <c r="Q42" s="590">
        <f t="shared" si="4"/>
        <v>3.4226728761878142</v>
      </c>
      <c r="R42" s="724">
        <f t="shared" si="11"/>
        <v>-2.4226728761878142</v>
      </c>
      <c r="S42" s="739">
        <f>P42*Table7[[#This Row],[% Male]]</f>
        <v>6038.6512117693301</v>
      </c>
      <c r="T42" s="589">
        <f>P42*Table7[[#This Row],[% Female]]</f>
        <v>6523.3487882306699</v>
      </c>
      <c r="U42" s="589">
        <f>P42*Table7[[#This Row],[% CHILDREN  (Age 18&lt;)]]</f>
        <v>3639.6505858204055</v>
      </c>
      <c r="V42" s="589">
        <f>P42*Table7[[#This Row],[ % ADULTS ( Age 18-60)]]</f>
        <v>7930.0871544470638</v>
      </c>
      <c r="W42" s="589">
        <f>P42*Table7[[#This Row],[% ELDERS  (Age 60+)]]</f>
        <v>992.26225973252917</v>
      </c>
      <c r="X42" s="589">
        <f>P42*Table7[[#This Row],[% of people with disabilities (Age 5 yrs+)]]</f>
        <v>1561.3963463748885</v>
      </c>
      <c r="Y42" s="740">
        <f t="shared" si="5"/>
        <v>-8891.7690271845076</v>
      </c>
      <c r="AA42" s="695" t="s">
        <v>2714</v>
      </c>
      <c r="AB42" s="695">
        <f>1-Table7[[#This Row],[% Female]]</f>
        <v>0.48070778632139233</v>
      </c>
      <c r="AC42" s="695">
        <v>0.51929221367860767</v>
      </c>
      <c r="AD42" s="695">
        <v>0.28973496145680666</v>
      </c>
      <c r="AE42" s="695">
        <v>0.63127584416868843</v>
      </c>
      <c r="AF42" s="695">
        <v>7.8989194374504787E-2</v>
      </c>
      <c r="AG42" s="695">
        <v>0.12429520350062796</v>
      </c>
      <c r="AH42" s="721">
        <f>Table7[[#This Row],[% Female]]*P42</f>
        <v>6523.3487882306699</v>
      </c>
      <c r="AI42" s="721">
        <f>P42*Table7[[#This Row],[% of people with disabilities (Age 5 yrs+)]]</f>
        <v>1561.3963463748885</v>
      </c>
      <c r="AK42" s="60">
        <f t="shared" si="6"/>
        <v>12562</v>
      </c>
      <c r="AL42" s="60">
        <f t="shared" si="7"/>
        <v>0</v>
      </c>
      <c r="AM42" s="60">
        <f t="shared" si="8"/>
        <v>0</v>
      </c>
      <c r="AN42" s="60">
        <f>MAX(AK42,AK61,AK80,AK99)</f>
        <v>12562</v>
      </c>
      <c r="AP42" s="60">
        <f t="shared" si="9"/>
        <v>12562</v>
      </c>
      <c r="AQ42" s="58" t="s">
        <v>2976</v>
      </c>
    </row>
    <row r="43" spans="2:44" s="949" customFormat="1" ht="20" hidden="1" customHeight="1">
      <c r="C43" s="1141"/>
      <c r="D43" s="585" t="s">
        <v>1488</v>
      </c>
      <c r="E43" s="586">
        <f t="shared" ref="E43:O43" si="12">SUM(E25:E42)</f>
        <v>5154066.0260693831</v>
      </c>
      <c r="F43" s="867">
        <f t="shared" si="12"/>
        <v>1098120.1772605691</v>
      </c>
      <c r="G43" s="885">
        <f t="shared" si="12"/>
        <v>191934.33333333334</v>
      </c>
      <c r="H43" s="886">
        <f t="shared" si="12"/>
        <v>94771</v>
      </c>
      <c r="I43" s="886">
        <f t="shared" si="12"/>
        <v>15503</v>
      </c>
      <c r="J43" s="887">
        <f t="shared" si="12"/>
        <v>0</v>
      </c>
      <c r="K43" s="885">
        <f t="shared" si="12"/>
        <v>89378</v>
      </c>
      <c r="L43" s="887">
        <f t="shared" si="12"/>
        <v>0</v>
      </c>
      <c r="M43" s="885">
        <f t="shared" si="12"/>
        <v>0</v>
      </c>
      <c r="N43" s="886">
        <f t="shared" si="12"/>
        <v>0</v>
      </c>
      <c r="O43" s="887">
        <f t="shared" si="12"/>
        <v>0</v>
      </c>
      <c r="P43" s="871">
        <f>SUM(P25:P42)</f>
        <v>391586.33333333337</v>
      </c>
      <c r="Q43" s="597">
        <f t="shared" si="4"/>
        <v>0.35659697494149151</v>
      </c>
      <c r="R43" s="725">
        <f t="shared" ref="R43:R48" si="13">1-Q43</f>
        <v>0.64340302505850855</v>
      </c>
      <c r="S43" s="634">
        <f t="shared" ref="S43:Y43" si="14">SUM(S25:S42)</f>
        <v>190249.67845198949</v>
      </c>
      <c r="T43" s="586">
        <f t="shared" si="14"/>
        <v>201336.65488134383</v>
      </c>
      <c r="U43" s="586">
        <f t="shared" si="14"/>
        <v>145208.45560116266</v>
      </c>
      <c r="V43" s="586">
        <f t="shared" si="14"/>
        <v>216468.59843009867</v>
      </c>
      <c r="W43" s="586">
        <f t="shared" si="14"/>
        <v>29909.279302072082</v>
      </c>
      <c r="X43" s="586">
        <f t="shared" si="14"/>
        <v>56141.68804412998</v>
      </c>
      <c r="Y43" s="693">
        <f t="shared" si="14"/>
        <v>706533.84392723558</v>
      </c>
      <c r="AA43" s="990"/>
      <c r="AB43" s="990">
        <f>SUBTOTAL(101,Table7[% Male])</f>
        <v>0.50984693023282457</v>
      </c>
      <c r="AC43" s="990">
        <f>SUBTOTAL(101,Table7[% Female])</f>
        <v>0.49015306976717543</v>
      </c>
      <c r="AD43" s="990">
        <f>SUBTOTAL(101,Table7[% CHILDREN  (Age 18&lt;)])</f>
        <v>0.36009753834972452</v>
      </c>
      <c r="AE43" s="990">
        <f>SUBTOTAL(101,Table7[ % ADULTS ( Age 18-60)])</f>
        <v>0.5849062690789919</v>
      </c>
      <c r="AF43" s="990">
        <f>SUBTOTAL(101,Table7[% ELDERS  (Age 60+)])</f>
        <v>5.4996192571283527E-2</v>
      </c>
      <c r="AG43" s="990">
        <f>SUBTOTAL(101,Table7[% of people with disabilities (Age 5 yrs+)])</f>
        <v>8.8977616114427588E-2</v>
      </c>
      <c r="AH43" s="990"/>
      <c r="AI43" s="60"/>
      <c r="AK43" s="60">
        <f t="shared" si="6"/>
        <v>376083.33333333337</v>
      </c>
      <c r="AL43" s="60">
        <f t="shared" si="7"/>
        <v>15503</v>
      </c>
      <c r="AM43" s="60">
        <f t="shared" si="8"/>
        <v>0</v>
      </c>
      <c r="AN43" s="954" t="e">
        <f>SUM(AN25:AN42)</f>
        <v>#REF!</v>
      </c>
      <c r="AO43" s="954">
        <f>SUM(AO25:AO42)</f>
        <v>25779</v>
      </c>
      <c r="AP43" s="954" t="e">
        <f>SUM(AP25:AP42)</f>
        <v>#REF!</v>
      </c>
      <c r="AQ43" s="954">
        <v>2086580</v>
      </c>
      <c r="AR43" s="955" t="e">
        <f>AP43/AQ43</f>
        <v>#REF!</v>
      </c>
    </row>
    <row r="44" spans="2:44" ht="17.5" hidden="1" customHeight="1">
      <c r="B44" s="695">
        <f>(P44+P46+P47+P50+P51)/(F44+F46+F47+F50+F51)</f>
        <v>0.25108035105773596</v>
      </c>
      <c r="C44" s="1154" t="s">
        <v>2982</v>
      </c>
      <c r="D44" s="591" t="s">
        <v>2703</v>
      </c>
      <c r="E44" s="592">
        <v>111096.7979840148</v>
      </c>
      <c r="F44" s="623">
        <v>13915.752879040889</v>
      </c>
      <c r="G44" s="888"/>
      <c r="H44" s="889"/>
      <c r="I44" s="889"/>
      <c r="J44" s="890"/>
      <c r="K44" s="888"/>
      <c r="L44" s="890"/>
      <c r="M44" s="888"/>
      <c r="N44" s="889"/>
      <c r="O44" s="890"/>
      <c r="P44" s="931">
        <f t="shared" ref="P44:P61" si="15">SUM(G44:O44)</f>
        <v>0</v>
      </c>
      <c r="Q44" s="593">
        <f t="shared" si="4"/>
        <v>0</v>
      </c>
      <c r="R44" s="726">
        <f t="shared" si="13"/>
        <v>1</v>
      </c>
      <c r="S44" s="741">
        <f>P44*$AB$25</f>
        <v>0</v>
      </c>
      <c r="T44" s="665">
        <f>P44*$AC$25</f>
        <v>0</v>
      </c>
      <c r="U44" s="665">
        <f>P44*$AD$25</f>
        <v>0</v>
      </c>
      <c r="V44" s="665">
        <f>P44*$AE$25</f>
        <v>0</v>
      </c>
      <c r="W44" s="665">
        <f>P44*$AF$25</f>
        <v>0</v>
      </c>
      <c r="X44" s="665">
        <f>P44*$AG$25</f>
        <v>0</v>
      </c>
      <c r="Y44" s="742">
        <f t="shared" ref="Y44:Y61" si="16">F44-P44</f>
        <v>13915.752879040889</v>
      </c>
      <c r="AK44" s="60">
        <f t="shared" si="6"/>
        <v>0</v>
      </c>
      <c r="AL44" s="60">
        <f t="shared" si="7"/>
        <v>0</v>
      </c>
      <c r="AM44" s="60">
        <f t="shared" si="8"/>
        <v>0</v>
      </c>
    </row>
    <row r="45" spans="2:44" ht="17.5" hidden="1" customHeight="1">
      <c r="C45" s="1155"/>
      <c r="D45" s="591" t="s">
        <v>2704</v>
      </c>
      <c r="E45" s="592">
        <v>6881.8180702501222</v>
      </c>
      <c r="F45" s="623">
        <v>843.47633686002928</v>
      </c>
      <c r="G45" s="888"/>
      <c r="H45" s="889"/>
      <c r="I45" s="889"/>
      <c r="J45" s="890"/>
      <c r="K45" s="888"/>
      <c r="L45" s="890"/>
      <c r="M45" s="888"/>
      <c r="N45" s="889"/>
      <c r="O45" s="890"/>
      <c r="P45" s="931">
        <f t="shared" si="15"/>
        <v>0</v>
      </c>
      <c r="Q45" s="593">
        <f t="shared" si="4"/>
        <v>0</v>
      </c>
      <c r="R45" s="726">
        <f t="shared" si="13"/>
        <v>1</v>
      </c>
      <c r="S45" s="741">
        <f>P45*$AB$26</f>
        <v>0</v>
      </c>
      <c r="T45" s="665">
        <f>P45*$AC$26</f>
        <v>0</v>
      </c>
      <c r="U45" s="665">
        <f>P45*$AD$26</f>
        <v>0</v>
      </c>
      <c r="V45" s="665">
        <f>P45*$AE$26</f>
        <v>0</v>
      </c>
      <c r="W45" s="665">
        <f>P45*$AF$26</f>
        <v>0</v>
      </c>
      <c r="X45" s="665">
        <f>P45*$AG$26</f>
        <v>0</v>
      </c>
      <c r="Y45" s="742">
        <f t="shared" si="16"/>
        <v>843.47633686002928</v>
      </c>
      <c r="AK45" s="60">
        <f t="shared" si="6"/>
        <v>0</v>
      </c>
      <c r="AL45" s="60">
        <f t="shared" si="7"/>
        <v>0</v>
      </c>
      <c r="AM45" s="60">
        <f t="shared" si="8"/>
        <v>0</v>
      </c>
    </row>
    <row r="46" spans="2:44" ht="17.5" hidden="1" customHeight="1">
      <c r="C46" s="1155"/>
      <c r="D46" s="591" t="s">
        <v>2705</v>
      </c>
      <c r="E46" s="592">
        <v>170547.23083816754</v>
      </c>
      <c r="F46" s="623">
        <v>17839.309233526699</v>
      </c>
      <c r="G46" s="888"/>
      <c r="H46" s="889"/>
      <c r="I46" s="889"/>
      <c r="J46" s="890"/>
      <c r="K46" s="986">
        <v>1872</v>
      </c>
      <c r="L46" s="890"/>
      <c r="M46" s="888"/>
      <c r="N46" s="889"/>
      <c r="O46" s="890"/>
      <c r="P46" s="931">
        <f t="shared" si="15"/>
        <v>1872</v>
      </c>
      <c r="Q46" s="593">
        <f t="shared" si="4"/>
        <v>0.10493679858869286</v>
      </c>
      <c r="R46" s="726">
        <f t="shared" si="13"/>
        <v>0.89506320141130713</v>
      </c>
      <c r="S46" s="741">
        <f>P46*$AB$27</f>
        <v>893.41744180736998</v>
      </c>
      <c r="T46" s="665">
        <f>P46*$AC$27</f>
        <v>978.58255819263002</v>
      </c>
      <c r="U46" s="665">
        <f>P46*$AD$27</f>
        <v>632.00945890113599</v>
      </c>
      <c r="V46" s="665">
        <f>P46*$AE$27</f>
        <v>1076.1302115124524</v>
      </c>
      <c r="W46" s="665">
        <f>P46*$AF$27</f>
        <v>163.86032958641138</v>
      </c>
      <c r="X46" s="665">
        <f>P46*$AG$27</f>
        <v>235.09218860021682</v>
      </c>
      <c r="Y46" s="742">
        <f t="shared" si="16"/>
        <v>15967.309233526699</v>
      </c>
      <c r="AK46" s="60">
        <f t="shared" si="6"/>
        <v>1872</v>
      </c>
      <c r="AL46" s="60">
        <f t="shared" si="7"/>
        <v>0</v>
      </c>
      <c r="AM46" s="60">
        <f t="shared" si="8"/>
        <v>0</v>
      </c>
    </row>
    <row r="47" spans="2:44" ht="17.5" hidden="1" customHeight="1">
      <c r="C47" s="1155"/>
      <c r="D47" s="591" t="s">
        <v>2706</v>
      </c>
      <c r="E47" s="592">
        <v>0</v>
      </c>
      <c r="F47" s="623">
        <v>0</v>
      </c>
      <c r="G47" s="888"/>
      <c r="H47" s="891"/>
      <c r="I47" s="891"/>
      <c r="J47" s="890"/>
      <c r="K47" s="888"/>
      <c r="L47" s="890"/>
      <c r="M47" s="888"/>
      <c r="N47" s="889"/>
      <c r="O47" s="890"/>
      <c r="P47" s="931">
        <f t="shared" si="15"/>
        <v>0</v>
      </c>
      <c r="Q47" s="593" t="e">
        <f t="shared" si="4"/>
        <v>#DIV/0!</v>
      </c>
      <c r="R47" s="726" t="e">
        <f t="shared" si="13"/>
        <v>#DIV/0!</v>
      </c>
      <c r="S47" s="741">
        <f>P47*$AB$28</f>
        <v>0</v>
      </c>
      <c r="T47" s="665">
        <f>P47*$AC$28</f>
        <v>0</v>
      </c>
      <c r="U47" s="665">
        <f>P47*$AD$28</f>
        <v>0</v>
      </c>
      <c r="V47" s="665">
        <f>P47*$AE$28</f>
        <v>0</v>
      </c>
      <c r="W47" s="665">
        <f>P47*$AF$28</f>
        <v>0</v>
      </c>
      <c r="X47" s="665">
        <f>P47*$AG$28</f>
        <v>0</v>
      </c>
      <c r="Y47" s="742">
        <f t="shared" si="16"/>
        <v>0</v>
      </c>
      <c r="AK47" s="60">
        <f t="shared" si="6"/>
        <v>0</v>
      </c>
      <c r="AL47" s="60">
        <f t="shared" si="7"/>
        <v>0</v>
      </c>
      <c r="AM47" s="60">
        <f t="shared" si="8"/>
        <v>0</v>
      </c>
    </row>
    <row r="48" spans="2:44" ht="17.5" hidden="1" customHeight="1">
      <c r="B48" s="695">
        <f>(P48+P52+P56)/(F48+F52+F56)</f>
        <v>0.20647928850617461</v>
      </c>
      <c r="C48" s="1155"/>
      <c r="D48" s="591" t="s">
        <v>613</v>
      </c>
      <c r="E48" s="592">
        <v>133949.83369622205</v>
      </c>
      <c r="F48" s="623">
        <v>85472.123369622204</v>
      </c>
      <c r="G48" s="888"/>
      <c r="H48" s="889">
        <v>22379</v>
      </c>
      <c r="I48" s="889"/>
      <c r="J48" s="890"/>
      <c r="K48" s="888"/>
      <c r="L48" s="890"/>
      <c r="M48" s="888"/>
      <c r="N48" s="889"/>
      <c r="O48" s="890"/>
      <c r="P48" s="931">
        <f t="shared" si="15"/>
        <v>22379</v>
      </c>
      <c r="Q48" s="593">
        <f t="shared" si="4"/>
        <v>0.26182805712246715</v>
      </c>
      <c r="R48" s="726">
        <f t="shared" si="13"/>
        <v>0.73817194287753285</v>
      </c>
      <c r="S48" s="741">
        <f>P48*$AB$29</f>
        <v>10735.244380363936</v>
      </c>
      <c r="T48" s="665">
        <f>P48*$AC$29</f>
        <v>11643.755619636064</v>
      </c>
      <c r="U48" s="665">
        <f>P48*$AD$29</f>
        <v>10334.841792310375</v>
      </c>
      <c r="V48" s="665">
        <f>P48*$AE$29</f>
        <v>10572.699965121208</v>
      </c>
      <c r="W48" s="665">
        <f>P48*$AF$29</f>
        <v>1471.4582425684157</v>
      </c>
      <c r="X48" s="665">
        <f>P48*$AG$29</f>
        <v>4616.7229829036432</v>
      </c>
      <c r="Y48" s="742">
        <f t="shared" si="16"/>
        <v>63093.123369622204</v>
      </c>
      <c r="AK48" s="60">
        <f t="shared" si="6"/>
        <v>22379</v>
      </c>
      <c r="AL48" s="60">
        <f t="shared" si="7"/>
        <v>0</v>
      </c>
      <c r="AM48" s="60">
        <f t="shared" si="8"/>
        <v>0</v>
      </c>
    </row>
    <row r="49" spans="2:39" ht="17.5" customHeight="1">
      <c r="C49" s="1155"/>
      <c r="D49" s="591" t="s">
        <v>37</v>
      </c>
      <c r="E49" s="592">
        <v>231228.27654495894</v>
      </c>
      <c r="F49" s="623">
        <v>60653.913827247947</v>
      </c>
      <c r="G49" s="888">
        <f>D2</f>
        <v>65270</v>
      </c>
      <c r="H49" s="889"/>
      <c r="I49" s="889"/>
      <c r="J49" s="890"/>
      <c r="K49" s="888"/>
      <c r="L49" s="890"/>
      <c r="M49" s="888"/>
      <c r="N49" s="889"/>
      <c r="O49" s="890"/>
      <c r="P49" s="931">
        <f t="shared" si="15"/>
        <v>65270</v>
      </c>
      <c r="Q49" s="593">
        <f t="shared" si="4"/>
        <v>1.0761053307441859</v>
      </c>
      <c r="R49" s="726">
        <f t="shared" ref="R49:R61" si="17">1-Q49</f>
        <v>-7.6105330744185906E-2</v>
      </c>
      <c r="S49" s="741">
        <f>P49*$AB$30</f>
        <v>33277.709136296457</v>
      </c>
      <c r="T49" s="665">
        <f>P49*$AC$30</f>
        <v>31992.29086370354</v>
      </c>
      <c r="U49" s="665">
        <f>P49*$AD$30</f>
        <v>23503.566328086519</v>
      </c>
      <c r="V49" s="665">
        <f>P49*$AE$30</f>
        <v>38176.832182785802</v>
      </c>
      <c r="W49" s="665">
        <f>P49*$AF$30</f>
        <v>3589.6014891276759</v>
      </c>
      <c r="X49" s="665">
        <f>P49*$AG$30</f>
        <v>5807.5690037886889</v>
      </c>
      <c r="Y49" s="742">
        <f t="shared" si="16"/>
        <v>-4616.0861727520532</v>
      </c>
      <c r="AK49" s="60">
        <f t="shared" si="6"/>
        <v>65270</v>
      </c>
      <c r="AL49" s="60">
        <f t="shared" si="7"/>
        <v>0</v>
      </c>
      <c r="AM49" s="60">
        <f t="shared" si="8"/>
        <v>0</v>
      </c>
    </row>
    <row r="50" spans="2:39" ht="17.5" hidden="1" customHeight="1">
      <c r="C50" s="1155"/>
      <c r="D50" s="591" t="s">
        <v>2707</v>
      </c>
      <c r="E50" s="592">
        <v>207176.84686270333</v>
      </c>
      <c r="F50" s="623">
        <v>36066.245811762194</v>
      </c>
      <c r="G50" s="888"/>
      <c r="H50" s="889"/>
      <c r="I50" s="889"/>
      <c r="J50" s="890"/>
      <c r="K50" s="986">
        <v>6993</v>
      </c>
      <c r="L50" s="890"/>
      <c r="M50" s="888"/>
      <c r="N50" s="889"/>
      <c r="O50" s="890"/>
      <c r="P50" s="931">
        <f t="shared" si="15"/>
        <v>6993</v>
      </c>
      <c r="Q50" s="593">
        <f t="shared" si="4"/>
        <v>0.19389320520073067</v>
      </c>
      <c r="R50" s="726">
        <f t="shared" ref="R50:R55" si="18">1-Q50</f>
        <v>0.80610679479926928</v>
      </c>
      <c r="S50" s="741">
        <f>P50*$AB$31</f>
        <v>3601.9338892959104</v>
      </c>
      <c r="T50" s="665">
        <f>P50*$AC$31</f>
        <v>3391.0661107040901</v>
      </c>
      <c r="U50" s="665">
        <f>P50*$AD$31</f>
        <v>2833.142488321058</v>
      </c>
      <c r="V50" s="665">
        <f>P50*$AE$31</f>
        <v>3794.3576355332893</v>
      </c>
      <c r="W50" s="665">
        <f>P50*$AF$31</f>
        <v>365.49987614565271</v>
      </c>
      <c r="X50" s="665">
        <f>P50*$AG$31</f>
        <v>757.47435673217774</v>
      </c>
      <c r="Y50" s="742">
        <f t="shared" si="16"/>
        <v>29073.245811762194</v>
      </c>
      <c r="AK50" s="60">
        <f t="shared" si="6"/>
        <v>6993</v>
      </c>
      <c r="AL50" s="60">
        <f t="shared" si="7"/>
        <v>0</v>
      </c>
      <c r="AM50" s="60">
        <f t="shared" si="8"/>
        <v>0</v>
      </c>
    </row>
    <row r="51" spans="2:39" ht="17.5" hidden="1" customHeight="1">
      <c r="C51" s="1155"/>
      <c r="D51" s="591" t="s">
        <v>2347</v>
      </c>
      <c r="E51" s="592">
        <v>293903.52269109758</v>
      </c>
      <c r="F51" s="623">
        <v>33062.731361465856</v>
      </c>
      <c r="G51" s="888"/>
      <c r="H51" s="889"/>
      <c r="I51" s="889"/>
      <c r="J51" s="890"/>
      <c r="K51" s="986">
        <v>16465</v>
      </c>
      <c r="L51" s="890"/>
      <c r="M51" s="888"/>
      <c r="N51" s="889"/>
      <c r="O51" s="890"/>
      <c r="P51" s="931">
        <f t="shared" si="15"/>
        <v>16465</v>
      </c>
      <c r="Q51" s="593">
        <f t="shared" si="4"/>
        <v>0.49799273447776077</v>
      </c>
      <c r="R51" s="726">
        <f t="shared" si="18"/>
        <v>0.50200726552223918</v>
      </c>
      <c r="S51" s="741">
        <f>P51*$AB$32</f>
        <v>8169.2329368006594</v>
      </c>
      <c r="T51" s="665">
        <f>P51*$AC$32</f>
        <v>8295.7670631993406</v>
      </c>
      <c r="U51" s="665">
        <f>P51*$AD$32</f>
        <v>6788.3267589604911</v>
      </c>
      <c r="V51" s="665">
        <f>P51*$AE$32</f>
        <v>8516.8756140623773</v>
      </c>
      <c r="W51" s="665">
        <f>P51*$AF$32</f>
        <v>1159.7976269771316</v>
      </c>
      <c r="X51" s="665">
        <f>P51*$AG$32</f>
        <v>2738.3439867483658</v>
      </c>
      <c r="Y51" s="742">
        <f t="shared" si="16"/>
        <v>16597.731361465856</v>
      </c>
      <c r="AK51" s="60">
        <f t="shared" si="6"/>
        <v>16465</v>
      </c>
      <c r="AL51" s="60">
        <f t="shared" si="7"/>
        <v>0</v>
      </c>
      <c r="AM51" s="60">
        <f t="shared" si="8"/>
        <v>0</v>
      </c>
    </row>
    <row r="52" spans="2:39" ht="17.5" hidden="1" customHeight="1">
      <c r="C52" s="1155"/>
      <c r="D52" s="591" t="s">
        <v>2708</v>
      </c>
      <c r="E52" s="592">
        <v>388884.05822737725</v>
      </c>
      <c r="F52" s="623">
        <v>61177.00582273773</v>
      </c>
      <c r="G52" s="888"/>
      <c r="H52" s="889">
        <v>2667</v>
      </c>
      <c r="I52" s="889"/>
      <c r="J52" s="890"/>
      <c r="K52" s="888"/>
      <c r="L52" s="890"/>
      <c r="M52" s="888"/>
      <c r="N52" s="889"/>
      <c r="O52" s="890"/>
      <c r="P52" s="931">
        <f t="shared" si="15"/>
        <v>2667</v>
      </c>
      <c r="Q52" s="593">
        <f t="shared" si="4"/>
        <v>4.359481089557922E-2</v>
      </c>
      <c r="R52" s="726">
        <f t="shared" si="18"/>
        <v>0.95640518910442074</v>
      </c>
      <c r="S52" s="741">
        <f>P52*$AB$33</f>
        <v>1243.4627863593823</v>
      </c>
      <c r="T52" s="665">
        <f>P52*$AC$33</f>
        <v>1423.5372136406177</v>
      </c>
      <c r="U52" s="665">
        <f>P52*$AD$33</f>
        <v>850.52206925866528</v>
      </c>
      <c r="V52" s="665">
        <f>P52*$AE$33</f>
        <v>1553.5216870837912</v>
      </c>
      <c r="W52" s="665">
        <f>P52*$AF$33</f>
        <v>262.95624365754367</v>
      </c>
      <c r="X52" s="665">
        <f>P52*$AG$33</f>
        <v>454.12543339903988</v>
      </c>
      <c r="Y52" s="742">
        <f t="shared" si="16"/>
        <v>58510.00582273773</v>
      </c>
      <c r="AK52" s="60">
        <f t="shared" si="6"/>
        <v>2667</v>
      </c>
      <c r="AL52" s="60">
        <f t="shared" si="7"/>
        <v>0</v>
      </c>
      <c r="AM52" s="60">
        <f t="shared" si="8"/>
        <v>0</v>
      </c>
    </row>
    <row r="53" spans="2:39" ht="17.5" hidden="1" customHeight="1">
      <c r="C53" s="1155"/>
      <c r="D53" s="591" t="s">
        <v>2709</v>
      </c>
      <c r="E53" s="592">
        <v>22342.381043354912</v>
      </c>
      <c r="F53" s="623">
        <v>0</v>
      </c>
      <c r="G53" s="888"/>
      <c r="H53" s="889"/>
      <c r="I53" s="889"/>
      <c r="J53" s="890"/>
      <c r="K53" s="888"/>
      <c r="L53" s="890"/>
      <c r="M53" s="888"/>
      <c r="N53" s="889"/>
      <c r="O53" s="890"/>
      <c r="P53" s="931">
        <f t="shared" si="15"/>
        <v>0</v>
      </c>
      <c r="Q53" s="593" t="e">
        <f t="shared" si="4"/>
        <v>#DIV/0!</v>
      </c>
      <c r="R53" s="726" t="e">
        <f t="shared" si="18"/>
        <v>#DIV/0!</v>
      </c>
      <c r="S53" s="741">
        <f>P53*$AB$34</f>
        <v>0</v>
      </c>
      <c r="T53" s="665">
        <f>P53*$AC$34</f>
        <v>0</v>
      </c>
      <c r="U53" s="665">
        <f>P53*$AD$34</f>
        <v>0</v>
      </c>
      <c r="V53" s="665">
        <f>P53*$AE$34</f>
        <v>0</v>
      </c>
      <c r="W53" s="665">
        <f>P53*$AF$34</f>
        <v>0</v>
      </c>
      <c r="X53" s="665">
        <f>P53*$AG$34</f>
        <v>0</v>
      </c>
      <c r="Y53" s="742">
        <f t="shared" si="16"/>
        <v>0</v>
      </c>
      <c r="AK53" s="60">
        <f t="shared" si="6"/>
        <v>0</v>
      </c>
      <c r="AL53" s="60">
        <f t="shared" si="7"/>
        <v>0</v>
      </c>
      <c r="AM53" s="60">
        <f t="shared" si="8"/>
        <v>0</v>
      </c>
    </row>
    <row r="54" spans="2:39" ht="17.5" hidden="1" customHeight="1">
      <c r="C54" s="1155"/>
      <c r="D54" s="591" t="s">
        <v>2710</v>
      </c>
      <c r="E54" s="592">
        <v>0</v>
      </c>
      <c r="F54" s="623"/>
      <c r="G54" s="888"/>
      <c r="H54" s="889"/>
      <c r="I54" s="889"/>
      <c r="J54" s="890"/>
      <c r="K54" s="888"/>
      <c r="L54" s="890"/>
      <c r="M54" s="888"/>
      <c r="N54" s="889"/>
      <c r="O54" s="890"/>
      <c r="P54" s="931">
        <f t="shared" si="15"/>
        <v>0</v>
      </c>
      <c r="Q54" s="593" t="e">
        <f t="shared" si="4"/>
        <v>#DIV/0!</v>
      </c>
      <c r="R54" s="726" t="e">
        <f t="shared" si="18"/>
        <v>#DIV/0!</v>
      </c>
      <c r="S54" s="741">
        <f>P54*$AB$35</f>
        <v>0</v>
      </c>
      <c r="T54" s="665">
        <f>P54*$AC$35</f>
        <v>0</v>
      </c>
      <c r="U54" s="665">
        <f>P54*$AD$35</f>
        <v>0</v>
      </c>
      <c r="V54" s="665">
        <f>P54*$AE$35</f>
        <v>0</v>
      </c>
      <c r="W54" s="665">
        <f>P54*$AF$35</f>
        <v>0</v>
      </c>
      <c r="X54" s="665">
        <f>P54*$AG$35</f>
        <v>0</v>
      </c>
      <c r="Y54" s="742">
        <f t="shared" si="16"/>
        <v>0</v>
      </c>
      <c r="AK54" s="60">
        <f t="shared" si="6"/>
        <v>0</v>
      </c>
      <c r="AL54" s="60">
        <f t="shared" si="7"/>
        <v>0</v>
      </c>
      <c r="AM54" s="60">
        <f t="shared" si="8"/>
        <v>0</v>
      </c>
    </row>
    <row r="55" spans="2:39" ht="17.5" hidden="1" customHeight="1">
      <c r="C55" s="1155"/>
      <c r="D55" s="591" t="s">
        <v>304</v>
      </c>
      <c r="E55" s="592">
        <v>1041892.4324525243</v>
      </c>
      <c r="F55" s="623">
        <v>434841.37338480778</v>
      </c>
      <c r="G55" s="888">
        <v>109882</v>
      </c>
      <c r="H55" s="951">
        <v>37768</v>
      </c>
      <c r="I55" s="889">
        <v>1289</v>
      </c>
      <c r="J55" s="890"/>
      <c r="K55" s="888"/>
      <c r="L55" s="890"/>
      <c r="M55" s="888"/>
      <c r="N55" s="889"/>
      <c r="O55" s="890"/>
      <c r="P55" s="931">
        <f>SUM(G55:O55)</f>
        <v>148939</v>
      </c>
      <c r="Q55" s="593">
        <f t="shared" si="4"/>
        <v>0.3425134063041379</v>
      </c>
      <c r="R55" s="726">
        <f t="shared" si="18"/>
        <v>0.65748659369586204</v>
      </c>
      <c r="S55" s="741">
        <f>P55*$AB$36</f>
        <v>70589.816067987937</v>
      </c>
      <c r="T55" s="665">
        <f>P55*$AC$36</f>
        <v>78349.183932012063</v>
      </c>
      <c r="U55" s="665">
        <f>P55*$AD$36</f>
        <v>54671.458445202436</v>
      </c>
      <c r="V55" s="665">
        <f>P55*$AE$36</f>
        <v>81166.942600248643</v>
      </c>
      <c r="W55" s="665">
        <f>P55*$AF$36</f>
        <v>13100.598954548945</v>
      </c>
      <c r="X55" s="665">
        <f>P55*$AG$36</f>
        <v>25834.629420874044</v>
      </c>
      <c r="Y55" s="742">
        <f t="shared" si="16"/>
        <v>285902.37338480778</v>
      </c>
      <c r="AK55" s="60">
        <f t="shared" si="6"/>
        <v>147650</v>
      </c>
      <c r="AL55" s="60">
        <f t="shared" si="7"/>
        <v>1289</v>
      </c>
      <c r="AM55" s="60">
        <f t="shared" si="8"/>
        <v>0</v>
      </c>
    </row>
    <row r="56" spans="2:39" ht="17.5" hidden="1" customHeight="1">
      <c r="C56" s="1155"/>
      <c r="D56" s="591" t="s">
        <v>2711</v>
      </c>
      <c r="E56" s="592">
        <v>1841693.9600234586</v>
      </c>
      <c r="F56" s="623">
        <v>173896.33800117296</v>
      </c>
      <c r="G56" s="888"/>
      <c r="H56" s="889">
        <v>41140</v>
      </c>
      <c r="I56" s="889"/>
      <c r="J56" s="890"/>
      <c r="K56" s="888"/>
      <c r="L56" s="890"/>
      <c r="M56" s="888"/>
      <c r="N56" s="889"/>
      <c r="O56" s="890"/>
      <c r="P56" s="931">
        <f t="shared" si="15"/>
        <v>41140</v>
      </c>
      <c r="Q56" s="593">
        <f t="shared" si="4"/>
        <v>0.2365777248266292</v>
      </c>
      <c r="R56" s="726">
        <f t="shared" si="17"/>
        <v>0.7634222751733708</v>
      </c>
      <c r="S56" s="741">
        <f>P56*$AB$37</f>
        <v>19595.090561438639</v>
      </c>
      <c r="T56" s="665">
        <f>P56*$AC$37</f>
        <v>21544.909438561361</v>
      </c>
      <c r="U56" s="665">
        <f>P56*$AD$37</f>
        <v>14052.709136137035</v>
      </c>
      <c r="V56" s="665">
        <f>P56*$AE$37</f>
        <v>23626.155185755964</v>
      </c>
      <c r="W56" s="665">
        <f>P56*$AF$37</f>
        <v>3461.1356781069858</v>
      </c>
      <c r="X56" s="665">
        <f>P56*$AG$37</f>
        <v>3955.0939121781535</v>
      </c>
      <c r="Y56" s="742">
        <f t="shared" si="16"/>
        <v>132756.33800117296</v>
      </c>
      <c r="AK56" s="60">
        <f t="shared" si="6"/>
        <v>41140</v>
      </c>
      <c r="AL56" s="60">
        <f t="shared" si="7"/>
        <v>0</v>
      </c>
      <c r="AM56" s="60">
        <f t="shared" si="8"/>
        <v>0</v>
      </c>
    </row>
    <row r="57" spans="2:39" ht="17.5" hidden="1" customHeight="1">
      <c r="C57" s="1155"/>
      <c r="D57" s="591" t="s">
        <v>2712</v>
      </c>
      <c r="E57" s="592">
        <v>0</v>
      </c>
      <c r="F57" s="623">
        <v>0</v>
      </c>
      <c r="G57" s="888"/>
      <c r="H57" s="889"/>
      <c r="I57" s="889"/>
      <c r="J57" s="890"/>
      <c r="K57" s="986">
        <v>9819</v>
      </c>
      <c r="L57" s="890"/>
      <c r="M57" s="888"/>
      <c r="N57" s="889"/>
      <c r="O57" s="890"/>
      <c r="P57" s="931">
        <f t="shared" si="15"/>
        <v>9819</v>
      </c>
      <c r="Q57" s="593" t="e">
        <f t="shared" ref="Q57:Q88" si="19">P57/F57</f>
        <v>#DIV/0!</v>
      </c>
      <c r="R57" s="726" t="e">
        <f t="shared" si="17"/>
        <v>#DIV/0!</v>
      </c>
      <c r="S57" s="741">
        <f>P57*$AB$38</f>
        <v>5105.8881957085841</v>
      </c>
      <c r="T57" s="665">
        <f>P57*$AC$38</f>
        <v>4713.1118042914159</v>
      </c>
      <c r="U57" s="665">
        <f>P57*$AD$38</f>
        <v>3730.890993490867</v>
      </c>
      <c r="V57" s="665">
        <f>P57*$AE$38</f>
        <v>5518.4992078197511</v>
      </c>
      <c r="W57" s="665">
        <f>P57*$AF$38</f>
        <v>569.60979868938284</v>
      </c>
      <c r="X57" s="665">
        <f>P57*$AG$38</f>
        <v>846.57504045219241</v>
      </c>
      <c r="Y57" s="742">
        <f t="shared" si="16"/>
        <v>-9819</v>
      </c>
      <c r="AK57" s="60">
        <f t="shared" si="6"/>
        <v>9819</v>
      </c>
      <c r="AL57" s="60">
        <f t="shared" si="7"/>
        <v>0</v>
      </c>
      <c r="AM57" s="60">
        <f t="shared" si="8"/>
        <v>0</v>
      </c>
    </row>
    <row r="58" spans="2:39" ht="17.5" hidden="1" customHeight="1">
      <c r="C58" s="1155"/>
      <c r="D58" s="591" t="s">
        <v>515</v>
      </c>
      <c r="E58" s="592">
        <v>179191.85816781156</v>
      </c>
      <c r="F58" s="623">
        <v>26746.2414900687</v>
      </c>
      <c r="G58" s="888">
        <f>D3</f>
        <v>7616</v>
      </c>
      <c r="H58" s="889"/>
      <c r="I58" s="889">
        <v>24</v>
      </c>
      <c r="J58" s="890"/>
      <c r="K58" s="888"/>
      <c r="L58" s="890"/>
      <c r="M58" s="888"/>
      <c r="N58" s="889"/>
      <c r="O58" s="890"/>
      <c r="P58" s="931">
        <f t="shared" si="15"/>
        <v>7640</v>
      </c>
      <c r="Q58" s="593">
        <f t="shared" si="19"/>
        <v>0.28564761156579149</v>
      </c>
      <c r="R58" s="726">
        <f t="shared" si="17"/>
        <v>0.71435238843420845</v>
      </c>
      <c r="S58" s="741">
        <f>P58*$AB$39</f>
        <v>3821.1802671606706</v>
      </c>
      <c r="T58" s="665">
        <f>P58*$AC$39</f>
        <v>3818.8197328393294</v>
      </c>
      <c r="U58" s="665">
        <f>P58*$AD$39</f>
        <v>2902.9440055270611</v>
      </c>
      <c r="V58" s="665">
        <f>P58*$AE$39</f>
        <v>4293.8521181121178</v>
      </c>
      <c r="W58" s="665">
        <f>P58*$AF$39</f>
        <v>443.20387636081915</v>
      </c>
      <c r="X58" s="665">
        <f>P58*$AG$39</f>
        <v>658.70590783733041</v>
      </c>
      <c r="Y58" s="742">
        <f t="shared" si="16"/>
        <v>19106.2414900687</v>
      </c>
      <c r="AK58" s="60">
        <f t="shared" si="6"/>
        <v>7616</v>
      </c>
      <c r="AL58" s="60">
        <f t="shared" si="7"/>
        <v>24</v>
      </c>
      <c r="AM58" s="60">
        <f t="shared" si="8"/>
        <v>0</v>
      </c>
    </row>
    <row r="59" spans="2:39" ht="17.5" hidden="1" customHeight="1">
      <c r="C59" s="1155"/>
      <c r="D59" s="591" t="s">
        <v>2653</v>
      </c>
      <c r="E59" s="592">
        <v>360411.00452311093</v>
      </c>
      <c r="F59" s="623">
        <v>44924.190407079979</v>
      </c>
      <c r="G59" s="888"/>
      <c r="H59" s="889"/>
      <c r="I59" s="889"/>
      <c r="J59" s="890"/>
      <c r="K59" s="986">
        <v>2347</v>
      </c>
      <c r="L59" s="890"/>
      <c r="M59" s="888"/>
      <c r="N59" s="889"/>
      <c r="O59" s="890"/>
      <c r="P59" s="931">
        <f t="shared" si="15"/>
        <v>2347</v>
      </c>
      <c r="Q59" s="593">
        <f t="shared" si="19"/>
        <v>5.2243568080641845E-2</v>
      </c>
      <c r="R59" s="726">
        <f t="shared" si="17"/>
        <v>0.9477564319193581</v>
      </c>
      <c r="S59" s="741">
        <f>P59*$AB$40</f>
        <v>1164.3396901293295</v>
      </c>
      <c r="T59" s="665">
        <f>P59*$AC$40</f>
        <v>1182.6603098706705</v>
      </c>
      <c r="U59" s="665">
        <f>P59*$AD$40</f>
        <v>891.78135876597037</v>
      </c>
      <c r="V59" s="665">
        <f>P59*$AE$40</f>
        <v>1319.0668745038142</v>
      </c>
      <c r="W59" s="665">
        <f>P59*$AF$40</f>
        <v>136.151766730215</v>
      </c>
      <c r="X59" s="665">
        <f>P59*$AG$40</f>
        <v>202.35376514322178</v>
      </c>
      <c r="Y59" s="742">
        <f t="shared" si="16"/>
        <v>42577.190407079979</v>
      </c>
      <c r="AK59" s="60">
        <f t="shared" si="6"/>
        <v>2347</v>
      </c>
      <c r="AL59" s="60">
        <f t="shared" si="7"/>
        <v>0</v>
      </c>
      <c r="AM59" s="60">
        <f t="shared" si="8"/>
        <v>0</v>
      </c>
    </row>
    <row r="60" spans="2:39" ht="17.5" hidden="1" customHeight="1">
      <c r="C60" s="1155"/>
      <c r="D60" s="591" t="s">
        <v>2713</v>
      </c>
      <c r="E60" s="592">
        <v>115607.06136423421</v>
      </c>
      <c r="F60" s="623">
        <v>8662.8536818540542</v>
      </c>
      <c r="G60" s="888"/>
      <c r="H60" s="889"/>
      <c r="I60" s="889"/>
      <c r="J60" s="890"/>
      <c r="K60" s="888"/>
      <c r="L60" s="890"/>
      <c r="M60" s="888"/>
      <c r="N60" s="889"/>
      <c r="O60" s="890"/>
      <c r="P60" s="931">
        <f t="shared" si="15"/>
        <v>0</v>
      </c>
      <c r="Q60" s="593">
        <f t="shared" si="19"/>
        <v>0</v>
      </c>
      <c r="R60" s="726">
        <f t="shared" si="17"/>
        <v>1</v>
      </c>
      <c r="S60" s="741">
        <f>P60*$AB$41</f>
        <v>0</v>
      </c>
      <c r="T60" s="665">
        <f>P60*$AC$41</f>
        <v>0</v>
      </c>
      <c r="U60" s="665">
        <f>P60*$AD$41</f>
        <v>0</v>
      </c>
      <c r="V60" s="665">
        <f>P60*$AE$41</f>
        <v>0</v>
      </c>
      <c r="W60" s="665">
        <f>P60*$AF$41</f>
        <v>0</v>
      </c>
      <c r="X60" s="665">
        <f>P60*$AG$41</f>
        <v>0</v>
      </c>
      <c r="Y60" s="742">
        <f t="shared" si="16"/>
        <v>8662.8536818540542</v>
      </c>
      <c r="AK60" s="60">
        <f t="shared" si="6"/>
        <v>0</v>
      </c>
      <c r="AL60" s="60">
        <f t="shared" si="7"/>
        <v>0</v>
      </c>
      <c r="AM60" s="60">
        <f t="shared" si="8"/>
        <v>0</v>
      </c>
    </row>
    <row r="61" spans="2:39" ht="17.5" hidden="1" customHeight="1">
      <c r="C61" s="1155"/>
      <c r="D61" s="591" t="s">
        <v>2714</v>
      </c>
      <c r="E61" s="592">
        <v>49258.943580096828</v>
      </c>
      <c r="F61" s="623">
        <v>917.55774320387309</v>
      </c>
      <c r="G61" s="888"/>
      <c r="H61" s="889"/>
      <c r="I61" s="889"/>
      <c r="J61" s="890"/>
      <c r="K61" s="888"/>
      <c r="L61" s="890"/>
      <c r="M61" s="888"/>
      <c r="N61" s="889"/>
      <c r="O61" s="890"/>
      <c r="P61" s="931">
        <f t="shared" si="15"/>
        <v>0</v>
      </c>
      <c r="Q61" s="593">
        <f t="shared" si="19"/>
        <v>0</v>
      </c>
      <c r="R61" s="726">
        <f t="shared" si="17"/>
        <v>1</v>
      </c>
      <c r="S61" s="741">
        <f>P61*$AB$42</f>
        <v>0</v>
      </c>
      <c r="T61" s="665">
        <f>P61*$AC$42</f>
        <v>0</v>
      </c>
      <c r="U61" s="665">
        <f>P61*$AD$42</f>
        <v>0</v>
      </c>
      <c r="V61" s="665">
        <f>P61*$AE$42</f>
        <v>0</v>
      </c>
      <c r="W61" s="665">
        <f>P61*$AF$42</f>
        <v>0</v>
      </c>
      <c r="X61" s="665">
        <f>P61*$AG$42</f>
        <v>0</v>
      </c>
      <c r="Y61" s="742">
        <f t="shared" si="16"/>
        <v>917.55774320387309</v>
      </c>
      <c r="AK61" s="60">
        <f t="shared" si="6"/>
        <v>0</v>
      </c>
      <c r="AL61" s="60">
        <f t="shared" si="7"/>
        <v>0</v>
      </c>
      <c r="AM61" s="60">
        <f t="shared" si="8"/>
        <v>0</v>
      </c>
    </row>
    <row r="62" spans="2:39" s="949" customFormat="1" ht="17.5" hidden="1" customHeight="1">
      <c r="C62" s="1156"/>
      <c r="D62" s="598" t="s">
        <v>1488</v>
      </c>
      <c r="E62" s="599">
        <f t="shared" ref="E62:O62" si="20">SUM(E44:E61)</f>
        <v>5154066.0260693831</v>
      </c>
      <c r="F62" s="868">
        <f t="shared" si="20"/>
        <v>999019.11335045088</v>
      </c>
      <c r="G62" s="892">
        <f t="shared" si="20"/>
        <v>182768</v>
      </c>
      <c r="H62" s="893">
        <f t="shared" si="20"/>
        <v>103954</v>
      </c>
      <c r="I62" s="893">
        <f t="shared" si="20"/>
        <v>1313</v>
      </c>
      <c r="J62" s="894">
        <f t="shared" si="20"/>
        <v>0</v>
      </c>
      <c r="K62" s="892">
        <f t="shared" si="20"/>
        <v>37496</v>
      </c>
      <c r="L62" s="894">
        <f t="shared" si="20"/>
        <v>0</v>
      </c>
      <c r="M62" s="892"/>
      <c r="N62" s="893">
        <f t="shared" si="20"/>
        <v>0</v>
      </c>
      <c r="O62" s="894">
        <f t="shared" si="20"/>
        <v>0</v>
      </c>
      <c r="P62" s="872">
        <f>SUM(P44:P61)</f>
        <v>325531</v>
      </c>
      <c r="Q62" s="600">
        <f t="shared" si="19"/>
        <v>0.32585062252538244</v>
      </c>
      <c r="R62" s="727">
        <f>1-Q62</f>
        <v>0.67414937747461756</v>
      </c>
      <c r="S62" s="743">
        <f t="shared" ref="S62:Y62" si="21">SUM(S44:S61)</f>
        <v>158197.31535334891</v>
      </c>
      <c r="T62" s="601">
        <f t="shared" si="21"/>
        <v>167333.68464665109</v>
      </c>
      <c r="U62" s="601">
        <f>SUM(U44:U61)</f>
        <v>121192.19283496164</v>
      </c>
      <c r="V62" s="601">
        <f t="shared" si="21"/>
        <v>179614.93328253922</v>
      </c>
      <c r="W62" s="601">
        <f t="shared" si="21"/>
        <v>24723.873882499174</v>
      </c>
      <c r="X62" s="601">
        <f t="shared" si="21"/>
        <v>46106.685998657071</v>
      </c>
      <c r="Y62" s="694">
        <f t="shared" si="21"/>
        <v>673488.11335045099</v>
      </c>
      <c r="AK62" s="60">
        <f t="shared" si="6"/>
        <v>324218</v>
      </c>
      <c r="AL62" s="60">
        <f t="shared" si="7"/>
        <v>1313</v>
      </c>
      <c r="AM62" s="60">
        <f t="shared" si="8"/>
        <v>0</v>
      </c>
    </row>
    <row r="63" spans="2:39" hidden="1">
      <c r="B63" s="695">
        <f>(P63+P65+P66+P69+P70)/(F63+F65+F66+F69+F70)</f>
        <v>0.21243450332428321</v>
      </c>
      <c r="C63" s="1151" t="s">
        <v>2983</v>
      </c>
      <c r="D63" s="594" t="s">
        <v>2703</v>
      </c>
      <c r="E63" s="595">
        <v>111096.7979840148</v>
      </c>
      <c r="F63" s="624">
        <v>31675.809596802959</v>
      </c>
      <c r="G63" s="895"/>
      <c r="H63" s="897">
        <v>10750</v>
      </c>
      <c r="I63" s="897"/>
      <c r="J63" s="896"/>
      <c r="K63" s="895"/>
      <c r="L63" s="896"/>
      <c r="M63" s="895"/>
      <c r="N63" s="897"/>
      <c r="O63" s="896"/>
      <c r="P63" s="931">
        <f t="shared" ref="P63:P80" si="22">SUM(G63:O63)</f>
        <v>10750</v>
      </c>
      <c r="Q63" s="596">
        <f t="shared" si="19"/>
        <v>0.33937569826423625</v>
      </c>
      <c r="R63" s="728">
        <f>1-Q63</f>
        <v>0.66062430173576381</v>
      </c>
      <c r="S63" s="709">
        <f>P63*$AB$25</f>
        <v>5151.5380182465778</v>
      </c>
      <c r="T63" s="710">
        <f>P63*$AC$25</f>
        <v>5598.4619817534222</v>
      </c>
      <c r="U63" s="710">
        <f>P63*$AD$25</f>
        <v>3945.5836833556195</v>
      </c>
      <c r="V63" s="710">
        <f>P63*$AE$25</f>
        <v>5849.3458895157846</v>
      </c>
      <c r="W63" s="710">
        <f>P63*$AF$25</f>
        <v>955.07042712859743</v>
      </c>
      <c r="X63" s="710">
        <f>P63*$AG$25</f>
        <v>1636.9785832380526</v>
      </c>
      <c r="Y63" s="690">
        <f t="shared" ref="Y63:Y80" si="23">F63-P63</f>
        <v>20925.809596802959</v>
      </c>
      <c r="Z63" s="960"/>
      <c r="AK63" s="60">
        <f t="shared" si="6"/>
        <v>10750</v>
      </c>
      <c r="AL63" s="60">
        <f t="shared" si="7"/>
        <v>0</v>
      </c>
      <c r="AM63" s="60">
        <f t="shared" si="8"/>
        <v>0</v>
      </c>
    </row>
    <row r="64" spans="2:39" hidden="1">
      <c r="C64" s="1152"/>
      <c r="D64" s="594" t="s">
        <v>2704</v>
      </c>
      <c r="E64" s="595">
        <v>6881.8180702501222</v>
      </c>
      <c r="F64" s="624">
        <v>2420.6544562000977</v>
      </c>
      <c r="G64" s="895"/>
      <c r="H64" s="897"/>
      <c r="I64" s="897"/>
      <c r="J64" s="896"/>
      <c r="K64" s="895"/>
      <c r="L64" s="896"/>
      <c r="M64" s="895"/>
      <c r="N64" s="897"/>
      <c r="O64" s="896"/>
      <c r="P64" s="931">
        <f t="shared" si="22"/>
        <v>0</v>
      </c>
      <c r="Q64" s="596">
        <f t="shared" si="19"/>
        <v>0</v>
      </c>
      <c r="R64" s="728">
        <f>1-Q64</f>
        <v>1</v>
      </c>
      <c r="S64" s="709">
        <f>P64*$AB$26</f>
        <v>0</v>
      </c>
      <c r="T64" s="710">
        <f>P64*$AC$26</f>
        <v>0</v>
      </c>
      <c r="U64" s="710">
        <f>P64*$AD$26</f>
        <v>0</v>
      </c>
      <c r="V64" s="710">
        <f>P64*$AE$26</f>
        <v>0</v>
      </c>
      <c r="W64" s="710">
        <f>P64*$AF$26</f>
        <v>0</v>
      </c>
      <c r="X64" s="710">
        <f>P64*$AG$26</f>
        <v>0</v>
      </c>
      <c r="Y64" s="690">
        <f t="shared" si="23"/>
        <v>2420.6544562000977</v>
      </c>
      <c r="Z64" s="960"/>
      <c r="AK64" s="60">
        <f t="shared" si="6"/>
        <v>0</v>
      </c>
      <c r="AL64" s="60">
        <f t="shared" si="7"/>
        <v>0</v>
      </c>
      <c r="AM64" s="60">
        <f t="shared" si="8"/>
        <v>0</v>
      </c>
    </row>
    <row r="65" spans="2:39" hidden="1">
      <c r="B65" s="60"/>
      <c r="C65" s="1152"/>
      <c r="D65" s="594" t="s">
        <v>2705</v>
      </c>
      <c r="E65" s="595">
        <v>170547.23083816754</v>
      </c>
      <c r="F65" s="624">
        <v>45630.246167633508</v>
      </c>
      <c r="G65" s="895"/>
      <c r="H65" s="897"/>
      <c r="I65" s="897"/>
      <c r="J65" s="896"/>
      <c r="K65" s="895">
        <v>721</v>
      </c>
      <c r="L65" s="896"/>
      <c r="M65" s="895"/>
      <c r="N65" s="897"/>
      <c r="O65" s="896"/>
      <c r="P65" s="931">
        <f t="shared" si="22"/>
        <v>721</v>
      </c>
      <c r="Q65" s="596">
        <f t="shared" si="19"/>
        <v>1.580092286487423E-2</v>
      </c>
      <c r="R65" s="728">
        <f>1-Q65</f>
        <v>0.98419907713512578</v>
      </c>
      <c r="S65" s="709">
        <f>P65*$AB$27</f>
        <v>344.09934590978298</v>
      </c>
      <c r="T65" s="710">
        <f>P65*$AC$27</f>
        <v>376.90065409021702</v>
      </c>
      <c r="U65" s="710">
        <f>P65*$AD$27</f>
        <v>243.41817300626019</v>
      </c>
      <c r="V65" s="710">
        <f>P65*$AE$27</f>
        <v>414.47109107931527</v>
      </c>
      <c r="W65" s="710">
        <f>P65*$AF$27</f>
        <v>63.110735914424467</v>
      </c>
      <c r="X65" s="710">
        <f>P65*$AG$27</f>
        <v>90.545655972626236</v>
      </c>
      <c r="Y65" s="690">
        <f t="shared" si="23"/>
        <v>44909.246167633508</v>
      </c>
      <c r="Z65" s="960"/>
      <c r="AK65" s="60">
        <f t="shared" si="6"/>
        <v>721</v>
      </c>
      <c r="AL65" s="60">
        <f t="shared" si="7"/>
        <v>0</v>
      </c>
      <c r="AM65" s="60">
        <f t="shared" si="8"/>
        <v>0</v>
      </c>
    </row>
    <row r="66" spans="2:39" hidden="1">
      <c r="B66" s="60"/>
      <c r="C66" s="1152"/>
      <c r="D66" s="594" t="s">
        <v>2706</v>
      </c>
      <c r="E66" s="595">
        <v>0</v>
      </c>
      <c r="F66" s="624">
        <v>0</v>
      </c>
      <c r="G66" s="895"/>
      <c r="H66" s="898"/>
      <c r="I66" s="898"/>
      <c r="J66" s="899"/>
      <c r="K66" s="929"/>
      <c r="L66" s="899"/>
      <c r="M66" s="929"/>
      <c r="N66" s="898"/>
      <c r="O66" s="899"/>
      <c r="P66" s="931">
        <f t="shared" si="22"/>
        <v>0</v>
      </c>
      <c r="Q66" s="596" t="e">
        <f t="shared" si="19"/>
        <v>#DIV/0!</v>
      </c>
      <c r="R66" s="728" t="e">
        <f>1-Q66</f>
        <v>#DIV/0!</v>
      </c>
      <c r="S66" s="744">
        <f>P66*$AB$28</f>
        <v>0</v>
      </c>
      <c r="T66" s="683">
        <f>P66*$AC$28</f>
        <v>0</v>
      </c>
      <c r="U66" s="683">
        <f>P66*$AD$28</f>
        <v>0</v>
      </c>
      <c r="V66" s="683">
        <f>P66*$AE$28</f>
        <v>0</v>
      </c>
      <c r="W66" s="683">
        <f>P66*$AF$28</f>
        <v>0</v>
      </c>
      <c r="X66" s="683">
        <f>P66*$AG$28</f>
        <v>0</v>
      </c>
      <c r="Y66" s="691">
        <f t="shared" si="23"/>
        <v>0</v>
      </c>
      <c r="Z66" s="960"/>
      <c r="AK66" s="60">
        <f t="shared" si="6"/>
        <v>0</v>
      </c>
      <c r="AL66" s="60">
        <f t="shared" si="7"/>
        <v>0</v>
      </c>
      <c r="AM66" s="60">
        <f t="shared" si="8"/>
        <v>0</v>
      </c>
    </row>
    <row r="67" spans="2:39" hidden="1">
      <c r="B67" s="695">
        <f>(P67+P71+P75)/(F67+F71+F75)</f>
        <v>1.1332970535995905E-2</v>
      </c>
      <c r="C67" s="1152"/>
      <c r="D67" s="594" t="s">
        <v>613</v>
      </c>
      <c r="E67" s="595">
        <v>133949.83369622205</v>
      </c>
      <c r="F67" s="624">
        <v>90589.166739244407</v>
      </c>
      <c r="G67" s="895"/>
      <c r="H67" s="898"/>
      <c r="I67" s="898"/>
      <c r="J67" s="899"/>
      <c r="K67" s="929">
        <v>3747</v>
      </c>
      <c r="L67" s="899"/>
      <c r="M67" s="929"/>
      <c r="N67" s="898"/>
      <c r="O67" s="899"/>
      <c r="P67" s="931">
        <f t="shared" si="22"/>
        <v>3747</v>
      </c>
      <c r="Q67" s="596">
        <f t="shared" si="19"/>
        <v>4.1362561715414817E-2</v>
      </c>
      <c r="R67" s="728">
        <f t="shared" ref="R67:R72" si="24">1-Q67</f>
        <v>0.95863743828458514</v>
      </c>
      <c r="S67" s="744">
        <f>P67*$AB$29</f>
        <v>1797.4422759383203</v>
      </c>
      <c r="T67" s="683">
        <f>P67*$AC$29</f>
        <v>1949.5577240616797</v>
      </c>
      <c r="U67" s="683">
        <f>P67*$AD$29</f>
        <v>1730.4013671650644</v>
      </c>
      <c r="V67" s="683">
        <f>P67*$AE$29</f>
        <v>1770.2268541627941</v>
      </c>
      <c r="W67" s="683">
        <f>P67*$AF$29</f>
        <v>246.37177867214146</v>
      </c>
      <c r="X67" s="683">
        <f>P67*$AG$29</f>
        <v>772.99526417355344</v>
      </c>
      <c r="Y67" s="691">
        <f t="shared" si="23"/>
        <v>86842.166739244407</v>
      </c>
      <c r="Z67" s="960"/>
      <c r="AK67" s="60">
        <f t="shared" si="6"/>
        <v>3747</v>
      </c>
      <c r="AL67" s="60">
        <f t="shared" si="7"/>
        <v>0</v>
      </c>
      <c r="AM67" s="60">
        <f t="shared" si="8"/>
        <v>0</v>
      </c>
    </row>
    <row r="68" spans="2:39">
      <c r="C68" s="1152"/>
      <c r="D68" s="594" t="s">
        <v>37</v>
      </c>
      <c r="E68" s="595">
        <v>231228.27654495894</v>
      </c>
      <c r="F68" s="624">
        <v>121307.82765449589</v>
      </c>
      <c r="G68" s="895">
        <f>E2</f>
        <v>54583</v>
      </c>
      <c r="H68" s="898"/>
      <c r="I68" s="898"/>
      <c r="J68" s="899"/>
      <c r="K68" s="929"/>
      <c r="L68" s="899"/>
      <c r="M68" s="929"/>
      <c r="N68" s="898"/>
      <c r="O68" s="899"/>
      <c r="P68" s="931">
        <f t="shared" si="22"/>
        <v>54583</v>
      </c>
      <c r="Q68" s="596">
        <f t="shared" si="19"/>
        <v>0.44995447577761527</v>
      </c>
      <c r="R68" s="728">
        <f t="shared" si="24"/>
        <v>0.55004552422238473</v>
      </c>
      <c r="S68" s="744">
        <f>P68*$AB$30</f>
        <v>27828.974992898264</v>
      </c>
      <c r="T68" s="683">
        <f>P68*$AC$30</f>
        <v>26754.025007101736</v>
      </c>
      <c r="U68" s="683">
        <f>P68*$AD$30</f>
        <v>19655.203935743015</v>
      </c>
      <c r="V68" s="683">
        <f>P68*$AE$30</f>
        <v>31925.938885138614</v>
      </c>
      <c r="W68" s="683">
        <f>P68*$AF$30</f>
        <v>3001.8571791183685</v>
      </c>
      <c r="X68" s="683">
        <f>P68*$AG$30</f>
        <v>4856.6652203738013</v>
      </c>
      <c r="Y68" s="691">
        <f t="shared" si="23"/>
        <v>66724.827654495894</v>
      </c>
      <c r="Z68" s="960"/>
      <c r="AK68" s="60">
        <f t="shared" si="6"/>
        <v>54583</v>
      </c>
      <c r="AL68" s="60">
        <f t="shared" si="7"/>
        <v>0</v>
      </c>
      <c r="AM68" s="60">
        <f t="shared" si="8"/>
        <v>0</v>
      </c>
    </row>
    <row r="69" spans="2:39" hidden="1">
      <c r="C69" s="1152"/>
      <c r="D69" s="594" t="s">
        <v>2707</v>
      </c>
      <c r="E69" s="595">
        <v>207176.84686270333</v>
      </c>
      <c r="F69" s="624">
        <v>78681.919372540666</v>
      </c>
      <c r="G69" s="895"/>
      <c r="H69" s="898"/>
      <c r="I69" s="898"/>
      <c r="J69" s="899"/>
      <c r="K69" s="929">
        <v>28439</v>
      </c>
      <c r="L69" s="899"/>
      <c r="M69" s="929"/>
      <c r="N69" s="898"/>
      <c r="O69" s="899"/>
      <c r="P69" s="931">
        <f t="shared" si="22"/>
        <v>28439</v>
      </c>
      <c r="Q69" s="596">
        <f t="shared" si="19"/>
        <v>0.3614426316336784</v>
      </c>
      <c r="R69" s="728">
        <f t="shared" si="24"/>
        <v>0.6385573683663216</v>
      </c>
      <c r="S69" s="744">
        <f>P69*$AB$31</f>
        <v>14648.276544785698</v>
      </c>
      <c r="T69" s="683">
        <f>P69*$AC$31</f>
        <v>13790.723455214302</v>
      </c>
      <c r="U69" s="683">
        <f>P69*$AD$31</f>
        <v>11521.770230997079</v>
      </c>
      <c r="V69" s="683">
        <f>P69*$AE$31</f>
        <v>15430.821792782956</v>
      </c>
      <c r="W69" s="683">
        <f>P69*$AF$31</f>
        <v>1486.4079762199653</v>
      </c>
      <c r="X69" s="683">
        <f>P69*$AG$31</f>
        <v>3080.4823725305878</v>
      </c>
      <c r="Y69" s="691">
        <f t="shared" si="23"/>
        <v>50242.919372540666</v>
      </c>
      <c r="Z69" s="960"/>
      <c r="AK69" s="60">
        <f t="shared" si="6"/>
        <v>28439</v>
      </c>
      <c r="AL69" s="60">
        <f t="shared" si="7"/>
        <v>0</v>
      </c>
      <c r="AM69" s="60">
        <f t="shared" si="8"/>
        <v>0</v>
      </c>
    </row>
    <row r="70" spans="2:39" hidden="1">
      <c r="C70" s="1152"/>
      <c r="D70" s="594" t="s">
        <v>2347</v>
      </c>
      <c r="E70" s="595">
        <v>293903.52269109758</v>
      </c>
      <c r="F70" s="624">
        <v>75923.504538219524</v>
      </c>
      <c r="G70" s="895"/>
      <c r="H70" s="898"/>
      <c r="I70" s="898"/>
      <c r="J70" s="899"/>
      <c r="K70" s="929">
        <v>9356</v>
      </c>
      <c r="L70" s="899"/>
      <c r="M70" s="929"/>
      <c r="N70" s="898"/>
      <c r="O70" s="899"/>
      <c r="P70" s="931">
        <f t="shared" si="22"/>
        <v>9356</v>
      </c>
      <c r="Q70" s="596">
        <f t="shared" si="19"/>
        <v>0.12322929581431841</v>
      </c>
      <c r="R70" s="728">
        <f t="shared" si="24"/>
        <v>0.87677070418568159</v>
      </c>
      <c r="S70" s="744">
        <f>P70*$AB$32</f>
        <v>4642.0493991319145</v>
      </c>
      <c r="T70" s="683">
        <f>P70*$AC$32</f>
        <v>4713.9506008680855</v>
      </c>
      <c r="U70" s="683">
        <f>P70*$AD$32</f>
        <v>3857.3692776698667</v>
      </c>
      <c r="V70" s="683">
        <f>P70*$AE$32</f>
        <v>4839.5923622938108</v>
      </c>
      <c r="W70" s="683">
        <f>P70*$AF$32</f>
        <v>659.03836003632205</v>
      </c>
      <c r="X70" s="683">
        <f>P70*$AG$32</f>
        <v>1556.0246790171705</v>
      </c>
      <c r="Y70" s="691">
        <f t="shared" si="23"/>
        <v>66567.504538219524</v>
      </c>
      <c r="Z70" s="960"/>
      <c r="AK70" s="60">
        <f t="shared" si="6"/>
        <v>9356</v>
      </c>
      <c r="AL70" s="60">
        <f t="shared" si="7"/>
        <v>0</v>
      </c>
      <c r="AM70" s="60">
        <f t="shared" si="8"/>
        <v>0</v>
      </c>
    </row>
    <row r="71" spans="2:39" hidden="1">
      <c r="C71" s="1152"/>
      <c r="D71" s="594" t="s">
        <v>2708</v>
      </c>
      <c r="E71" s="595">
        <v>388884.05822737725</v>
      </c>
      <c r="F71" s="624">
        <v>122354.01164547546</v>
      </c>
      <c r="G71" s="895"/>
      <c r="H71" s="898">
        <v>2656</v>
      </c>
      <c r="I71" s="898"/>
      <c r="J71" s="899"/>
      <c r="K71" s="929"/>
      <c r="L71" s="899"/>
      <c r="M71" s="929"/>
      <c r="N71" s="898"/>
      <c r="O71" s="899"/>
      <c r="P71" s="931">
        <f t="shared" si="22"/>
        <v>2656</v>
      </c>
      <c r="Q71" s="596">
        <f t="shared" si="19"/>
        <v>2.1707502388199924E-2</v>
      </c>
      <c r="R71" s="728">
        <f t="shared" si="24"/>
        <v>0.97829249761180004</v>
      </c>
      <c r="S71" s="744">
        <f>P71*$AB$33</f>
        <v>1238.334143446014</v>
      </c>
      <c r="T71" s="683">
        <f>P71*$AC$33</f>
        <v>1417.665856553986</v>
      </c>
      <c r="U71" s="683">
        <f>P71*$AD$33</f>
        <v>847.01410421860328</v>
      </c>
      <c r="V71" s="683">
        <f>P71*$AE$33</f>
        <v>1547.1142110590738</v>
      </c>
      <c r="W71" s="683">
        <f>P71*$AF$33</f>
        <v>261.87168472232321</v>
      </c>
      <c r="X71" s="683">
        <f>P71*$AG$33</f>
        <v>452.25240011542928</v>
      </c>
      <c r="Y71" s="691">
        <f t="shared" si="23"/>
        <v>119698.01164547546</v>
      </c>
      <c r="Z71" s="960"/>
      <c r="AK71" s="60">
        <f t="shared" si="6"/>
        <v>2656</v>
      </c>
      <c r="AL71" s="60">
        <f t="shared" si="7"/>
        <v>0</v>
      </c>
      <c r="AM71" s="60">
        <f t="shared" si="8"/>
        <v>0</v>
      </c>
    </row>
    <row r="72" spans="2:39" hidden="1">
      <c r="C72" s="1152"/>
      <c r="D72" s="594" t="s">
        <v>2709</v>
      </c>
      <c r="E72" s="595">
        <v>22342.381043354912</v>
      </c>
      <c r="F72" s="624">
        <v>0</v>
      </c>
      <c r="G72" s="895"/>
      <c r="H72" s="898"/>
      <c r="I72" s="898"/>
      <c r="J72" s="899"/>
      <c r="K72" s="929"/>
      <c r="L72" s="899"/>
      <c r="M72" s="929"/>
      <c r="N72" s="898"/>
      <c r="O72" s="899"/>
      <c r="P72" s="931">
        <f t="shared" si="22"/>
        <v>0</v>
      </c>
      <c r="Q72" s="596" t="e">
        <f t="shared" si="19"/>
        <v>#DIV/0!</v>
      </c>
      <c r="R72" s="728" t="e">
        <f t="shared" si="24"/>
        <v>#DIV/0!</v>
      </c>
      <c r="S72" s="744">
        <f>P72*$AB$34</f>
        <v>0</v>
      </c>
      <c r="T72" s="683">
        <f>P72*$AC$34</f>
        <v>0</v>
      </c>
      <c r="U72" s="683">
        <f>P72*$AD$34</f>
        <v>0</v>
      </c>
      <c r="V72" s="683">
        <f>P72*$AE$34</f>
        <v>0</v>
      </c>
      <c r="W72" s="683">
        <f>P72*$AF$34</f>
        <v>0</v>
      </c>
      <c r="X72" s="683">
        <f>P72*$AG$34</f>
        <v>0</v>
      </c>
      <c r="Y72" s="691">
        <f t="shared" si="23"/>
        <v>0</v>
      </c>
      <c r="Z72" s="960"/>
      <c r="AK72" s="60">
        <f t="shared" si="6"/>
        <v>0</v>
      </c>
      <c r="AL72" s="60">
        <f t="shared" si="7"/>
        <v>0</v>
      </c>
      <c r="AM72" s="60">
        <f t="shared" si="8"/>
        <v>0</v>
      </c>
    </row>
    <row r="73" spans="2:39" hidden="1">
      <c r="C73" s="1152"/>
      <c r="D73" s="594" t="s">
        <v>2710</v>
      </c>
      <c r="E73" s="595">
        <v>0</v>
      </c>
      <c r="F73" s="624">
        <v>0</v>
      </c>
      <c r="G73" s="895"/>
      <c r="H73" s="897"/>
      <c r="I73" s="897"/>
      <c r="J73" s="896"/>
      <c r="K73" s="895"/>
      <c r="L73" s="896"/>
      <c r="M73" s="895"/>
      <c r="N73" s="897"/>
      <c r="O73" s="896"/>
      <c r="P73" s="931">
        <f t="shared" si="22"/>
        <v>0</v>
      </c>
      <c r="Q73" s="596" t="e">
        <f t="shared" si="19"/>
        <v>#DIV/0!</v>
      </c>
      <c r="R73" s="728" t="e">
        <f>1-Q73</f>
        <v>#DIV/0!</v>
      </c>
      <c r="S73" s="709">
        <f>P73*$AB$35</f>
        <v>0</v>
      </c>
      <c r="T73" s="710">
        <f>P73*$AC$35</f>
        <v>0</v>
      </c>
      <c r="U73" s="710">
        <f>P73*$AD$35</f>
        <v>0</v>
      </c>
      <c r="V73" s="710">
        <f>P73*$AE$35</f>
        <v>0</v>
      </c>
      <c r="W73" s="710">
        <f>P73*$AF$35</f>
        <v>0</v>
      </c>
      <c r="X73" s="710">
        <f>P73*$AG$35</f>
        <v>0</v>
      </c>
      <c r="Y73" s="690">
        <f t="shared" si="23"/>
        <v>0</v>
      </c>
      <c r="Z73" s="960"/>
      <c r="AK73" s="60">
        <f t="shared" si="6"/>
        <v>0</v>
      </c>
      <c r="AL73" s="60">
        <f t="shared" si="7"/>
        <v>0</v>
      </c>
      <c r="AM73" s="60">
        <f t="shared" si="8"/>
        <v>0</v>
      </c>
    </row>
    <row r="74" spans="2:39" hidden="1">
      <c r="C74" s="1152"/>
      <c r="D74" s="594" t="s">
        <v>304</v>
      </c>
      <c r="E74" s="595">
        <v>1041892.4324525243</v>
      </c>
      <c r="F74" s="624">
        <v>494284.62298100966</v>
      </c>
      <c r="G74" s="895">
        <v>108127.18497434334</v>
      </c>
      <c r="H74" s="710">
        <v>65917</v>
      </c>
      <c r="I74" s="897">
        <v>24840</v>
      </c>
      <c r="J74" s="896"/>
      <c r="K74" s="895"/>
      <c r="L74" s="896"/>
      <c r="M74" s="895"/>
      <c r="N74" s="897"/>
      <c r="O74" s="896"/>
      <c r="P74" s="931">
        <f t="shared" si="22"/>
        <v>198884.18497434334</v>
      </c>
      <c r="Q74" s="596">
        <f t="shared" si="19"/>
        <v>0.40236773657833264</v>
      </c>
      <c r="R74" s="728">
        <f t="shared" ref="R74:R80" si="25">1-Q74</f>
        <v>0.59763226342166731</v>
      </c>
      <c r="S74" s="709">
        <f>P74*$AB$36</f>
        <v>94261.395847767111</v>
      </c>
      <c r="T74" s="710">
        <f>P74*$AC$36</f>
        <v>104622.78912657623</v>
      </c>
      <c r="U74" s="710">
        <f>P74*$AD$36</f>
        <v>73004.978240976285</v>
      </c>
      <c r="V74" s="710">
        <f>P74*$AE$36</f>
        <v>108385.45462175629</v>
      </c>
      <c r="W74" s="710">
        <f>P74*$AF$36</f>
        <v>17493.752111610804</v>
      </c>
      <c r="X74" s="710">
        <f>P74*$AG$36</f>
        <v>34498.010705622604</v>
      </c>
      <c r="Y74" s="690">
        <f t="shared" si="23"/>
        <v>295400.43800666631</v>
      </c>
      <c r="Z74" s="960"/>
      <c r="AK74" s="60">
        <f t="shared" si="6"/>
        <v>174044.18497434334</v>
      </c>
      <c r="AL74" s="60">
        <f t="shared" si="7"/>
        <v>24840</v>
      </c>
      <c r="AM74" s="60">
        <f t="shared" si="8"/>
        <v>0</v>
      </c>
    </row>
    <row r="75" spans="2:39" hidden="1">
      <c r="C75" s="1152"/>
      <c r="D75" s="594" t="s">
        <v>2711</v>
      </c>
      <c r="E75" s="595">
        <v>1841693.9600234586</v>
      </c>
      <c r="F75" s="624">
        <v>352045.49600234587</v>
      </c>
      <c r="G75" s="895"/>
      <c r="H75" s="897"/>
      <c r="I75" s="897"/>
      <c r="J75" s="896"/>
      <c r="K75" s="895"/>
      <c r="L75" s="896"/>
      <c r="M75" s="895"/>
      <c r="N75" s="897"/>
      <c r="O75" s="896"/>
      <c r="P75" s="931">
        <f t="shared" si="22"/>
        <v>0</v>
      </c>
      <c r="Q75" s="596">
        <f t="shared" si="19"/>
        <v>0</v>
      </c>
      <c r="R75" s="728">
        <f t="shared" si="25"/>
        <v>1</v>
      </c>
      <c r="S75" s="709">
        <f>P75*$AB$37</f>
        <v>0</v>
      </c>
      <c r="T75" s="710">
        <f>P75*$AC$37</f>
        <v>0</v>
      </c>
      <c r="U75" s="710">
        <f>P75*$AD$37</f>
        <v>0</v>
      </c>
      <c r="V75" s="710">
        <f>P75*$AE$37</f>
        <v>0</v>
      </c>
      <c r="W75" s="710">
        <f>P75*$AF$37</f>
        <v>0</v>
      </c>
      <c r="X75" s="710">
        <f>P75*$AG$37</f>
        <v>0</v>
      </c>
      <c r="Y75" s="690">
        <f t="shared" si="23"/>
        <v>352045.49600234587</v>
      </c>
      <c r="Z75" s="960"/>
      <c r="AK75" s="60">
        <f t="shared" si="6"/>
        <v>0</v>
      </c>
      <c r="AL75" s="60">
        <f t="shared" si="7"/>
        <v>0</v>
      </c>
      <c r="AM75" s="60">
        <f t="shared" si="8"/>
        <v>0</v>
      </c>
    </row>
    <row r="76" spans="2:39" hidden="1">
      <c r="C76" s="1152"/>
      <c r="D76" s="594" t="s">
        <v>2712</v>
      </c>
      <c r="E76" s="595">
        <v>0</v>
      </c>
      <c r="F76" s="624">
        <v>0</v>
      </c>
      <c r="G76" s="895"/>
      <c r="H76" s="897"/>
      <c r="I76" s="897"/>
      <c r="J76" s="896"/>
      <c r="K76" s="895"/>
      <c r="L76" s="896"/>
      <c r="M76" s="895"/>
      <c r="N76" s="897"/>
      <c r="O76" s="896"/>
      <c r="P76" s="931">
        <f t="shared" si="22"/>
        <v>0</v>
      </c>
      <c r="Q76" s="596" t="e">
        <f t="shared" si="19"/>
        <v>#DIV/0!</v>
      </c>
      <c r="R76" s="728" t="e">
        <f t="shared" si="25"/>
        <v>#DIV/0!</v>
      </c>
      <c r="S76" s="709">
        <f>P76*$AB$38</f>
        <v>0</v>
      </c>
      <c r="T76" s="710">
        <f>P76*$AC$38</f>
        <v>0</v>
      </c>
      <c r="U76" s="710">
        <f>P76*$AD$38</f>
        <v>0</v>
      </c>
      <c r="V76" s="710">
        <f>P76*$AE$38</f>
        <v>0</v>
      </c>
      <c r="W76" s="710">
        <f>P76*$AF$38</f>
        <v>0</v>
      </c>
      <c r="X76" s="710">
        <f>P76*$AG$38</f>
        <v>0</v>
      </c>
      <c r="Y76" s="690">
        <f t="shared" si="23"/>
        <v>0</v>
      </c>
      <c r="Z76" s="960"/>
      <c r="AK76" s="60">
        <f t="shared" si="6"/>
        <v>0</v>
      </c>
      <c r="AL76" s="60">
        <f t="shared" si="7"/>
        <v>0</v>
      </c>
      <c r="AM76" s="60">
        <f t="shared" si="8"/>
        <v>0</v>
      </c>
    </row>
    <row r="77" spans="2:39" hidden="1">
      <c r="C77" s="1152"/>
      <c r="D77" s="594" t="s">
        <v>515</v>
      </c>
      <c r="E77" s="595">
        <v>179191.85816781156</v>
      </c>
      <c r="F77" s="624">
        <v>67807.757450343488</v>
      </c>
      <c r="G77" s="895">
        <f>E3</f>
        <v>5587</v>
      </c>
      <c r="H77" s="897"/>
      <c r="I77" s="897">
        <v>939</v>
      </c>
      <c r="J77" s="896"/>
      <c r="K77" s="895"/>
      <c r="L77" s="896"/>
      <c r="M77" s="895"/>
      <c r="N77" s="897"/>
      <c r="O77" s="896"/>
      <c r="P77" s="931">
        <f t="shared" si="22"/>
        <v>6526</v>
      </c>
      <c r="Q77" s="596">
        <f t="shared" si="19"/>
        <v>9.6242675549019233E-2</v>
      </c>
      <c r="R77" s="728">
        <f t="shared" si="25"/>
        <v>0.90375732445098078</v>
      </c>
      <c r="S77" s="709">
        <f>P77*$AB$39</f>
        <v>3264.0081706139445</v>
      </c>
      <c r="T77" s="710">
        <f>P77*$AC$39</f>
        <v>3261.9918293860555</v>
      </c>
      <c r="U77" s="710">
        <f>P77*$AD$39</f>
        <v>2479.6613324698433</v>
      </c>
      <c r="V77" s="710">
        <f>P77*$AE$39</f>
        <v>3667.7590213088583</v>
      </c>
      <c r="W77" s="710">
        <f>P77*$AF$39</f>
        <v>378.57964622129657</v>
      </c>
      <c r="X77" s="710">
        <f>P77*$AG$39</f>
        <v>562.65899928618035</v>
      </c>
      <c r="Y77" s="690">
        <f t="shared" si="23"/>
        <v>61281.757450343488</v>
      </c>
      <c r="Z77" s="960"/>
      <c r="AK77" s="60">
        <f t="shared" si="6"/>
        <v>5587</v>
      </c>
      <c r="AL77" s="60">
        <f t="shared" si="7"/>
        <v>939</v>
      </c>
      <c r="AM77" s="60">
        <f t="shared" si="8"/>
        <v>0</v>
      </c>
    </row>
    <row r="78" spans="2:39" hidden="1">
      <c r="C78" s="1152"/>
      <c r="D78" s="594" t="s">
        <v>2653</v>
      </c>
      <c r="E78" s="595">
        <v>360411.00452311093</v>
      </c>
      <c r="F78" s="624">
        <v>108123.30135693328</v>
      </c>
      <c r="G78" s="895"/>
      <c r="H78" s="897"/>
      <c r="I78" s="897"/>
      <c r="J78" s="896"/>
      <c r="K78" s="895">
        <v>3306</v>
      </c>
      <c r="L78" s="896"/>
      <c r="M78" s="895"/>
      <c r="N78" s="897"/>
      <c r="O78" s="896"/>
      <c r="P78" s="931">
        <f t="shared" si="22"/>
        <v>3306</v>
      </c>
      <c r="Q78" s="596">
        <f t="shared" si="19"/>
        <v>3.0576202895306864E-2</v>
      </c>
      <c r="R78" s="728">
        <f t="shared" si="25"/>
        <v>0.96942379710469317</v>
      </c>
      <c r="S78" s="709">
        <f>P78*$AB$40</f>
        <v>1640.0967258489829</v>
      </c>
      <c r="T78" s="710">
        <f>P78*$AC$40</f>
        <v>1665.9032741510171</v>
      </c>
      <c r="U78" s="710">
        <f>P78*$AD$40</f>
        <v>1256.1692254283332</v>
      </c>
      <c r="V78" s="710">
        <f>P78*$AE$40</f>
        <v>1858.0464793820236</v>
      </c>
      <c r="W78" s="710">
        <f>P78*$AF$40</f>
        <v>191.78429518964242</v>
      </c>
      <c r="X78" s="710">
        <f>P78*$AG$40</f>
        <v>285.03687582594426</v>
      </c>
      <c r="Y78" s="690">
        <f t="shared" si="23"/>
        <v>104817.30135693328</v>
      </c>
      <c r="Z78" s="960"/>
      <c r="AK78" s="60">
        <f t="shared" si="6"/>
        <v>3306</v>
      </c>
      <c r="AL78" s="60">
        <f t="shared" si="7"/>
        <v>0</v>
      </c>
      <c r="AM78" s="60">
        <f t="shared" si="8"/>
        <v>0</v>
      </c>
    </row>
    <row r="79" spans="2:39" hidden="1">
      <c r="C79" s="1152"/>
      <c r="D79" s="594" t="s">
        <v>2713</v>
      </c>
      <c r="E79" s="595">
        <v>115607.06136423421</v>
      </c>
      <c r="F79" s="624">
        <v>29710.912272846846</v>
      </c>
      <c r="G79" s="895"/>
      <c r="H79" s="897"/>
      <c r="I79" s="897"/>
      <c r="J79" s="896"/>
      <c r="K79" s="895"/>
      <c r="L79" s="896"/>
      <c r="M79" s="895"/>
      <c r="N79" s="897"/>
      <c r="O79" s="896"/>
      <c r="P79" s="931">
        <f t="shared" si="22"/>
        <v>0</v>
      </c>
      <c r="Q79" s="596">
        <f t="shared" si="19"/>
        <v>0</v>
      </c>
      <c r="R79" s="728">
        <f t="shared" si="25"/>
        <v>1</v>
      </c>
      <c r="S79" s="709">
        <f>P79*$AB$41</f>
        <v>0</v>
      </c>
      <c r="T79" s="710">
        <f>P79*$AC$41</f>
        <v>0</v>
      </c>
      <c r="U79" s="710">
        <f>P79*$AD$41</f>
        <v>0</v>
      </c>
      <c r="V79" s="710">
        <f>P79*$AE$41</f>
        <v>0</v>
      </c>
      <c r="W79" s="710">
        <f>P79*$AF$41</f>
        <v>0</v>
      </c>
      <c r="X79" s="710">
        <f>P79*$AG$41</f>
        <v>0</v>
      </c>
      <c r="Y79" s="690">
        <f t="shared" si="23"/>
        <v>29710.912272846846</v>
      </c>
      <c r="Z79" s="960"/>
      <c r="AK79" s="60">
        <f t="shared" si="6"/>
        <v>0</v>
      </c>
      <c r="AL79" s="60">
        <f t="shared" si="7"/>
        <v>0</v>
      </c>
      <c r="AM79" s="60">
        <f t="shared" si="8"/>
        <v>0</v>
      </c>
    </row>
    <row r="80" spans="2:39" hidden="1">
      <c r="C80" s="1152"/>
      <c r="D80" s="594" t="s">
        <v>2714</v>
      </c>
      <c r="E80" s="595">
        <v>49258.943580096828</v>
      </c>
      <c r="F80" s="624">
        <v>9175.5774320387318</v>
      </c>
      <c r="G80" s="895"/>
      <c r="H80" s="897"/>
      <c r="I80" s="897"/>
      <c r="J80" s="896"/>
      <c r="K80" s="895">
        <v>4000</v>
      </c>
      <c r="L80" s="896"/>
      <c r="M80" s="895"/>
      <c r="N80" s="897"/>
      <c r="O80" s="896"/>
      <c r="P80" s="931">
        <f t="shared" si="22"/>
        <v>4000</v>
      </c>
      <c r="Q80" s="596">
        <f t="shared" si="19"/>
        <v>0.43593986641462362</v>
      </c>
      <c r="R80" s="728">
        <f t="shared" si="25"/>
        <v>0.56406013358537632</v>
      </c>
      <c r="S80" s="709">
        <f>P80*$AB$42</f>
        <v>1922.8311452855694</v>
      </c>
      <c r="T80" s="710">
        <f>P80*$AC$42</f>
        <v>2077.1688547144308</v>
      </c>
      <c r="U80" s="710">
        <f>P80*$AD$42</f>
        <v>1158.9398458272267</v>
      </c>
      <c r="V80" s="710">
        <f>P80*$AE$42</f>
        <v>2525.1033766747537</v>
      </c>
      <c r="W80" s="710">
        <f>P80*$AF$42</f>
        <v>315.95677749801916</v>
      </c>
      <c r="X80" s="710">
        <f>P80*$AG$42</f>
        <v>497.18081400251185</v>
      </c>
      <c r="Y80" s="690">
        <f t="shared" si="23"/>
        <v>5175.5774320387318</v>
      </c>
      <c r="Z80" s="960"/>
      <c r="AK80" s="60">
        <f t="shared" si="6"/>
        <v>4000</v>
      </c>
      <c r="AL80" s="60">
        <f t="shared" si="7"/>
        <v>0</v>
      </c>
      <c r="AM80" s="60">
        <f t="shared" si="8"/>
        <v>0</v>
      </c>
    </row>
    <row r="81" spans="3:39" s="948" customFormat="1" ht="23.5" hidden="1" customHeight="1">
      <c r="C81" s="1153"/>
      <c r="D81" s="603" t="s">
        <v>1488</v>
      </c>
      <c r="E81" s="604">
        <f t="shared" ref="E81:O81" si="26">SUM(E63:E80)</f>
        <v>5154066.0260693831</v>
      </c>
      <c r="F81" s="869">
        <f t="shared" si="26"/>
        <v>1629730.8076661306</v>
      </c>
      <c r="G81" s="900">
        <f t="shared" si="26"/>
        <v>168297.18497434334</v>
      </c>
      <c r="H81" s="901">
        <f t="shared" si="26"/>
        <v>79323</v>
      </c>
      <c r="I81" s="901">
        <f t="shared" si="26"/>
        <v>25779</v>
      </c>
      <c r="J81" s="902">
        <f t="shared" si="26"/>
        <v>0</v>
      </c>
      <c r="K81" s="900">
        <f t="shared" si="26"/>
        <v>49569</v>
      </c>
      <c r="L81" s="902">
        <f t="shared" si="26"/>
        <v>0</v>
      </c>
      <c r="M81" s="900">
        <f t="shared" si="26"/>
        <v>0</v>
      </c>
      <c r="N81" s="901">
        <f t="shared" si="26"/>
        <v>0</v>
      </c>
      <c r="O81" s="902">
        <f t="shared" si="26"/>
        <v>0</v>
      </c>
      <c r="P81" s="873">
        <f>SUM(P63:P80)</f>
        <v>322968.18497434334</v>
      </c>
      <c r="Q81" s="605">
        <f t="shared" si="19"/>
        <v>0.19817271874295153</v>
      </c>
      <c r="R81" s="729">
        <f>1-Q81</f>
        <v>0.8018272812570485</v>
      </c>
      <c r="S81" s="745">
        <f t="shared" ref="S81:Y81" si="27">SUM(S63:S80)</f>
        <v>156739.04660987217</v>
      </c>
      <c r="T81" s="606">
        <f t="shared" si="27"/>
        <v>166229.13836447118</v>
      </c>
      <c r="U81" s="606">
        <f t="shared" si="27"/>
        <v>119700.5094168572</v>
      </c>
      <c r="V81" s="606">
        <f t="shared" si="27"/>
        <v>178213.87458515429</v>
      </c>
      <c r="W81" s="606">
        <f t="shared" si="27"/>
        <v>25053.800972331905</v>
      </c>
      <c r="X81" s="606">
        <f t="shared" si="27"/>
        <v>48288.831570158451</v>
      </c>
      <c r="Y81" s="746">
        <f t="shared" si="27"/>
        <v>1306762.6226917871</v>
      </c>
      <c r="AK81" s="60">
        <f t="shared" si="6"/>
        <v>297189.18497434334</v>
      </c>
      <c r="AL81" s="60">
        <f t="shared" si="7"/>
        <v>25779</v>
      </c>
      <c r="AM81" s="60">
        <f t="shared" si="8"/>
        <v>0</v>
      </c>
    </row>
    <row r="82" spans="3:39" hidden="1">
      <c r="C82" s="1148" t="s">
        <v>2984</v>
      </c>
      <c r="D82" s="611" t="s">
        <v>2703</v>
      </c>
      <c r="E82" s="611"/>
      <c r="F82" s="612">
        <v>2687.0429798401483</v>
      </c>
      <c r="G82" s="908"/>
      <c r="H82" s="906"/>
      <c r="I82" s="906"/>
      <c r="J82" s="907"/>
      <c r="K82" s="908"/>
      <c r="L82" s="907"/>
      <c r="M82" s="903"/>
      <c r="N82" s="905"/>
      <c r="O82" s="904"/>
      <c r="P82" s="931">
        <f t="shared" ref="P82:P99" si="28">SUM(G82:O82)</f>
        <v>0</v>
      </c>
      <c r="Q82" s="613">
        <f t="shared" si="19"/>
        <v>0</v>
      </c>
      <c r="R82" s="730">
        <f>1-Q82</f>
        <v>1</v>
      </c>
      <c r="S82" s="747">
        <f>P82*$AB$25</f>
        <v>0</v>
      </c>
      <c r="T82" s="611">
        <f>P82*$AC$25</f>
        <v>0</v>
      </c>
      <c r="U82" s="611">
        <f>P82*$AD$25</f>
        <v>0</v>
      </c>
      <c r="V82" s="611">
        <f>P82*$AE$25</f>
        <v>0</v>
      </c>
      <c r="W82" s="611">
        <f>P82*$AF$25</f>
        <v>0</v>
      </c>
      <c r="X82" s="611">
        <f>P82*$AG$25</f>
        <v>0</v>
      </c>
      <c r="Y82" s="692">
        <f t="shared" ref="Y82:Y99" si="29">F82-P82</f>
        <v>2687.0429798401483</v>
      </c>
      <c r="Z82" s="960"/>
      <c r="AK82" s="60">
        <f t="shared" si="6"/>
        <v>0</v>
      </c>
      <c r="AL82" s="60">
        <f t="shared" si="7"/>
        <v>0</v>
      </c>
      <c r="AM82" s="60">
        <f t="shared" si="8"/>
        <v>0</v>
      </c>
    </row>
    <row r="83" spans="3:39" hidden="1">
      <c r="C83" s="1149"/>
      <c r="D83" s="611" t="s">
        <v>2704</v>
      </c>
      <c r="E83" s="611"/>
      <c r="F83" s="612">
        <v>121.03272281000488</v>
      </c>
      <c r="G83" s="908"/>
      <c r="H83" s="906"/>
      <c r="I83" s="906"/>
      <c r="J83" s="907"/>
      <c r="K83" s="908"/>
      <c r="L83" s="907"/>
      <c r="M83" s="903"/>
      <c r="N83" s="905"/>
      <c r="O83" s="904"/>
      <c r="P83" s="931">
        <f t="shared" si="28"/>
        <v>0</v>
      </c>
      <c r="Q83" s="613">
        <f t="shared" si="19"/>
        <v>0</v>
      </c>
      <c r="R83" s="730">
        <f t="shared" ref="R83:R95" si="30">1-Q83</f>
        <v>1</v>
      </c>
      <c r="S83" s="747">
        <f>P83*$AB$26</f>
        <v>0</v>
      </c>
      <c r="T83" s="611">
        <f>P83*$AC$26</f>
        <v>0</v>
      </c>
      <c r="U83" s="611">
        <f>P83*$AD$26</f>
        <v>0</v>
      </c>
      <c r="V83" s="611">
        <f>P83*$AE$26</f>
        <v>0</v>
      </c>
      <c r="W83" s="611">
        <f>P83*$AF$26</f>
        <v>0</v>
      </c>
      <c r="X83" s="611">
        <f>P83*$AG$26</f>
        <v>0</v>
      </c>
      <c r="Y83" s="692">
        <f t="shared" si="29"/>
        <v>121.03272281000488</v>
      </c>
      <c r="Z83" s="960"/>
      <c r="AK83" s="60">
        <f t="shared" si="6"/>
        <v>0</v>
      </c>
      <c r="AL83" s="60">
        <f t="shared" si="7"/>
        <v>0</v>
      </c>
      <c r="AM83" s="60">
        <f t="shared" si="8"/>
        <v>0</v>
      </c>
    </row>
    <row r="84" spans="3:39" hidden="1">
      <c r="C84" s="1149"/>
      <c r="D84" s="611" t="s">
        <v>2705</v>
      </c>
      <c r="E84" s="611"/>
      <c r="F84" s="612">
        <v>3733.7223083816752</v>
      </c>
      <c r="G84" s="908"/>
      <c r="H84" s="906"/>
      <c r="I84" s="906"/>
      <c r="J84" s="907"/>
      <c r="K84" s="908"/>
      <c r="L84" s="907"/>
      <c r="M84" s="903"/>
      <c r="N84" s="905"/>
      <c r="O84" s="904"/>
      <c r="P84" s="931">
        <f t="shared" si="28"/>
        <v>0</v>
      </c>
      <c r="Q84" s="613">
        <f t="shared" si="19"/>
        <v>0</v>
      </c>
      <c r="R84" s="730">
        <f t="shared" si="30"/>
        <v>1</v>
      </c>
      <c r="S84" s="747">
        <f>P84*$AB$27</f>
        <v>0</v>
      </c>
      <c r="T84" s="611">
        <f>P84*$AC$27</f>
        <v>0</v>
      </c>
      <c r="U84" s="611">
        <f>P84*$AD$27</f>
        <v>0</v>
      </c>
      <c r="V84" s="611">
        <f>P84*$AE$27</f>
        <v>0</v>
      </c>
      <c r="W84" s="611">
        <f>P84*$AF$27</f>
        <v>0</v>
      </c>
      <c r="X84" s="611">
        <f>P84*$AG$27</f>
        <v>0</v>
      </c>
      <c r="Y84" s="692">
        <f t="shared" si="29"/>
        <v>3733.7223083816752</v>
      </c>
      <c r="Z84" s="960"/>
      <c r="AK84" s="60">
        <f t="shared" si="6"/>
        <v>0</v>
      </c>
      <c r="AL84" s="60">
        <f t="shared" si="7"/>
        <v>0</v>
      </c>
      <c r="AM84" s="60">
        <f t="shared" si="8"/>
        <v>0</v>
      </c>
    </row>
    <row r="85" spans="3:39" hidden="1">
      <c r="C85" s="1149"/>
      <c r="D85" s="611" t="s">
        <v>2706</v>
      </c>
      <c r="E85" s="611"/>
      <c r="F85" s="612">
        <v>0</v>
      </c>
      <c r="G85" s="908"/>
      <c r="H85" s="906"/>
      <c r="I85" s="906"/>
      <c r="J85" s="907"/>
      <c r="K85" s="908"/>
      <c r="L85" s="907"/>
      <c r="M85" s="903"/>
      <c r="N85" s="905"/>
      <c r="O85" s="904"/>
      <c r="P85" s="931">
        <f t="shared" si="28"/>
        <v>0</v>
      </c>
      <c r="Q85" s="613" t="e">
        <f t="shared" si="19"/>
        <v>#DIV/0!</v>
      </c>
      <c r="R85" s="730" t="e">
        <f t="shared" si="30"/>
        <v>#DIV/0!</v>
      </c>
      <c r="S85" s="747">
        <f>P85*$AB$28</f>
        <v>0</v>
      </c>
      <c r="T85" s="611">
        <f>P85*$AC$28</f>
        <v>0</v>
      </c>
      <c r="U85" s="611">
        <f>P85*$AD$28</f>
        <v>0</v>
      </c>
      <c r="V85" s="611">
        <f>P85*$AE$28</f>
        <v>0</v>
      </c>
      <c r="W85" s="611">
        <f>P85*$AF$28</f>
        <v>0</v>
      </c>
      <c r="X85" s="611">
        <f>P85*$AG$28</f>
        <v>0</v>
      </c>
      <c r="Y85" s="692">
        <f t="shared" si="29"/>
        <v>0</v>
      </c>
      <c r="Z85" s="960"/>
      <c r="AK85" s="60">
        <f t="shared" si="6"/>
        <v>0</v>
      </c>
      <c r="AL85" s="60">
        <f t="shared" si="7"/>
        <v>0</v>
      </c>
      <c r="AM85" s="60">
        <f t="shared" si="8"/>
        <v>0</v>
      </c>
    </row>
    <row r="86" spans="3:39" hidden="1">
      <c r="C86" s="1149"/>
      <c r="D86" s="611" t="s">
        <v>613</v>
      </c>
      <c r="E86" s="611"/>
      <c r="F86" s="612">
        <v>8516.9083369622222</v>
      </c>
      <c r="G86" s="908"/>
      <c r="H86" s="906"/>
      <c r="I86" s="906"/>
      <c r="J86" s="907"/>
      <c r="K86" s="908"/>
      <c r="L86" s="907"/>
      <c r="M86" s="903"/>
      <c r="N86" s="905"/>
      <c r="O86" s="904"/>
      <c r="P86" s="931">
        <f t="shared" si="28"/>
        <v>0</v>
      </c>
      <c r="Q86" s="613">
        <f t="shared" si="19"/>
        <v>0</v>
      </c>
      <c r="R86" s="730">
        <f t="shared" si="30"/>
        <v>1</v>
      </c>
      <c r="S86" s="747">
        <f>P86*$AB$29</f>
        <v>0</v>
      </c>
      <c r="T86" s="611">
        <f>P86*$AC$29</f>
        <v>0</v>
      </c>
      <c r="U86" s="611">
        <f>P86*$AD$29</f>
        <v>0</v>
      </c>
      <c r="V86" s="611">
        <f>P86*$AE$29</f>
        <v>0</v>
      </c>
      <c r="W86" s="611">
        <f>P86*$AF$29</f>
        <v>0</v>
      </c>
      <c r="X86" s="611">
        <f>P86*$AG$29</f>
        <v>0</v>
      </c>
      <c r="Y86" s="692">
        <f t="shared" si="29"/>
        <v>8516.9083369622222</v>
      </c>
      <c r="Z86" s="960"/>
      <c r="AK86" s="60">
        <f t="shared" si="6"/>
        <v>0</v>
      </c>
      <c r="AL86" s="60">
        <f t="shared" si="7"/>
        <v>0</v>
      </c>
      <c r="AM86" s="60">
        <f t="shared" si="8"/>
        <v>0</v>
      </c>
    </row>
    <row r="87" spans="3:39">
      <c r="C87" s="1149"/>
      <c r="D87" s="611" t="s">
        <v>37</v>
      </c>
      <c r="E87" s="611"/>
      <c r="F87" s="612">
        <v>22030.431382724793</v>
      </c>
      <c r="G87" s="908">
        <f>F2</f>
        <v>26327.719999999998</v>
      </c>
      <c r="H87" s="906"/>
      <c r="I87" s="906"/>
      <c r="J87" s="907"/>
      <c r="K87" s="908"/>
      <c r="L87" s="907"/>
      <c r="M87" s="903"/>
      <c r="N87" s="905"/>
      <c r="O87" s="904"/>
      <c r="P87" s="931">
        <f t="shared" si="28"/>
        <v>26327.719999999998</v>
      </c>
      <c r="Q87" s="613">
        <f t="shared" si="19"/>
        <v>1.1950614830286497</v>
      </c>
      <c r="R87" s="730">
        <f t="shared" si="30"/>
        <v>-0.19506148302864967</v>
      </c>
      <c r="S87" s="747">
        <f>P87*$AB$30</f>
        <v>13423.107222029339</v>
      </c>
      <c r="T87" s="611">
        <f>P87*$AC$30</f>
        <v>12904.612777970658</v>
      </c>
      <c r="U87" s="611">
        <f>P87*$AD$30</f>
        <v>9480.5471623608082</v>
      </c>
      <c r="V87" s="611">
        <f>P87*$AE$30</f>
        <v>15399.248478556356</v>
      </c>
      <c r="W87" s="611">
        <f>P87*$AF$30</f>
        <v>1447.9243590828326</v>
      </c>
      <c r="X87" s="611">
        <f>P87*$AG$30</f>
        <v>2342.5777633281373</v>
      </c>
      <c r="Y87" s="692">
        <f t="shared" si="29"/>
        <v>-4297.2886172752042</v>
      </c>
      <c r="Z87" s="960"/>
      <c r="AK87" s="60">
        <f t="shared" si="6"/>
        <v>26327.719999999998</v>
      </c>
      <c r="AL87" s="60">
        <f t="shared" si="7"/>
        <v>0</v>
      </c>
      <c r="AM87" s="60">
        <f t="shared" si="8"/>
        <v>0</v>
      </c>
    </row>
    <row r="88" spans="3:39" hidden="1">
      <c r="C88" s="1149"/>
      <c r="D88" s="611" t="s">
        <v>2707</v>
      </c>
      <c r="E88" s="611"/>
      <c r="F88" s="612">
        <v>7049.513468627033</v>
      </c>
      <c r="G88" s="908"/>
      <c r="H88" s="906"/>
      <c r="I88" s="906"/>
      <c r="J88" s="907"/>
      <c r="K88" s="908"/>
      <c r="L88" s="907"/>
      <c r="M88" s="903"/>
      <c r="N88" s="905"/>
      <c r="O88" s="904"/>
      <c r="P88" s="931">
        <f t="shared" si="28"/>
        <v>0</v>
      </c>
      <c r="Q88" s="613">
        <f t="shared" si="19"/>
        <v>0</v>
      </c>
      <c r="R88" s="730">
        <f t="shared" si="30"/>
        <v>1</v>
      </c>
      <c r="S88" s="747">
        <f>P88*$AB$31</f>
        <v>0</v>
      </c>
      <c r="T88" s="611">
        <f>P88*$AC$31</f>
        <v>0</v>
      </c>
      <c r="U88" s="611">
        <f>P88*$AD$31</f>
        <v>0</v>
      </c>
      <c r="V88" s="611">
        <f>P88*$AE$31</f>
        <v>0</v>
      </c>
      <c r="W88" s="611">
        <f>P88*$AF$31</f>
        <v>0</v>
      </c>
      <c r="X88" s="611">
        <f>P88*$AG$31</f>
        <v>0</v>
      </c>
      <c r="Y88" s="692">
        <f t="shared" si="29"/>
        <v>7049.513468627033</v>
      </c>
      <c r="Z88" s="960"/>
      <c r="AK88" s="60">
        <f t="shared" si="6"/>
        <v>0</v>
      </c>
      <c r="AL88" s="60">
        <f t="shared" si="7"/>
        <v>0</v>
      </c>
      <c r="AM88" s="60">
        <f t="shared" si="8"/>
        <v>0</v>
      </c>
    </row>
    <row r="89" spans="3:39" hidden="1">
      <c r="C89" s="1149"/>
      <c r="D89" s="611" t="s">
        <v>2347</v>
      </c>
      <c r="E89" s="611"/>
      <c r="F89" s="612">
        <v>6367.5952269109766</v>
      </c>
      <c r="G89" s="908"/>
      <c r="H89" s="906"/>
      <c r="I89" s="906"/>
      <c r="J89" s="907"/>
      <c r="K89" s="908"/>
      <c r="L89" s="907"/>
      <c r="M89" s="903"/>
      <c r="N89" s="905"/>
      <c r="O89" s="904"/>
      <c r="P89" s="931">
        <f t="shared" si="28"/>
        <v>0</v>
      </c>
      <c r="Q89" s="613">
        <f t="shared" ref="Q89:Q126" si="31">P89/F89</f>
        <v>0</v>
      </c>
      <c r="R89" s="730">
        <f t="shared" si="30"/>
        <v>1</v>
      </c>
      <c r="S89" s="747">
        <f>P89*$AB$32</f>
        <v>0</v>
      </c>
      <c r="T89" s="611">
        <f>P89*$AC$32</f>
        <v>0</v>
      </c>
      <c r="U89" s="611">
        <f>P89*$AD$32</f>
        <v>0</v>
      </c>
      <c r="V89" s="611">
        <f>P89*$AE$32</f>
        <v>0</v>
      </c>
      <c r="W89" s="611">
        <f>P89*$AF$32</f>
        <v>0</v>
      </c>
      <c r="X89" s="611">
        <f>P89*$AG$32</f>
        <v>0</v>
      </c>
      <c r="Y89" s="692">
        <f t="shared" si="29"/>
        <v>6367.5952269109766</v>
      </c>
      <c r="Z89" s="960"/>
      <c r="AK89" s="60">
        <f t="shared" si="6"/>
        <v>0</v>
      </c>
      <c r="AL89" s="60">
        <f t="shared" si="7"/>
        <v>0</v>
      </c>
      <c r="AM89" s="60">
        <f t="shared" si="8"/>
        <v>0</v>
      </c>
    </row>
    <row r="90" spans="3:39" hidden="1">
      <c r="C90" s="1149"/>
      <c r="D90" s="611" t="s">
        <v>2708</v>
      </c>
      <c r="E90" s="611"/>
      <c r="F90" s="612">
        <v>10575.420582273773</v>
      </c>
      <c r="G90" s="908"/>
      <c r="H90" s="906"/>
      <c r="I90" s="906"/>
      <c r="J90" s="907"/>
      <c r="K90" s="908"/>
      <c r="L90" s="907"/>
      <c r="M90" s="903"/>
      <c r="N90" s="905"/>
      <c r="O90" s="904"/>
      <c r="P90" s="931">
        <f t="shared" si="28"/>
        <v>0</v>
      </c>
      <c r="Q90" s="613">
        <f t="shared" si="31"/>
        <v>0</v>
      </c>
      <c r="R90" s="730">
        <f t="shared" si="30"/>
        <v>1</v>
      </c>
      <c r="S90" s="747">
        <f>P90*$AB$33</f>
        <v>0</v>
      </c>
      <c r="T90" s="611">
        <f>P90*$AC$33</f>
        <v>0</v>
      </c>
      <c r="U90" s="611">
        <f>P90*$AD$33</f>
        <v>0</v>
      </c>
      <c r="V90" s="611">
        <f>P90*$AE$33</f>
        <v>0</v>
      </c>
      <c r="W90" s="611">
        <f>P90*$AF$33</f>
        <v>0</v>
      </c>
      <c r="X90" s="611">
        <f>P90*$AG$33</f>
        <v>0</v>
      </c>
      <c r="Y90" s="692">
        <f t="shared" si="29"/>
        <v>10575.420582273773</v>
      </c>
      <c r="Z90" s="960"/>
      <c r="AK90" s="60">
        <f t="shared" ref="AK90:AK165" si="32">G90+H90+K90+M90</f>
        <v>0</v>
      </c>
      <c r="AL90" s="60">
        <f t="shared" ref="AL90:AL165" si="33">I90+J90+L90+N90+O90</f>
        <v>0</v>
      </c>
      <c r="AM90" s="60">
        <f t="shared" ref="AM90:AM165" si="34">(AK90+AL90)-P90</f>
        <v>0</v>
      </c>
    </row>
    <row r="91" spans="3:39" hidden="1">
      <c r="C91" s="1149"/>
      <c r="D91" s="611" t="s">
        <v>2709</v>
      </c>
      <c r="E91" s="611"/>
      <c r="F91" s="612">
        <v>0</v>
      </c>
      <c r="G91" s="908"/>
      <c r="H91" s="906"/>
      <c r="I91" s="906"/>
      <c r="J91" s="907"/>
      <c r="K91" s="908"/>
      <c r="L91" s="907"/>
      <c r="M91" s="903"/>
      <c r="N91" s="905"/>
      <c r="O91" s="904"/>
      <c r="P91" s="931">
        <f t="shared" si="28"/>
        <v>0</v>
      </c>
      <c r="Q91" s="613" t="e">
        <f t="shared" si="31"/>
        <v>#DIV/0!</v>
      </c>
      <c r="R91" s="730" t="e">
        <f t="shared" si="30"/>
        <v>#DIV/0!</v>
      </c>
      <c r="S91" s="747">
        <f>P91*$AB$34</f>
        <v>0</v>
      </c>
      <c r="T91" s="611">
        <f>P91*$AC$34</f>
        <v>0</v>
      </c>
      <c r="U91" s="611">
        <f>P91*$AD$34</f>
        <v>0</v>
      </c>
      <c r="V91" s="611">
        <f>P91*$AE$34</f>
        <v>0</v>
      </c>
      <c r="W91" s="611">
        <f>P91*$AF$34</f>
        <v>0</v>
      </c>
      <c r="X91" s="611">
        <f>P91*$AG$34</f>
        <v>0</v>
      </c>
      <c r="Y91" s="692">
        <f t="shared" si="29"/>
        <v>0</v>
      </c>
      <c r="Z91" s="960"/>
      <c r="AK91" s="60">
        <f t="shared" si="32"/>
        <v>0</v>
      </c>
      <c r="AL91" s="60">
        <f t="shared" si="33"/>
        <v>0</v>
      </c>
      <c r="AM91" s="60">
        <f t="shared" si="34"/>
        <v>0</v>
      </c>
    </row>
    <row r="92" spans="3:39" hidden="1">
      <c r="C92" s="1149"/>
      <c r="D92" s="611" t="s">
        <v>2710</v>
      </c>
      <c r="E92" s="611"/>
      <c r="F92" s="612">
        <v>0</v>
      </c>
      <c r="G92" s="908"/>
      <c r="H92" s="906"/>
      <c r="I92" s="906"/>
      <c r="J92" s="907"/>
      <c r="K92" s="908"/>
      <c r="L92" s="907"/>
      <c r="M92" s="903"/>
      <c r="N92" s="905"/>
      <c r="O92" s="904"/>
      <c r="P92" s="931">
        <f t="shared" si="28"/>
        <v>0</v>
      </c>
      <c r="Q92" s="613" t="e">
        <f t="shared" si="31"/>
        <v>#DIV/0!</v>
      </c>
      <c r="R92" s="730" t="e">
        <f t="shared" si="30"/>
        <v>#DIV/0!</v>
      </c>
      <c r="S92" s="747">
        <f>P92*$AB$35</f>
        <v>0</v>
      </c>
      <c r="T92" s="611">
        <f>P92*$AC$35</f>
        <v>0</v>
      </c>
      <c r="U92" s="611">
        <f>P92*$AD$35</f>
        <v>0</v>
      </c>
      <c r="V92" s="611">
        <f>P92*$AE$35</f>
        <v>0</v>
      </c>
      <c r="W92" s="611">
        <f>P92*$AF$35</f>
        <v>0</v>
      </c>
      <c r="X92" s="611">
        <f>P92*$AG$35</f>
        <v>0</v>
      </c>
      <c r="Y92" s="692">
        <f t="shared" si="29"/>
        <v>0</v>
      </c>
      <c r="Z92" s="960"/>
      <c r="AK92" s="60">
        <f t="shared" si="32"/>
        <v>0</v>
      </c>
      <c r="AL92" s="60">
        <f t="shared" si="33"/>
        <v>0</v>
      </c>
      <c r="AM92" s="60">
        <f t="shared" si="34"/>
        <v>0</v>
      </c>
    </row>
    <row r="93" spans="3:39" hidden="1">
      <c r="C93" s="1149"/>
      <c r="D93" s="611" t="s">
        <v>304</v>
      </c>
      <c r="E93" s="611"/>
      <c r="F93" s="612">
        <v>119002.4686490505</v>
      </c>
      <c r="G93" s="908">
        <v>2543</v>
      </c>
      <c r="H93" s="952"/>
      <c r="I93" s="906">
        <v>19127.18</v>
      </c>
      <c r="J93" s="907"/>
      <c r="K93" s="908"/>
      <c r="L93" s="907"/>
      <c r="M93" s="903"/>
      <c r="N93" s="905"/>
      <c r="O93" s="904"/>
      <c r="P93" s="931">
        <f t="shared" si="28"/>
        <v>21670.18</v>
      </c>
      <c r="Q93" s="613">
        <f t="shared" si="31"/>
        <v>0.18209857531533571</v>
      </c>
      <c r="R93" s="730">
        <f t="shared" si="30"/>
        <v>0.81790142468466431</v>
      </c>
      <c r="S93" s="747">
        <f>P93*$AB$36</f>
        <v>10270.607566588944</v>
      </c>
      <c r="T93" s="611">
        <f>P93*$AC$36</f>
        <v>11399.572433411056</v>
      </c>
      <c r="U93" s="611">
        <f>P93*$AD$36</f>
        <v>7954.5340399093384</v>
      </c>
      <c r="V93" s="611">
        <f>P93*$AE$36</f>
        <v>11809.547910198511</v>
      </c>
      <c r="W93" s="611">
        <f>P93*$AF$36</f>
        <v>1906.0980498921535</v>
      </c>
      <c r="X93" s="611">
        <f>P93*$AG$36</f>
        <v>3758.8614787506044</v>
      </c>
      <c r="Y93" s="692">
        <f t="shared" si="29"/>
        <v>97332.28864905049</v>
      </c>
      <c r="Z93" s="960"/>
      <c r="AK93" s="60">
        <f t="shared" si="32"/>
        <v>2543</v>
      </c>
      <c r="AL93" s="60">
        <f t="shared" si="33"/>
        <v>19127.18</v>
      </c>
      <c r="AM93" s="60">
        <f t="shared" si="34"/>
        <v>0</v>
      </c>
    </row>
    <row r="94" spans="3:39" hidden="1">
      <c r="C94" s="1149"/>
      <c r="D94" s="611" t="s">
        <v>2711</v>
      </c>
      <c r="E94" s="611"/>
      <c r="F94" s="612">
        <v>31591.949800117298</v>
      </c>
      <c r="G94" s="908"/>
      <c r="H94" s="906"/>
      <c r="I94" s="906"/>
      <c r="J94" s="907"/>
      <c r="K94" s="908"/>
      <c r="L94" s="907"/>
      <c r="M94" s="903"/>
      <c r="N94" s="905"/>
      <c r="O94" s="904"/>
      <c r="P94" s="931">
        <f t="shared" si="28"/>
        <v>0</v>
      </c>
      <c r="Q94" s="613">
        <f t="shared" si="31"/>
        <v>0</v>
      </c>
      <c r="R94" s="730">
        <f t="shared" si="30"/>
        <v>1</v>
      </c>
      <c r="S94" s="747">
        <f>P94*$AB$37</f>
        <v>0</v>
      </c>
      <c r="T94" s="611">
        <f>P94*$AC$37</f>
        <v>0</v>
      </c>
      <c r="U94" s="611">
        <f>P94*$AD$37</f>
        <v>0</v>
      </c>
      <c r="V94" s="611">
        <f>P94*$AE$37</f>
        <v>0</v>
      </c>
      <c r="W94" s="611">
        <f>P94*$AF$37</f>
        <v>0</v>
      </c>
      <c r="X94" s="611">
        <f>P94*$AG$37</f>
        <v>0</v>
      </c>
      <c r="Y94" s="692">
        <f t="shared" si="29"/>
        <v>31591.949800117298</v>
      </c>
      <c r="Z94" s="960"/>
      <c r="AK94" s="60">
        <f t="shared" si="32"/>
        <v>0</v>
      </c>
      <c r="AL94" s="60">
        <f t="shared" si="33"/>
        <v>0</v>
      </c>
      <c r="AM94" s="60">
        <f t="shared" si="34"/>
        <v>0</v>
      </c>
    </row>
    <row r="95" spans="3:39" hidden="1">
      <c r="C95" s="1149"/>
      <c r="D95" s="611" t="s">
        <v>2712</v>
      </c>
      <c r="E95" s="611"/>
      <c r="F95" s="612">
        <v>0</v>
      </c>
      <c r="G95" s="908"/>
      <c r="H95" s="906"/>
      <c r="I95" s="906"/>
      <c r="J95" s="907"/>
      <c r="K95" s="908"/>
      <c r="L95" s="907"/>
      <c r="M95" s="903"/>
      <c r="N95" s="905"/>
      <c r="O95" s="904"/>
      <c r="P95" s="931">
        <f t="shared" si="28"/>
        <v>0</v>
      </c>
      <c r="Q95" s="613" t="e">
        <f t="shared" si="31"/>
        <v>#DIV/0!</v>
      </c>
      <c r="R95" s="730" t="e">
        <f t="shared" si="30"/>
        <v>#DIV/0!</v>
      </c>
      <c r="S95" s="747">
        <f>P95*$AB$38</f>
        <v>0</v>
      </c>
      <c r="T95" s="611">
        <f>P95*$AC$38</f>
        <v>0</v>
      </c>
      <c r="U95" s="611">
        <f>P95*$AD$38</f>
        <v>0</v>
      </c>
      <c r="V95" s="611">
        <f>P95*$AE$38</f>
        <v>0</v>
      </c>
      <c r="W95" s="611">
        <f>P95*$AF$38</f>
        <v>0</v>
      </c>
      <c r="X95" s="611">
        <f>P95*$AG$38</f>
        <v>0</v>
      </c>
      <c r="Y95" s="692">
        <f t="shared" si="29"/>
        <v>0</v>
      </c>
      <c r="Z95" s="960"/>
      <c r="AK95" s="60">
        <f t="shared" si="32"/>
        <v>0</v>
      </c>
      <c r="AL95" s="60">
        <f t="shared" si="33"/>
        <v>0</v>
      </c>
      <c r="AM95" s="60">
        <f t="shared" si="34"/>
        <v>0</v>
      </c>
    </row>
    <row r="96" spans="3:39" hidden="1">
      <c r="C96" s="1149"/>
      <c r="D96" s="611" t="s">
        <v>515</v>
      </c>
      <c r="E96" s="611"/>
      <c r="F96" s="612">
        <v>5426.6278725171751</v>
      </c>
      <c r="G96" s="908">
        <f>F3</f>
        <v>0</v>
      </c>
      <c r="H96" s="906"/>
      <c r="I96" s="906"/>
      <c r="J96" s="907"/>
      <c r="K96" s="908"/>
      <c r="L96" s="907"/>
      <c r="M96" s="908"/>
      <c r="N96" s="906"/>
      <c r="O96" s="907"/>
      <c r="P96" s="931">
        <f t="shared" si="28"/>
        <v>0</v>
      </c>
      <c r="Q96" s="613">
        <f t="shared" si="31"/>
        <v>0</v>
      </c>
      <c r="R96" s="730">
        <f t="shared" ref="R96:R118" si="35">1-Q96</f>
        <v>1</v>
      </c>
      <c r="S96" s="747">
        <f>P96*$AB$39</f>
        <v>0</v>
      </c>
      <c r="T96" s="611">
        <f>P96*$AC$39</f>
        <v>0</v>
      </c>
      <c r="U96" s="611">
        <f>P96*$AD$39</f>
        <v>0</v>
      </c>
      <c r="V96" s="611">
        <f>P96*$AE$39</f>
        <v>0</v>
      </c>
      <c r="W96" s="611">
        <f>P96*$AF$39</f>
        <v>0</v>
      </c>
      <c r="X96" s="611">
        <f>P96*$AG$39</f>
        <v>0</v>
      </c>
      <c r="Y96" s="692">
        <f t="shared" si="29"/>
        <v>5426.6278725171751</v>
      </c>
      <c r="Z96" s="960"/>
      <c r="AK96" s="60">
        <f t="shared" si="32"/>
        <v>0</v>
      </c>
      <c r="AL96" s="60">
        <f t="shared" si="33"/>
        <v>0</v>
      </c>
      <c r="AM96" s="60">
        <f t="shared" si="34"/>
        <v>0</v>
      </c>
    </row>
    <row r="97" spans="3:39" hidden="1">
      <c r="C97" s="1149"/>
      <c r="D97" s="611" t="s">
        <v>2653</v>
      </c>
      <c r="E97" s="611"/>
      <c r="F97" s="612">
        <v>8527.9650678466642</v>
      </c>
      <c r="G97" s="908"/>
      <c r="H97" s="906"/>
      <c r="I97" s="906"/>
      <c r="J97" s="907"/>
      <c r="K97" s="908"/>
      <c r="L97" s="907"/>
      <c r="M97" s="908"/>
      <c r="N97" s="906"/>
      <c r="O97" s="907"/>
      <c r="P97" s="931">
        <f t="shared" si="28"/>
        <v>0</v>
      </c>
      <c r="Q97" s="613">
        <f t="shared" si="31"/>
        <v>0</v>
      </c>
      <c r="R97" s="730">
        <f t="shared" si="35"/>
        <v>1</v>
      </c>
      <c r="S97" s="747">
        <f>P97*$AB$40</f>
        <v>0</v>
      </c>
      <c r="T97" s="611">
        <f>P97*$AC$40</f>
        <v>0</v>
      </c>
      <c r="U97" s="611">
        <f>P97*$AD$40</f>
        <v>0</v>
      </c>
      <c r="V97" s="611">
        <f>P97*$AE$40</f>
        <v>0</v>
      </c>
      <c r="W97" s="611">
        <f>P97*$AF$40</f>
        <v>0</v>
      </c>
      <c r="X97" s="611">
        <f>P97*$AG$40</f>
        <v>0</v>
      </c>
      <c r="Y97" s="692">
        <f t="shared" si="29"/>
        <v>8527.9650678466642</v>
      </c>
      <c r="Z97" s="960"/>
      <c r="AK97" s="60">
        <f t="shared" si="32"/>
        <v>0</v>
      </c>
      <c r="AL97" s="60">
        <f t="shared" si="33"/>
        <v>0</v>
      </c>
      <c r="AM97" s="60">
        <f t="shared" si="34"/>
        <v>0</v>
      </c>
    </row>
    <row r="98" spans="3:39" hidden="1">
      <c r="C98" s="1149"/>
      <c r="D98" s="611" t="s">
        <v>2713</v>
      </c>
      <c r="E98" s="611"/>
      <c r="F98" s="612">
        <v>2473.9706136423424</v>
      </c>
      <c r="G98" s="908"/>
      <c r="H98" s="906"/>
      <c r="I98" s="906"/>
      <c r="J98" s="907"/>
      <c r="K98" s="908"/>
      <c r="L98" s="907"/>
      <c r="M98" s="908"/>
      <c r="N98" s="906"/>
      <c r="O98" s="907"/>
      <c r="P98" s="931">
        <f t="shared" si="28"/>
        <v>0</v>
      </c>
      <c r="Q98" s="613">
        <f t="shared" si="31"/>
        <v>0</v>
      </c>
      <c r="R98" s="730">
        <f t="shared" si="35"/>
        <v>1</v>
      </c>
      <c r="S98" s="747">
        <f>P98*$AB$41</f>
        <v>0</v>
      </c>
      <c r="T98" s="611">
        <f>P98*$AC$41</f>
        <v>0</v>
      </c>
      <c r="U98" s="611">
        <f>P98*$AD$41</f>
        <v>0</v>
      </c>
      <c r="V98" s="611">
        <f>P98*$AE$41</f>
        <v>0</v>
      </c>
      <c r="W98" s="611">
        <f>P98*$AF$41</f>
        <v>0</v>
      </c>
      <c r="X98" s="611">
        <f>P98*$AG$41</f>
        <v>0</v>
      </c>
      <c r="Y98" s="692">
        <f t="shared" si="29"/>
        <v>2473.9706136423424</v>
      </c>
      <c r="Z98" s="960"/>
      <c r="AK98" s="60">
        <f t="shared" si="32"/>
        <v>0</v>
      </c>
      <c r="AL98" s="60">
        <f t="shared" si="33"/>
        <v>0</v>
      </c>
      <c r="AM98" s="60">
        <f t="shared" si="34"/>
        <v>0</v>
      </c>
    </row>
    <row r="99" spans="3:39" hidden="1">
      <c r="C99" s="1149"/>
      <c r="D99" s="611" t="s">
        <v>2714</v>
      </c>
      <c r="E99" s="611"/>
      <c r="F99" s="612">
        <v>458.77887160193654</v>
      </c>
      <c r="G99" s="908"/>
      <c r="H99" s="906"/>
      <c r="I99" s="906"/>
      <c r="J99" s="907"/>
      <c r="K99" s="908"/>
      <c r="L99" s="907"/>
      <c r="M99" s="908"/>
      <c r="N99" s="906"/>
      <c r="O99" s="907"/>
      <c r="P99" s="931">
        <f t="shared" si="28"/>
        <v>0</v>
      </c>
      <c r="Q99" s="613">
        <f t="shared" si="31"/>
        <v>0</v>
      </c>
      <c r="R99" s="730">
        <f t="shared" si="35"/>
        <v>1</v>
      </c>
      <c r="S99" s="747">
        <f>P99*$AB$42</f>
        <v>0</v>
      </c>
      <c r="T99" s="611">
        <f>P99*$AC$42</f>
        <v>0</v>
      </c>
      <c r="U99" s="611">
        <f>P99*$AD$42</f>
        <v>0</v>
      </c>
      <c r="V99" s="611">
        <f>P99*$AE$42</f>
        <v>0</v>
      </c>
      <c r="W99" s="611">
        <f>P99*$AF$42</f>
        <v>0</v>
      </c>
      <c r="X99" s="611">
        <f>P99*$AG$42</f>
        <v>0</v>
      </c>
      <c r="Y99" s="692">
        <f t="shared" si="29"/>
        <v>458.77887160193654</v>
      </c>
      <c r="Z99" s="960"/>
      <c r="AK99" s="60">
        <f t="shared" si="32"/>
        <v>0</v>
      </c>
      <c r="AL99" s="60">
        <f t="shared" si="33"/>
        <v>0</v>
      </c>
      <c r="AM99" s="60">
        <f t="shared" si="34"/>
        <v>0</v>
      </c>
    </row>
    <row r="100" spans="3:39" s="584" customFormat="1" hidden="1">
      <c r="C100" s="1150"/>
      <c r="D100" s="607" t="s">
        <v>1488</v>
      </c>
      <c r="E100" s="607">
        <f>SUM(E82:E99)</f>
        <v>0</v>
      </c>
      <c r="F100" s="625">
        <f t="shared" ref="F100:O100" si="36">SUM(F82:F99)</f>
        <v>228563.42788330655</v>
      </c>
      <c r="G100" s="909">
        <f>SUM(G82:G99)</f>
        <v>28870.719999999998</v>
      </c>
      <c r="H100" s="910">
        <f t="shared" si="36"/>
        <v>0</v>
      </c>
      <c r="I100" s="910">
        <f t="shared" si="36"/>
        <v>19127.18</v>
      </c>
      <c r="J100" s="911">
        <f t="shared" si="36"/>
        <v>0</v>
      </c>
      <c r="K100" s="909">
        <f t="shared" si="36"/>
        <v>0</v>
      </c>
      <c r="L100" s="911">
        <f t="shared" si="36"/>
        <v>0</v>
      </c>
      <c r="M100" s="909"/>
      <c r="N100" s="910">
        <f t="shared" si="36"/>
        <v>0</v>
      </c>
      <c r="O100" s="911">
        <f t="shared" si="36"/>
        <v>0</v>
      </c>
      <c r="P100" s="932">
        <f>SUM(P82:P99)</f>
        <v>47997.899999999994</v>
      </c>
      <c r="Q100" s="608">
        <f t="shared" si="31"/>
        <v>0.20999816306791394</v>
      </c>
      <c r="R100" s="731">
        <f t="shared" si="35"/>
        <v>0.79000183693208603</v>
      </c>
      <c r="S100" s="748">
        <f t="shared" ref="S100:Y100" si="37">SUM(S82:S99)</f>
        <v>23693.714788618283</v>
      </c>
      <c r="T100" s="609">
        <f t="shared" si="37"/>
        <v>24304.185211381715</v>
      </c>
      <c r="U100" s="609">
        <f t="shared" si="37"/>
        <v>17435.081202270147</v>
      </c>
      <c r="V100" s="609">
        <f t="shared" si="37"/>
        <v>27208.796388754869</v>
      </c>
      <c r="W100" s="609">
        <f t="shared" si="37"/>
        <v>3354.0224089749863</v>
      </c>
      <c r="X100" s="609">
        <f t="shared" si="37"/>
        <v>6101.4392420787417</v>
      </c>
      <c r="Y100" s="749">
        <f t="shared" si="37"/>
        <v>180565.52788330655</v>
      </c>
      <c r="AK100" s="60">
        <f t="shared" si="32"/>
        <v>28870.719999999998</v>
      </c>
      <c r="AL100" s="60">
        <f t="shared" si="33"/>
        <v>19127.18</v>
      </c>
      <c r="AM100" s="60">
        <f t="shared" si="34"/>
        <v>0</v>
      </c>
    </row>
    <row r="101" spans="3:39" hidden="1">
      <c r="C101" s="1144" t="s">
        <v>2985</v>
      </c>
      <c r="D101" s="610" t="s">
        <v>2703</v>
      </c>
      <c r="E101" s="571">
        <v>7776.7758588810366</v>
      </c>
      <c r="F101" s="572">
        <v>1765.204</v>
      </c>
      <c r="G101" s="912"/>
      <c r="H101" s="914"/>
      <c r="I101" s="914"/>
      <c r="J101" s="913"/>
      <c r="K101" s="912"/>
      <c r="L101" s="913"/>
      <c r="M101" s="912"/>
      <c r="N101" s="914"/>
      <c r="O101" s="913"/>
      <c r="P101" s="931">
        <f t="shared" ref="P101:P118" si="38">SUM(G101:O101)</f>
        <v>0</v>
      </c>
      <c r="Q101" s="573">
        <f t="shared" si="31"/>
        <v>0</v>
      </c>
      <c r="R101" s="732">
        <f t="shared" si="35"/>
        <v>1</v>
      </c>
      <c r="S101" s="959">
        <f>P101*$AB$25</f>
        <v>0</v>
      </c>
      <c r="T101" s="571">
        <f>P101*$AC$25</f>
        <v>0</v>
      </c>
      <c r="U101" s="571">
        <f>P101*$AD$25</f>
        <v>0</v>
      </c>
      <c r="V101" s="571">
        <f>P101*$AE$25</f>
        <v>0</v>
      </c>
      <c r="W101" s="571">
        <f>P101*$AF$25</f>
        <v>0</v>
      </c>
      <c r="X101" s="571">
        <f>P101*$AG$25</f>
        <v>0</v>
      </c>
      <c r="Y101" s="750">
        <f t="shared" ref="Y101:Y111" si="39">F101-P101</f>
        <v>1765.204</v>
      </c>
      <c r="AK101" s="60">
        <f t="shared" si="32"/>
        <v>0</v>
      </c>
      <c r="AL101" s="60">
        <f t="shared" si="33"/>
        <v>0</v>
      </c>
      <c r="AM101" s="60">
        <f t="shared" si="34"/>
        <v>0</v>
      </c>
    </row>
    <row r="102" spans="3:39" hidden="1">
      <c r="C102" s="1144"/>
      <c r="D102" s="610" t="s">
        <v>2704</v>
      </c>
      <c r="E102" s="571">
        <v>481.72726491750859</v>
      </c>
      <c r="F102" s="572">
        <v>0</v>
      </c>
      <c r="G102" s="912"/>
      <c r="H102" s="914"/>
      <c r="I102" s="914"/>
      <c r="J102" s="913"/>
      <c r="K102" s="912"/>
      <c r="L102" s="913"/>
      <c r="M102" s="912"/>
      <c r="N102" s="914"/>
      <c r="O102" s="913"/>
      <c r="P102" s="931">
        <f t="shared" si="38"/>
        <v>0</v>
      </c>
      <c r="Q102" s="573" t="e">
        <f t="shared" si="31"/>
        <v>#DIV/0!</v>
      </c>
      <c r="R102" s="732" t="e">
        <f t="shared" si="35"/>
        <v>#DIV/0!</v>
      </c>
      <c r="S102" s="959">
        <f>P102*$AB$26</f>
        <v>0</v>
      </c>
      <c r="T102" s="571">
        <f>P102*$AC$26</f>
        <v>0</v>
      </c>
      <c r="U102" s="571">
        <f>P102*$AD$26</f>
        <v>0</v>
      </c>
      <c r="V102" s="571">
        <f>P102*$AE$26</f>
        <v>0</v>
      </c>
      <c r="W102" s="571">
        <f>P102*$AF$26</f>
        <v>0</v>
      </c>
      <c r="X102" s="571">
        <f>P102*$AG$26</f>
        <v>0</v>
      </c>
      <c r="Y102" s="750">
        <f t="shared" si="39"/>
        <v>0</v>
      </c>
      <c r="AK102" s="60">
        <f t="shared" si="32"/>
        <v>0</v>
      </c>
      <c r="AL102" s="60">
        <f t="shared" si="33"/>
        <v>0</v>
      </c>
      <c r="AM102" s="60">
        <f t="shared" si="34"/>
        <v>0</v>
      </c>
    </row>
    <row r="103" spans="3:39" hidden="1">
      <c r="C103" s="1144"/>
      <c r="D103" s="610" t="s">
        <v>2705</v>
      </c>
      <c r="E103" s="571">
        <v>11938.306158671729</v>
      </c>
      <c r="F103" s="572">
        <v>2323.5360000000001</v>
      </c>
      <c r="G103" s="912"/>
      <c r="H103" s="914"/>
      <c r="I103" s="914"/>
      <c r="J103" s="913"/>
      <c r="K103" s="912"/>
      <c r="L103" s="913"/>
      <c r="M103" s="912"/>
      <c r="N103" s="914"/>
      <c r="O103" s="913"/>
      <c r="P103" s="931">
        <f t="shared" si="38"/>
        <v>0</v>
      </c>
      <c r="Q103" s="573">
        <f t="shared" si="31"/>
        <v>0</v>
      </c>
      <c r="R103" s="732">
        <f t="shared" si="35"/>
        <v>1</v>
      </c>
      <c r="S103" s="959">
        <f>P103*$AB$27</f>
        <v>0</v>
      </c>
      <c r="T103" s="571">
        <f>P103*$AC$27</f>
        <v>0</v>
      </c>
      <c r="U103" s="571">
        <f>P103*$AD$27</f>
        <v>0</v>
      </c>
      <c r="V103" s="571">
        <f>P103*$AE$27</f>
        <v>0</v>
      </c>
      <c r="W103" s="571">
        <f>P103*$AF$27</f>
        <v>0</v>
      </c>
      <c r="X103" s="571">
        <f>P103*$AG$27</f>
        <v>0</v>
      </c>
      <c r="Y103" s="750">
        <f t="shared" si="39"/>
        <v>2323.5360000000001</v>
      </c>
      <c r="AK103" s="60">
        <f t="shared" si="32"/>
        <v>0</v>
      </c>
      <c r="AL103" s="60">
        <f t="shared" si="33"/>
        <v>0</v>
      </c>
      <c r="AM103" s="60">
        <f t="shared" si="34"/>
        <v>0</v>
      </c>
    </row>
    <row r="104" spans="3:39" hidden="1">
      <c r="C104" s="1144"/>
      <c r="D104" s="610" t="s">
        <v>2706</v>
      </c>
      <c r="E104" s="571">
        <v>0</v>
      </c>
      <c r="F104" s="572">
        <v>0</v>
      </c>
      <c r="G104" s="912"/>
      <c r="H104" s="914"/>
      <c r="I104" s="914"/>
      <c r="J104" s="913"/>
      <c r="K104" s="912"/>
      <c r="L104" s="913"/>
      <c r="M104" s="912"/>
      <c r="N104" s="914"/>
      <c r="O104" s="913"/>
      <c r="P104" s="931">
        <f t="shared" si="38"/>
        <v>0</v>
      </c>
      <c r="Q104" s="573" t="e">
        <f t="shared" si="31"/>
        <v>#DIV/0!</v>
      </c>
      <c r="R104" s="732" t="e">
        <f t="shared" si="35"/>
        <v>#DIV/0!</v>
      </c>
      <c r="S104" s="959">
        <f>P104*$AB$28</f>
        <v>0</v>
      </c>
      <c r="T104" s="571">
        <f>P104*$AC$28</f>
        <v>0</v>
      </c>
      <c r="U104" s="571">
        <f>P104*$AD$28</f>
        <v>0</v>
      </c>
      <c r="V104" s="571">
        <f>P104*$AE$28</f>
        <v>0</v>
      </c>
      <c r="W104" s="571">
        <f>P104*$AF$28</f>
        <v>0</v>
      </c>
      <c r="X104" s="571">
        <f>P104*$AG$28</f>
        <v>0</v>
      </c>
      <c r="Y104" s="750">
        <f t="shared" si="39"/>
        <v>0</v>
      </c>
      <c r="AK104" s="60">
        <f t="shared" si="32"/>
        <v>0</v>
      </c>
      <c r="AL104" s="60">
        <f t="shared" si="33"/>
        <v>0</v>
      </c>
      <c r="AM104" s="60">
        <f t="shared" si="34"/>
        <v>0</v>
      </c>
    </row>
    <row r="105" spans="3:39" hidden="1">
      <c r="C105" s="1144"/>
      <c r="D105" s="610" t="s">
        <v>613</v>
      </c>
      <c r="E105" s="571">
        <v>9376.4883587355434</v>
      </c>
      <c r="F105" s="572">
        <v>6379.92</v>
      </c>
      <c r="G105" s="912"/>
      <c r="H105" s="914"/>
      <c r="I105" s="914"/>
      <c r="J105" s="913"/>
      <c r="K105" s="912"/>
      <c r="L105" s="913"/>
      <c r="M105" s="912"/>
      <c r="N105" s="914"/>
      <c r="O105" s="913"/>
      <c r="P105" s="931">
        <f t="shared" si="38"/>
        <v>0</v>
      </c>
      <c r="Q105" s="573">
        <f t="shared" si="31"/>
        <v>0</v>
      </c>
      <c r="R105" s="732">
        <f t="shared" si="35"/>
        <v>1</v>
      </c>
      <c r="S105" s="959">
        <f>P105*$AB$29</f>
        <v>0</v>
      </c>
      <c r="T105" s="571">
        <f>P105*$AC$29</f>
        <v>0</v>
      </c>
      <c r="U105" s="571">
        <f>P105*$AD$29</f>
        <v>0</v>
      </c>
      <c r="V105" s="571">
        <f>P105*$AE$29</f>
        <v>0</v>
      </c>
      <c r="W105" s="571">
        <f>P105*$AF$29</f>
        <v>0</v>
      </c>
      <c r="X105" s="571">
        <f>P105*$AG$29</f>
        <v>0</v>
      </c>
      <c r="Y105" s="750">
        <f t="shared" si="39"/>
        <v>6379.92</v>
      </c>
      <c r="AK105" s="60">
        <f t="shared" si="32"/>
        <v>0</v>
      </c>
      <c r="AL105" s="60">
        <f t="shared" si="33"/>
        <v>0</v>
      </c>
      <c r="AM105" s="60">
        <f t="shared" si="34"/>
        <v>0</v>
      </c>
    </row>
    <row r="106" spans="3:39">
      <c r="C106" s="1144"/>
      <c r="D106" s="610" t="s">
        <v>37</v>
      </c>
      <c r="E106" s="571">
        <v>16185.979358147128</v>
      </c>
      <c r="F106" s="572">
        <v>10643.36</v>
      </c>
      <c r="G106" s="912">
        <f>G2</f>
        <v>10418</v>
      </c>
      <c r="H106" s="914"/>
      <c r="I106" s="914"/>
      <c r="J106" s="913"/>
      <c r="K106" s="912"/>
      <c r="L106" s="913"/>
      <c r="M106" s="912"/>
      <c r="N106" s="914"/>
      <c r="O106" s="913"/>
      <c r="P106" s="931">
        <f t="shared" si="38"/>
        <v>10418</v>
      </c>
      <c r="Q106" s="573">
        <f t="shared" si="31"/>
        <v>0.97882623532418334</v>
      </c>
      <c r="R106" s="732">
        <f t="shared" si="35"/>
        <v>2.1173764675816664E-2</v>
      </c>
      <c r="S106" s="959">
        <f>P106*$AB$30</f>
        <v>5311.585319165566</v>
      </c>
      <c r="T106" s="571">
        <f>P106*$AC$30</f>
        <v>5106.414680834434</v>
      </c>
      <c r="U106" s="571">
        <f>P106*$AD$30</f>
        <v>3751.49615452743</v>
      </c>
      <c r="V106" s="571">
        <f>P106*$AE$30</f>
        <v>6093.5535112649377</v>
      </c>
      <c r="W106" s="571">
        <f>P106*$AF$30</f>
        <v>572.95033420763173</v>
      </c>
      <c r="X106" s="571">
        <f>P106*$AG$30</f>
        <v>926.96880468010659</v>
      </c>
      <c r="Y106" s="750">
        <f t="shared" si="39"/>
        <v>225.36000000000058</v>
      </c>
      <c r="AK106" s="60">
        <f t="shared" si="32"/>
        <v>10418</v>
      </c>
      <c r="AL106" s="60">
        <f t="shared" si="33"/>
        <v>0</v>
      </c>
      <c r="AM106" s="60">
        <f t="shared" si="34"/>
        <v>0</v>
      </c>
    </row>
    <row r="107" spans="3:39" hidden="1">
      <c r="C107" s="1144"/>
      <c r="D107" s="610" t="s">
        <v>2707</v>
      </c>
      <c r="E107" s="571">
        <v>14502.379280389234</v>
      </c>
      <c r="F107" s="572">
        <v>4984.6679999999997</v>
      </c>
      <c r="G107" s="912"/>
      <c r="H107" s="914"/>
      <c r="I107" s="914"/>
      <c r="J107" s="913"/>
      <c r="K107" s="912"/>
      <c r="L107" s="913"/>
      <c r="M107" s="912"/>
      <c r="N107" s="914"/>
      <c r="O107" s="913"/>
      <c r="P107" s="931">
        <f t="shared" si="38"/>
        <v>0</v>
      </c>
      <c r="Q107" s="573">
        <f t="shared" si="31"/>
        <v>0</v>
      </c>
      <c r="R107" s="732">
        <f t="shared" si="35"/>
        <v>1</v>
      </c>
      <c r="S107" s="959">
        <f>P107*$AB$31</f>
        <v>0</v>
      </c>
      <c r="T107" s="571">
        <f>P107*$AC$31</f>
        <v>0</v>
      </c>
      <c r="U107" s="571">
        <f>P107*$AD$31</f>
        <v>0</v>
      </c>
      <c r="V107" s="571">
        <f>P107*$AE$31</f>
        <v>0</v>
      </c>
      <c r="W107" s="571">
        <f>P107*$AF$31</f>
        <v>0</v>
      </c>
      <c r="X107" s="571">
        <f>P107*$AG$31</f>
        <v>0</v>
      </c>
      <c r="Y107" s="750">
        <f t="shared" si="39"/>
        <v>4984.6679999999997</v>
      </c>
      <c r="AK107" s="60">
        <f t="shared" si="32"/>
        <v>0</v>
      </c>
      <c r="AL107" s="60">
        <f t="shared" si="33"/>
        <v>0</v>
      </c>
      <c r="AM107" s="60">
        <f t="shared" si="34"/>
        <v>0</v>
      </c>
    </row>
    <row r="108" spans="3:39" hidden="1">
      <c r="C108" s="1144"/>
      <c r="D108" s="610" t="s">
        <v>2347</v>
      </c>
      <c r="E108" s="571">
        <v>20573.246588376831</v>
      </c>
      <c r="F108" s="572">
        <v>4114.2719999999999</v>
      </c>
      <c r="G108" s="912"/>
      <c r="H108" s="914"/>
      <c r="I108" s="914"/>
      <c r="J108" s="913"/>
      <c r="K108" s="912"/>
      <c r="L108" s="913"/>
      <c r="M108" s="912"/>
      <c r="N108" s="914"/>
      <c r="O108" s="913"/>
      <c r="P108" s="931">
        <f t="shared" si="38"/>
        <v>0</v>
      </c>
      <c r="Q108" s="573">
        <f t="shared" si="31"/>
        <v>0</v>
      </c>
      <c r="R108" s="732">
        <f t="shared" si="35"/>
        <v>1</v>
      </c>
      <c r="S108" s="959">
        <f>P108*$AB$32</f>
        <v>0</v>
      </c>
      <c r="T108" s="571">
        <f>P108*$AC$32</f>
        <v>0</v>
      </c>
      <c r="U108" s="571">
        <f>P108*$AD$32</f>
        <v>0</v>
      </c>
      <c r="V108" s="571">
        <f>P108*$AE$32</f>
        <v>0</v>
      </c>
      <c r="W108" s="571">
        <f>P108*$AF$32</f>
        <v>0</v>
      </c>
      <c r="X108" s="571">
        <f>P108*$AG$32</f>
        <v>0</v>
      </c>
      <c r="Y108" s="750">
        <f t="shared" si="39"/>
        <v>4114.2719999999999</v>
      </c>
      <c r="AK108" s="60">
        <f t="shared" si="32"/>
        <v>0</v>
      </c>
      <c r="AL108" s="60">
        <f t="shared" si="33"/>
        <v>0</v>
      </c>
      <c r="AM108" s="60">
        <f t="shared" si="34"/>
        <v>0</v>
      </c>
    </row>
    <row r="109" spans="3:39" hidden="1">
      <c r="C109" s="1144"/>
      <c r="D109" s="610" t="s">
        <v>2708</v>
      </c>
      <c r="E109" s="571">
        <v>27221.884075916409</v>
      </c>
      <c r="F109" s="572">
        <v>7132.3520000000008</v>
      </c>
      <c r="G109" s="912"/>
      <c r="H109" s="914"/>
      <c r="I109" s="914"/>
      <c r="J109" s="913"/>
      <c r="K109" s="912"/>
      <c r="L109" s="913"/>
      <c r="M109" s="912"/>
      <c r="N109" s="914"/>
      <c r="O109" s="913"/>
      <c r="P109" s="931">
        <f t="shared" si="38"/>
        <v>0</v>
      </c>
      <c r="Q109" s="573">
        <f t="shared" si="31"/>
        <v>0</v>
      </c>
      <c r="R109" s="732">
        <f t="shared" si="35"/>
        <v>1</v>
      </c>
      <c r="S109" s="959">
        <f>P109*$AB$33</f>
        <v>0</v>
      </c>
      <c r="T109" s="571">
        <f>P109*$AC$33</f>
        <v>0</v>
      </c>
      <c r="U109" s="571">
        <f>P109*$AD$33</f>
        <v>0</v>
      </c>
      <c r="V109" s="571">
        <f>P109*$AE$33</f>
        <v>0</v>
      </c>
      <c r="W109" s="571">
        <f>P109*$AF$33</f>
        <v>0</v>
      </c>
      <c r="X109" s="571">
        <f>P109*$AG$33</f>
        <v>0</v>
      </c>
      <c r="Y109" s="750">
        <f t="shared" si="39"/>
        <v>7132.3520000000008</v>
      </c>
      <c r="AK109" s="60">
        <f t="shared" si="32"/>
        <v>0</v>
      </c>
      <c r="AL109" s="60">
        <f t="shared" si="33"/>
        <v>0</v>
      </c>
      <c r="AM109" s="60">
        <f t="shared" si="34"/>
        <v>0</v>
      </c>
    </row>
    <row r="110" spans="3:39" hidden="1">
      <c r="C110" s="1144"/>
      <c r="D110" s="610" t="s">
        <v>2709</v>
      </c>
      <c r="E110" s="571">
        <v>1563.966673034844</v>
      </c>
      <c r="F110" s="572">
        <v>0</v>
      </c>
      <c r="G110" s="912"/>
      <c r="H110" s="914"/>
      <c r="I110" s="914"/>
      <c r="J110" s="913"/>
      <c r="K110" s="912"/>
      <c r="L110" s="913"/>
      <c r="M110" s="912"/>
      <c r="N110" s="914"/>
      <c r="O110" s="913"/>
      <c r="P110" s="931">
        <f t="shared" si="38"/>
        <v>0</v>
      </c>
      <c r="Q110" s="573" t="e">
        <f t="shared" si="31"/>
        <v>#DIV/0!</v>
      </c>
      <c r="R110" s="732" t="e">
        <f t="shared" si="35"/>
        <v>#DIV/0!</v>
      </c>
      <c r="S110" s="959">
        <f>P110*$AB$34</f>
        <v>0</v>
      </c>
      <c r="T110" s="571">
        <f>P110*$AC$34</f>
        <v>0</v>
      </c>
      <c r="U110" s="571">
        <f>P110*$AD$34</f>
        <v>0</v>
      </c>
      <c r="V110" s="571">
        <f>P110*$AE$34</f>
        <v>0</v>
      </c>
      <c r="W110" s="571">
        <f>P110*$AF$34</f>
        <v>0</v>
      </c>
      <c r="X110" s="571">
        <f>P110*$AG$34</f>
        <v>0</v>
      </c>
      <c r="Y110" s="750">
        <f t="shared" si="39"/>
        <v>0</v>
      </c>
      <c r="AK110" s="60">
        <f t="shared" si="32"/>
        <v>0</v>
      </c>
      <c r="AL110" s="60">
        <f t="shared" si="33"/>
        <v>0</v>
      </c>
      <c r="AM110" s="60">
        <f t="shared" si="34"/>
        <v>0</v>
      </c>
    </row>
    <row r="111" spans="3:39" hidden="1">
      <c r="C111" s="1144"/>
      <c r="D111" s="610" t="s">
        <v>2710</v>
      </c>
      <c r="E111" s="571">
        <v>0</v>
      </c>
      <c r="F111" s="572">
        <v>0</v>
      </c>
      <c r="G111" s="912"/>
      <c r="H111" s="914"/>
      <c r="I111" s="914"/>
      <c r="J111" s="913"/>
      <c r="K111" s="912"/>
      <c r="L111" s="913"/>
      <c r="M111" s="912"/>
      <c r="N111" s="914"/>
      <c r="O111" s="913"/>
      <c r="P111" s="931">
        <f t="shared" si="38"/>
        <v>0</v>
      </c>
      <c r="Q111" s="573" t="e">
        <f t="shared" si="31"/>
        <v>#DIV/0!</v>
      </c>
      <c r="R111" s="732" t="e">
        <f t="shared" si="35"/>
        <v>#DIV/0!</v>
      </c>
      <c r="S111" s="959">
        <f>P111*$AB$35</f>
        <v>0</v>
      </c>
      <c r="T111" s="571">
        <f>P111*$AC$35</f>
        <v>0</v>
      </c>
      <c r="U111" s="571">
        <f>P111*$AD$35</f>
        <v>0</v>
      </c>
      <c r="V111" s="571">
        <f>P111*$AE$35</f>
        <v>0</v>
      </c>
      <c r="W111" s="571">
        <f>P111*$AF$35</f>
        <v>0</v>
      </c>
      <c r="X111" s="571">
        <f>P111*$AG$35</f>
        <v>0</v>
      </c>
      <c r="Y111" s="750">
        <f t="shared" si="39"/>
        <v>0</v>
      </c>
      <c r="AK111" s="60">
        <f t="shared" si="32"/>
        <v>0</v>
      </c>
      <c r="AL111" s="60">
        <f t="shared" si="33"/>
        <v>0</v>
      </c>
      <c r="AM111" s="60">
        <f t="shared" si="34"/>
        <v>0</v>
      </c>
    </row>
    <row r="112" spans="3:39" hidden="1">
      <c r="C112" s="1144"/>
      <c r="D112" s="610" t="s">
        <v>304</v>
      </c>
      <c r="E112" s="571">
        <v>72932.470271676706</v>
      </c>
      <c r="F112" s="572">
        <v>36373.154999999999</v>
      </c>
      <c r="G112" s="912">
        <v>5300</v>
      </c>
      <c r="H112" s="914"/>
      <c r="I112" s="914"/>
      <c r="J112" s="913"/>
      <c r="K112" s="912"/>
      <c r="L112" s="913"/>
      <c r="M112" s="912"/>
      <c r="N112" s="914"/>
      <c r="O112" s="913"/>
      <c r="P112" s="931">
        <f t="shared" si="38"/>
        <v>5300</v>
      </c>
      <c r="Q112" s="573">
        <f t="shared" ref="Q112" si="40">P112/F112</f>
        <v>0.14571185809974416</v>
      </c>
      <c r="R112" s="732">
        <f t="shared" ref="R112" si="41">1-Q112</f>
        <v>0.85428814190025582</v>
      </c>
      <c r="S112" s="959">
        <f>P112*$AB$36</f>
        <v>2511.9412991918575</v>
      </c>
      <c r="T112" s="571">
        <f>P112*$AC$36</f>
        <v>2788.0587008081425</v>
      </c>
      <c r="U112" s="571">
        <f>P112*$AD$36</f>
        <v>1945.4859355814992</v>
      </c>
      <c r="V112" s="571">
        <f>P112*$AE$36</f>
        <v>2888.3287505711587</v>
      </c>
      <c r="W112" s="571">
        <f>P112*$AF$36</f>
        <v>466.18531384734291</v>
      </c>
      <c r="X112" s="571">
        <f>P112*$AG$36</f>
        <v>919.32627404932509</v>
      </c>
      <c r="Y112" s="750">
        <f t="shared" ref="Y112:Y118" si="42">F112-P112</f>
        <v>31073.154999999999</v>
      </c>
      <c r="AK112" s="60"/>
      <c r="AL112" s="60"/>
      <c r="AM112" s="60"/>
    </row>
    <row r="113" spans="3:39" hidden="1">
      <c r="C113" s="1144"/>
      <c r="D113" s="610" t="s">
        <v>2711</v>
      </c>
      <c r="E113" s="571">
        <v>128918.57720164211</v>
      </c>
      <c r="F113" s="572">
        <v>22383.48</v>
      </c>
      <c r="G113" s="912"/>
      <c r="H113" s="914"/>
      <c r="I113" s="914"/>
      <c r="J113" s="913"/>
      <c r="K113" s="912"/>
      <c r="L113" s="913"/>
      <c r="M113" s="912"/>
      <c r="N113" s="914"/>
      <c r="O113" s="913"/>
      <c r="P113" s="931">
        <f t="shared" si="38"/>
        <v>0</v>
      </c>
      <c r="Q113" s="573"/>
      <c r="R113" s="732"/>
      <c r="S113" s="959">
        <f>P113*$AB$37</f>
        <v>0</v>
      </c>
      <c r="T113" s="571">
        <f>P113*$AC$37</f>
        <v>0</v>
      </c>
      <c r="U113" s="571">
        <f>P113*$AD$37</f>
        <v>0</v>
      </c>
      <c r="V113" s="571">
        <f>P113*$AE$37</f>
        <v>0</v>
      </c>
      <c r="W113" s="571">
        <f>P113*$AF$37</f>
        <v>0</v>
      </c>
      <c r="X113" s="571">
        <f>P113*$AG$37</f>
        <v>0</v>
      </c>
      <c r="Y113" s="750">
        <f t="shared" si="42"/>
        <v>22383.48</v>
      </c>
      <c r="AK113" s="60"/>
      <c r="AL113" s="60"/>
      <c r="AM113" s="60"/>
    </row>
    <row r="114" spans="3:39" hidden="1">
      <c r="C114" s="1144"/>
      <c r="D114" s="610" t="s">
        <v>2712</v>
      </c>
      <c r="E114" s="571">
        <v>0</v>
      </c>
      <c r="F114" s="572">
        <v>0</v>
      </c>
      <c r="G114" s="912"/>
      <c r="H114" s="914"/>
      <c r="I114" s="914"/>
      <c r="J114" s="913"/>
      <c r="K114" s="912"/>
      <c r="L114" s="913"/>
      <c r="M114" s="912"/>
      <c r="N114" s="914"/>
      <c r="O114" s="913"/>
      <c r="P114" s="931">
        <f t="shared" si="38"/>
        <v>0</v>
      </c>
      <c r="Q114" s="573"/>
      <c r="R114" s="732"/>
      <c r="S114" s="959">
        <f>P114*$AB$38</f>
        <v>0</v>
      </c>
      <c r="T114" s="571">
        <f>P114*$AC$38</f>
        <v>0</v>
      </c>
      <c r="U114" s="571">
        <f>P114*$AD$38</f>
        <v>0</v>
      </c>
      <c r="V114" s="571">
        <f>P114*$AE$38</f>
        <v>0</v>
      </c>
      <c r="W114" s="571">
        <f>P114*$AF$38</f>
        <v>0</v>
      </c>
      <c r="X114" s="571">
        <f>P114*$AG$38</f>
        <v>0</v>
      </c>
      <c r="Y114" s="750">
        <f t="shared" si="42"/>
        <v>0</v>
      </c>
      <c r="AK114" s="60"/>
      <c r="AL114" s="60"/>
      <c r="AM114" s="60"/>
    </row>
    <row r="115" spans="3:39" hidden="1">
      <c r="C115" s="1144"/>
      <c r="D115" s="610" t="s">
        <v>515</v>
      </c>
      <c r="E115" s="571">
        <v>12543.43007174681</v>
      </c>
      <c r="F115" s="572">
        <v>3257.9840000000004</v>
      </c>
      <c r="G115" s="912">
        <f>G3</f>
        <v>2223</v>
      </c>
      <c r="H115" s="914"/>
      <c r="I115" s="914"/>
      <c r="J115" s="913"/>
      <c r="K115" s="912"/>
      <c r="L115" s="913"/>
      <c r="M115" s="912"/>
      <c r="N115" s="914"/>
      <c r="O115" s="913"/>
      <c r="P115" s="931">
        <f t="shared" si="38"/>
        <v>2223</v>
      </c>
      <c r="Q115" s="573">
        <f t="shared" ref="Q115" si="43">P115/F115</f>
        <v>0.6823237928731386</v>
      </c>
      <c r="R115" s="732">
        <f t="shared" ref="R115" si="44">1-Q115</f>
        <v>0.3176762071268614</v>
      </c>
      <c r="S115" s="959">
        <f>P115*$AB$39</f>
        <v>1111.8434206672998</v>
      </c>
      <c r="T115" s="571">
        <f>P115*$AC$39</f>
        <v>1111.1565793327002</v>
      </c>
      <c r="U115" s="571">
        <f>P115*$AD$39</f>
        <v>844.66551365008604</v>
      </c>
      <c r="V115" s="571">
        <f>P115*$AE$39</f>
        <v>1249.3760809637745</v>
      </c>
      <c r="W115" s="571">
        <f>P115*$AF$39</f>
        <v>128.95840538613888</v>
      </c>
      <c r="X115" s="571">
        <f>P115*$AG$39</f>
        <v>191.66272684847976</v>
      </c>
      <c r="Y115" s="750">
        <f t="shared" si="42"/>
        <v>1034.9840000000004</v>
      </c>
      <c r="AK115" s="60"/>
      <c r="AL115" s="60"/>
      <c r="AM115" s="60"/>
    </row>
    <row r="116" spans="3:39" hidden="1">
      <c r="C116" s="1144"/>
      <c r="D116" s="610" t="s">
        <v>2653</v>
      </c>
      <c r="E116" s="571">
        <v>25228.770316617767</v>
      </c>
      <c r="F116" s="572">
        <v>4994.88</v>
      </c>
      <c r="G116" s="912"/>
      <c r="H116" s="914"/>
      <c r="I116" s="914"/>
      <c r="J116" s="913"/>
      <c r="K116" s="912"/>
      <c r="L116" s="913"/>
      <c r="M116" s="912"/>
      <c r="N116" s="914"/>
      <c r="O116" s="913"/>
      <c r="P116" s="931">
        <f t="shared" si="38"/>
        <v>0</v>
      </c>
      <c r="Q116" s="573"/>
      <c r="R116" s="732"/>
      <c r="S116" s="959">
        <f>P116*$AB$40</f>
        <v>0</v>
      </c>
      <c r="T116" s="571">
        <f>P116*$AC$40</f>
        <v>0</v>
      </c>
      <c r="U116" s="571">
        <f>P116*$AD$40</f>
        <v>0</v>
      </c>
      <c r="V116" s="571">
        <f>P116*$AE$40</f>
        <v>0</v>
      </c>
      <c r="W116" s="571">
        <f>P116*$AF$40</f>
        <v>0</v>
      </c>
      <c r="X116" s="571">
        <f>P116*$AG$40</f>
        <v>0</v>
      </c>
      <c r="Y116" s="750">
        <f t="shared" si="42"/>
        <v>4994.88</v>
      </c>
      <c r="AK116" s="60"/>
      <c r="AL116" s="60"/>
      <c r="AM116" s="60"/>
    </row>
    <row r="117" spans="3:39" hidden="1">
      <c r="C117" s="1144"/>
      <c r="D117" s="610" t="s">
        <v>2713</v>
      </c>
      <c r="E117" s="571">
        <v>8092.4942954963954</v>
      </c>
      <c r="F117" s="572">
        <v>1581.48</v>
      </c>
      <c r="G117" s="912"/>
      <c r="H117" s="914"/>
      <c r="I117" s="914"/>
      <c r="J117" s="913"/>
      <c r="K117" s="912"/>
      <c r="L117" s="913"/>
      <c r="M117" s="912"/>
      <c r="N117" s="914"/>
      <c r="O117" s="913"/>
      <c r="P117" s="931">
        <f t="shared" si="38"/>
        <v>0</v>
      </c>
      <c r="Q117" s="573"/>
      <c r="R117" s="732"/>
      <c r="S117" s="959">
        <f>P117*$AB$41</f>
        <v>0</v>
      </c>
      <c r="T117" s="571">
        <f>P117*$AC$41</f>
        <v>0</v>
      </c>
      <c r="U117" s="571">
        <f>P117*$AD$41</f>
        <v>0</v>
      </c>
      <c r="V117" s="571">
        <f>P117*$AE$41</f>
        <v>0</v>
      </c>
      <c r="W117" s="571">
        <f>P117*$AF$41</f>
        <v>0</v>
      </c>
      <c r="X117" s="571">
        <f>P117*$AG$41</f>
        <v>0</v>
      </c>
      <c r="Y117" s="750">
        <f t="shared" si="42"/>
        <v>1581.48</v>
      </c>
      <c r="AK117" s="60"/>
      <c r="AL117" s="60"/>
      <c r="AM117" s="60"/>
    </row>
    <row r="118" spans="3:39" hidden="1">
      <c r="C118" s="1144"/>
      <c r="D118" s="610" t="s">
        <v>2714</v>
      </c>
      <c r="E118" s="571">
        <v>3448.1260506067783</v>
      </c>
      <c r="F118" s="572">
        <v>0</v>
      </c>
      <c r="G118" s="912"/>
      <c r="H118" s="914"/>
      <c r="I118" s="914"/>
      <c r="J118" s="913"/>
      <c r="K118" s="912"/>
      <c r="L118" s="913"/>
      <c r="M118" s="912"/>
      <c r="N118" s="914"/>
      <c r="O118" s="913"/>
      <c r="P118" s="931">
        <f t="shared" si="38"/>
        <v>0</v>
      </c>
      <c r="Q118" s="573" t="e">
        <f t="shared" si="31"/>
        <v>#DIV/0!</v>
      </c>
      <c r="R118" s="732" t="e">
        <f t="shared" si="35"/>
        <v>#DIV/0!</v>
      </c>
      <c r="S118" s="959">
        <f>P118*$AB$42</f>
        <v>0</v>
      </c>
      <c r="T118" s="571">
        <f>P118*$AC$42</f>
        <v>0</v>
      </c>
      <c r="U118" s="571">
        <f>P118*$AD$42</f>
        <v>0</v>
      </c>
      <c r="V118" s="571">
        <f>P118*$AE$42</f>
        <v>0</v>
      </c>
      <c r="W118" s="571">
        <f>P118*$AF$42</f>
        <v>0</v>
      </c>
      <c r="X118" s="571">
        <f>P118*$AG$42</f>
        <v>0</v>
      </c>
      <c r="Y118" s="750">
        <f t="shared" si="42"/>
        <v>0</v>
      </c>
      <c r="AK118" s="60">
        <f t="shared" si="32"/>
        <v>0</v>
      </c>
      <c r="AL118" s="60">
        <f t="shared" si="33"/>
        <v>0</v>
      </c>
      <c r="AM118" s="60">
        <f t="shared" si="34"/>
        <v>0</v>
      </c>
    </row>
    <row r="119" spans="3:39" s="947" customFormat="1" hidden="1">
      <c r="C119" s="1144"/>
      <c r="D119" s="939" t="s">
        <v>1488</v>
      </c>
      <c r="E119" s="940">
        <f t="shared" ref="E119:P119" si="45">SUM(E101:E118)</f>
        <v>360784.62182485679</v>
      </c>
      <c r="F119" s="941">
        <f t="shared" si="45"/>
        <v>105934.291</v>
      </c>
      <c r="G119" s="936">
        <f t="shared" si="45"/>
        <v>17941</v>
      </c>
      <c r="H119" s="937">
        <f t="shared" si="45"/>
        <v>0</v>
      </c>
      <c r="I119" s="937"/>
      <c r="J119" s="938">
        <f t="shared" si="45"/>
        <v>0</v>
      </c>
      <c r="K119" s="936">
        <f t="shared" si="45"/>
        <v>0</v>
      </c>
      <c r="L119" s="938">
        <f t="shared" si="45"/>
        <v>0</v>
      </c>
      <c r="M119" s="936"/>
      <c r="N119" s="937">
        <f t="shared" si="45"/>
        <v>0</v>
      </c>
      <c r="O119" s="938">
        <f t="shared" si="45"/>
        <v>0</v>
      </c>
      <c r="P119" s="939">
        <f t="shared" si="45"/>
        <v>17941</v>
      </c>
      <c r="Q119" s="942">
        <f t="shared" si="31"/>
        <v>0.16935970242157</v>
      </c>
      <c r="R119" s="943">
        <f>1-Q119</f>
        <v>0.83064029757842994</v>
      </c>
      <c r="S119" s="944">
        <f t="shared" ref="S119:Y119" si="46">SUM(S101:S118)</f>
        <v>8935.3700390247232</v>
      </c>
      <c r="T119" s="945">
        <f t="shared" si="46"/>
        <v>9005.6299609752768</v>
      </c>
      <c r="U119" s="945">
        <f t="shared" si="46"/>
        <v>6541.6476037590155</v>
      </c>
      <c r="V119" s="945">
        <f t="shared" si="46"/>
        <v>10231.258342799872</v>
      </c>
      <c r="W119" s="945">
        <f t="shared" si="46"/>
        <v>1168.0940534411134</v>
      </c>
      <c r="X119" s="945">
        <f t="shared" si="46"/>
        <v>2037.9578055779114</v>
      </c>
      <c r="Y119" s="946">
        <f t="shared" si="46"/>
        <v>87993.290999999997</v>
      </c>
      <c r="AK119" s="60">
        <f t="shared" si="32"/>
        <v>17941</v>
      </c>
      <c r="AL119" s="60">
        <f t="shared" si="33"/>
        <v>0</v>
      </c>
      <c r="AM119" s="60">
        <f t="shared" si="34"/>
        <v>0</v>
      </c>
    </row>
    <row r="120" spans="3:39" hidden="1">
      <c r="C120" s="1144" t="s">
        <v>2986</v>
      </c>
      <c r="D120" s="610" t="s">
        <v>2703</v>
      </c>
      <c r="E120" s="571">
        <v>4443.8719193605921</v>
      </c>
      <c r="F120" s="572">
        <v>1103.2525000000001</v>
      </c>
      <c r="G120" s="912"/>
      <c r="H120" s="914"/>
      <c r="I120" s="914"/>
      <c r="J120" s="913"/>
      <c r="K120" s="912"/>
      <c r="L120" s="913"/>
      <c r="M120" s="912"/>
      <c r="N120" s="914"/>
      <c r="O120" s="913"/>
      <c r="P120" s="931">
        <f t="shared" ref="P120:P137" si="47">SUM(G120:O120)</f>
        <v>0</v>
      </c>
      <c r="Q120" s="573">
        <f t="shared" si="31"/>
        <v>0</v>
      </c>
      <c r="R120" s="732">
        <f>1-Q120</f>
        <v>1</v>
      </c>
      <c r="S120" s="959">
        <f>P120*$AB$25</f>
        <v>0</v>
      </c>
      <c r="T120" s="571">
        <f>P120*$AC$25</f>
        <v>0</v>
      </c>
      <c r="U120" s="571">
        <f>P120*$AD$25</f>
        <v>0</v>
      </c>
      <c r="V120" s="571">
        <f>P120*$AE$25</f>
        <v>0</v>
      </c>
      <c r="W120" s="571">
        <f>P120*$AF$25</f>
        <v>0</v>
      </c>
      <c r="X120" s="571">
        <f>P120*$AG$25</f>
        <v>0</v>
      </c>
      <c r="Y120" s="750">
        <f t="shared" ref="Y120:Y130" si="48">F120-P120</f>
        <v>1103.2525000000001</v>
      </c>
      <c r="AK120" s="60">
        <f t="shared" si="32"/>
        <v>0</v>
      </c>
      <c r="AL120" s="60">
        <f t="shared" si="33"/>
        <v>0</v>
      </c>
      <c r="AM120" s="60">
        <f t="shared" si="34"/>
        <v>0</v>
      </c>
    </row>
    <row r="121" spans="3:39" hidden="1">
      <c r="C121" s="1144"/>
      <c r="D121" s="610" t="s">
        <v>2704</v>
      </c>
      <c r="E121" s="571">
        <v>275.27272281000489</v>
      </c>
      <c r="F121" s="572">
        <v>0</v>
      </c>
      <c r="G121" s="912"/>
      <c r="H121" s="914"/>
      <c r="I121" s="914"/>
      <c r="J121" s="913"/>
      <c r="K121" s="912"/>
      <c r="L121" s="913"/>
      <c r="M121" s="912"/>
      <c r="N121" s="914"/>
      <c r="O121" s="913"/>
      <c r="P121" s="931">
        <f t="shared" si="47"/>
        <v>0</v>
      </c>
      <c r="Q121" s="573" t="e">
        <f t="shared" si="31"/>
        <v>#DIV/0!</v>
      </c>
      <c r="R121" s="732" t="e">
        <f t="shared" ref="R121:R130" si="49">1-Q121</f>
        <v>#DIV/0!</v>
      </c>
      <c r="S121" s="959">
        <f>P121*$AB$26</f>
        <v>0</v>
      </c>
      <c r="T121" s="571">
        <f>P121*$AC$26</f>
        <v>0</v>
      </c>
      <c r="U121" s="571">
        <f>P121*$AD$26</f>
        <v>0</v>
      </c>
      <c r="V121" s="571">
        <f>P121*$AE$26</f>
        <v>0</v>
      </c>
      <c r="W121" s="571">
        <f>P121*$AF$26</f>
        <v>0</v>
      </c>
      <c r="X121" s="571">
        <f>P121*$AG$26</f>
        <v>0</v>
      </c>
      <c r="Y121" s="750">
        <f t="shared" si="48"/>
        <v>0</v>
      </c>
      <c r="AK121" s="60">
        <f t="shared" si="32"/>
        <v>0</v>
      </c>
      <c r="AL121" s="60">
        <f t="shared" si="33"/>
        <v>0</v>
      </c>
      <c r="AM121" s="60">
        <f t="shared" si="34"/>
        <v>0</v>
      </c>
    </row>
    <row r="122" spans="3:39" hidden="1">
      <c r="C122" s="1144"/>
      <c r="D122" s="610" t="s">
        <v>2705</v>
      </c>
      <c r="E122" s="571">
        <v>6821.8892335267019</v>
      </c>
      <c r="F122" s="572">
        <v>1452.21</v>
      </c>
      <c r="G122" s="912"/>
      <c r="H122" s="914"/>
      <c r="I122" s="914"/>
      <c r="J122" s="913"/>
      <c r="K122" s="912"/>
      <c r="L122" s="913"/>
      <c r="M122" s="912"/>
      <c r="N122" s="914"/>
      <c r="O122" s="913"/>
      <c r="P122" s="931">
        <f t="shared" si="47"/>
        <v>0</v>
      </c>
      <c r="Q122" s="573">
        <f t="shared" si="31"/>
        <v>0</v>
      </c>
      <c r="R122" s="732">
        <f t="shared" si="49"/>
        <v>1</v>
      </c>
      <c r="S122" s="959">
        <f>P122*$AB$27</f>
        <v>0</v>
      </c>
      <c r="T122" s="571">
        <f>P122*$AC$27</f>
        <v>0</v>
      </c>
      <c r="U122" s="571">
        <f>P122*$AD$27</f>
        <v>0</v>
      </c>
      <c r="V122" s="571">
        <f>P122*$AE$27</f>
        <v>0</v>
      </c>
      <c r="W122" s="571">
        <f>P122*$AF$27</f>
        <v>0</v>
      </c>
      <c r="X122" s="571">
        <f>P122*$AG$27</f>
        <v>0</v>
      </c>
      <c r="Y122" s="750">
        <f t="shared" si="48"/>
        <v>1452.21</v>
      </c>
      <c r="AK122" s="60">
        <f t="shared" si="32"/>
        <v>0</v>
      </c>
      <c r="AL122" s="60">
        <f t="shared" si="33"/>
        <v>0</v>
      </c>
      <c r="AM122" s="60">
        <f t="shared" si="34"/>
        <v>0</v>
      </c>
    </row>
    <row r="123" spans="3:39" hidden="1">
      <c r="C123" s="1144"/>
      <c r="D123" s="610" t="s">
        <v>2706</v>
      </c>
      <c r="E123" s="571">
        <v>0</v>
      </c>
      <c r="F123" s="572">
        <v>0</v>
      </c>
      <c r="G123" s="912"/>
      <c r="H123" s="914"/>
      <c r="I123" s="914"/>
      <c r="J123" s="913"/>
      <c r="K123" s="912"/>
      <c r="L123" s="913"/>
      <c r="M123" s="912"/>
      <c r="N123" s="914"/>
      <c r="O123" s="913"/>
      <c r="P123" s="931">
        <f t="shared" si="47"/>
        <v>0</v>
      </c>
      <c r="Q123" s="573" t="e">
        <f t="shared" si="31"/>
        <v>#DIV/0!</v>
      </c>
      <c r="R123" s="732" t="e">
        <f t="shared" si="49"/>
        <v>#DIV/0!</v>
      </c>
      <c r="S123" s="959">
        <f>P123*$AB$28</f>
        <v>0</v>
      </c>
      <c r="T123" s="571">
        <f>P123*$AC$28</f>
        <v>0</v>
      </c>
      <c r="U123" s="571">
        <f>P123*$AD$28</f>
        <v>0</v>
      </c>
      <c r="V123" s="571">
        <f>P123*$AE$28</f>
        <v>0</v>
      </c>
      <c r="W123" s="571">
        <f>P123*$AF$28</f>
        <v>0</v>
      </c>
      <c r="X123" s="571">
        <f>P123*$AG$28</f>
        <v>0</v>
      </c>
      <c r="Y123" s="750">
        <f t="shared" si="48"/>
        <v>0</v>
      </c>
      <c r="AK123" s="60">
        <f t="shared" si="32"/>
        <v>0</v>
      </c>
      <c r="AL123" s="60">
        <f t="shared" si="33"/>
        <v>0</v>
      </c>
      <c r="AM123" s="60">
        <f t="shared" si="34"/>
        <v>0</v>
      </c>
    </row>
    <row r="124" spans="3:39" hidden="1">
      <c r="C124" s="1144"/>
      <c r="D124" s="610" t="s">
        <v>613</v>
      </c>
      <c r="E124" s="571">
        <v>5357.993347848882</v>
      </c>
      <c r="F124" s="572">
        <v>3987.4500000000003</v>
      </c>
      <c r="G124" s="912"/>
      <c r="H124" s="914"/>
      <c r="I124" s="914"/>
      <c r="J124" s="913"/>
      <c r="K124" s="912"/>
      <c r="L124" s="913"/>
      <c r="M124" s="912"/>
      <c r="N124" s="914"/>
      <c r="O124" s="913"/>
      <c r="P124" s="931">
        <f t="shared" si="47"/>
        <v>0</v>
      </c>
      <c r="Q124" s="573">
        <f t="shared" si="31"/>
        <v>0</v>
      </c>
      <c r="R124" s="732">
        <f t="shared" si="49"/>
        <v>1</v>
      </c>
      <c r="S124" s="959">
        <f>P124*$AB$29</f>
        <v>0</v>
      </c>
      <c r="T124" s="571">
        <f>P124*$AC$29</f>
        <v>0</v>
      </c>
      <c r="U124" s="571">
        <f>P124*$AD$29</f>
        <v>0</v>
      </c>
      <c r="V124" s="571">
        <f>P124*$AE$29</f>
        <v>0</v>
      </c>
      <c r="W124" s="571">
        <f>P124*$AF$29</f>
        <v>0</v>
      </c>
      <c r="X124" s="571">
        <f>P124*$AG$29</f>
        <v>0</v>
      </c>
      <c r="Y124" s="750">
        <f t="shared" si="48"/>
        <v>3987.4500000000003</v>
      </c>
      <c r="AK124" s="60">
        <f t="shared" si="32"/>
        <v>0</v>
      </c>
      <c r="AL124" s="60">
        <f t="shared" si="33"/>
        <v>0</v>
      </c>
      <c r="AM124" s="60">
        <f t="shared" si="34"/>
        <v>0</v>
      </c>
    </row>
    <row r="125" spans="3:39">
      <c r="C125" s="1144"/>
      <c r="D125" s="610" t="s">
        <v>37</v>
      </c>
      <c r="E125" s="571">
        <v>9249.1310617983581</v>
      </c>
      <c r="F125" s="572">
        <v>5321.68</v>
      </c>
      <c r="G125" s="912">
        <f>H2</f>
        <v>1593</v>
      </c>
      <c r="H125" s="914"/>
      <c r="I125" s="914"/>
      <c r="J125" s="913"/>
      <c r="K125" s="912"/>
      <c r="L125" s="913"/>
      <c r="M125" s="912"/>
      <c r="N125" s="914"/>
      <c r="O125" s="913"/>
      <c r="P125" s="931">
        <f t="shared" si="47"/>
        <v>1593</v>
      </c>
      <c r="Q125" s="573">
        <f t="shared" si="31"/>
        <v>0.29934156131146555</v>
      </c>
      <c r="R125" s="732">
        <f t="shared" si="49"/>
        <v>0.70065843868853439</v>
      </c>
      <c r="S125" s="959">
        <f>P125*$AB$30</f>
        <v>812.18615986088957</v>
      </c>
      <c r="T125" s="571">
        <f>P125*$AC$30</f>
        <v>780.81384013911043</v>
      </c>
      <c r="U125" s="571">
        <f>P125*$AD$30</f>
        <v>573.63537859111113</v>
      </c>
      <c r="V125" s="571">
        <f>P125*$AE$30</f>
        <v>931.75568664283412</v>
      </c>
      <c r="W125" s="571">
        <f>P125*$AF$30</f>
        <v>87.608934766054659</v>
      </c>
      <c r="X125" s="571">
        <f>P125*$AG$30</f>
        <v>141.74134247028314</v>
      </c>
      <c r="Y125" s="750">
        <f t="shared" si="48"/>
        <v>3728.6800000000003</v>
      </c>
      <c r="AK125" s="60">
        <f t="shared" si="32"/>
        <v>1593</v>
      </c>
      <c r="AL125" s="60">
        <f t="shared" si="33"/>
        <v>0</v>
      </c>
      <c r="AM125" s="60">
        <f t="shared" si="34"/>
        <v>0</v>
      </c>
    </row>
    <row r="126" spans="3:39" hidden="1">
      <c r="C126" s="1144"/>
      <c r="D126" s="610" t="s">
        <v>2707</v>
      </c>
      <c r="E126" s="571">
        <v>8287.0738745081326</v>
      </c>
      <c r="F126" s="572">
        <v>3115.4175</v>
      </c>
      <c r="G126" s="912"/>
      <c r="H126" s="914"/>
      <c r="I126" s="914"/>
      <c r="J126" s="913"/>
      <c r="K126" s="912"/>
      <c r="L126" s="913"/>
      <c r="M126" s="912"/>
      <c r="N126" s="914"/>
      <c r="O126" s="913"/>
      <c r="P126" s="931">
        <f t="shared" si="47"/>
        <v>0</v>
      </c>
      <c r="Q126" s="573">
        <f t="shared" si="31"/>
        <v>0</v>
      </c>
      <c r="R126" s="732">
        <f t="shared" si="49"/>
        <v>1</v>
      </c>
      <c r="S126" s="959">
        <f>P126*$AB$31</f>
        <v>0</v>
      </c>
      <c r="T126" s="571">
        <f>P126*$AC$31</f>
        <v>0</v>
      </c>
      <c r="U126" s="571">
        <f>P126*$AD$31</f>
        <v>0</v>
      </c>
      <c r="V126" s="571">
        <f>P126*$AE$31</f>
        <v>0</v>
      </c>
      <c r="W126" s="571">
        <f>P126*$AF$31</f>
        <v>0</v>
      </c>
      <c r="X126" s="571">
        <f>P126*$AG$31</f>
        <v>0</v>
      </c>
      <c r="Y126" s="750">
        <f t="shared" si="48"/>
        <v>3115.4175</v>
      </c>
      <c r="AK126" s="60">
        <f t="shared" si="32"/>
        <v>0</v>
      </c>
      <c r="AL126" s="60">
        <f t="shared" si="33"/>
        <v>0</v>
      </c>
      <c r="AM126" s="60">
        <f t="shared" si="34"/>
        <v>0</v>
      </c>
    </row>
    <row r="127" spans="3:39" hidden="1">
      <c r="C127" s="1144"/>
      <c r="D127" s="610" t="s">
        <v>2347</v>
      </c>
      <c r="E127" s="571">
        <v>11756.140907643903</v>
      </c>
      <c r="F127" s="572">
        <v>2571.42</v>
      </c>
      <c r="G127" s="912"/>
      <c r="H127" s="914"/>
      <c r="I127" s="914"/>
      <c r="J127" s="913"/>
      <c r="K127" s="912"/>
      <c r="L127" s="913"/>
      <c r="M127" s="912"/>
      <c r="N127" s="914"/>
      <c r="O127" s="913"/>
      <c r="P127" s="931">
        <f t="shared" si="47"/>
        <v>0</v>
      </c>
      <c r="Q127" s="573">
        <f t="shared" ref="Q127:Q164" si="50">P127/F127</f>
        <v>0</v>
      </c>
      <c r="R127" s="732">
        <f t="shared" si="49"/>
        <v>1</v>
      </c>
      <c r="S127" s="959">
        <f>P127*$AB$32</f>
        <v>0</v>
      </c>
      <c r="T127" s="571">
        <f>P127*$AC$32</f>
        <v>0</v>
      </c>
      <c r="U127" s="571">
        <f>P127*$AD$32</f>
        <v>0</v>
      </c>
      <c r="V127" s="571">
        <f>P127*$AE$32</f>
        <v>0</v>
      </c>
      <c r="W127" s="571">
        <f>P127*$AF$32</f>
        <v>0</v>
      </c>
      <c r="X127" s="571">
        <f>P127*$AG$32</f>
        <v>0</v>
      </c>
      <c r="Y127" s="750">
        <f t="shared" si="48"/>
        <v>2571.42</v>
      </c>
      <c r="AK127" s="60">
        <f t="shared" si="32"/>
        <v>0</v>
      </c>
      <c r="AL127" s="60">
        <f t="shared" si="33"/>
        <v>0</v>
      </c>
      <c r="AM127" s="60">
        <f t="shared" si="34"/>
        <v>0</v>
      </c>
    </row>
    <row r="128" spans="3:39" hidden="1">
      <c r="C128" s="1144"/>
      <c r="D128" s="610" t="s">
        <v>2708</v>
      </c>
      <c r="E128" s="571">
        <v>15555.362329095091</v>
      </c>
      <c r="F128" s="572">
        <v>4457.72</v>
      </c>
      <c r="G128" s="912"/>
      <c r="H128" s="914"/>
      <c r="I128" s="914"/>
      <c r="J128" s="913"/>
      <c r="K128" s="912"/>
      <c r="L128" s="913"/>
      <c r="M128" s="912"/>
      <c r="N128" s="914"/>
      <c r="O128" s="913"/>
      <c r="P128" s="931">
        <f t="shared" si="47"/>
        <v>0</v>
      </c>
      <c r="Q128" s="573">
        <f t="shared" si="50"/>
        <v>0</v>
      </c>
      <c r="R128" s="732">
        <f t="shared" si="49"/>
        <v>1</v>
      </c>
      <c r="S128" s="959">
        <f>P128*$AB$33</f>
        <v>0</v>
      </c>
      <c r="T128" s="571">
        <f>P128*$AC$33</f>
        <v>0</v>
      </c>
      <c r="U128" s="571">
        <f>P128*$AD$33</f>
        <v>0</v>
      </c>
      <c r="V128" s="571">
        <f>P128*$AE$33</f>
        <v>0</v>
      </c>
      <c r="W128" s="571">
        <f>P128*$AF$33</f>
        <v>0</v>
      </c>
      <c r="X128" s="571">
        <f>P128*$AG$33</f>
        <v>0</v>
      </c>
      <c r="Y128" s="750">
        <f t="shared" si="48"/>
        <v>4457.72</v>
      </c>
      <c r="AK128" s="60">
        <f t="shared" si="32"/>
        <v>0</v>
      </c>
      <c r="AL128" s="60">
        <f t="shared" si="33"/>
        <v>0</v>
      </c>
      <c r="AM128" s="60">
        <f t="shared" si="34"/>
        <v>0</v>
      </c>
    </row>
    <row r="129" spans="3:39" hidden="1">
      <c r="C129" s="1144"/>
      <c r="D129" s="610" t="s">
        <v>2709</v>
      </c>
      <c r="E129" s="571">
        <v>893.69524173419643</v>
      </c>
      <c r="F129" s="572">
        <v>0</v>
      </c>
      <c r="G129" s="912">
        <f>H3</f>
        <v>0</v>
      </c>
      <c r="H129" s="914"/>
      <c r="I129" s="914"/>
      <c r="J129" s="913"/>
      <c r="K129" s="912"/>
      <c r="L129" s="913"/>
      <c r="M129" s="912"/>
      <c r="N129" s="914"/>
      <c r="O129" s="913"/>
      <c r="P129" s="931">
        <f t="shared" si="47"/>
        <v>0</v>
      </c>
      <c r="Q129" s="573" t="e">
        <f t="shared" si="50"/>
        <v>#DIV/0!</v>
      </c>
      <c r="R129" s="732" t="e">
        <f t="shared" si="49"/>
        <v>#DIV/0!</v>
      </c>
      <c r="S129" s="959">
        <f>P129*$AB$34</f>
        <v>0</v>
      </c>
      <c r="T129" s="571">
        <f>P129*$AC$34</f>
        <v>0</v>
      </c>
      <c r="U129" s="571">
        <f>P129*$AD$34</f>
        <v>0</v>
      </c>
      <c r="V129" s="571">
        <f>P129*$AE$34</f>
        <v>0</v>
      </c>
      <c r="W129" s="571">
        <f>P129*$AF$34</f>
        <v>0</v>
      </c>
      <c r="X129" s="571">
        <f>P129*$AG$34</f>
        <v>0</v>
      </c>
      <c r="Y129" s="750">
        <f t="shared" si="48"/>
        <v>0</v>
      </c>
      <c r="AK129" s="60">
        <f t="shared" si="32"/>
        <v>0</v>
      </c>
      <c r="AL129" s="60">
        <f t="shared" si="33"/>
        <v>0</v>
      </c>
      <c r="AM129" s="60">
        <f t="shared" si="34"/>
        <v>0</v>
      </c>
    </row>
    <row r="130" spans="3:39" hidden="1">
      <c r="C130" s="1144"/>
      <c r="D130" s="610" t="s">
        <v>2710</v>
      </c>
      <c r="E130" s="571">
        <v>0</v>
      </c>
      <c r="F130" s="572">
        <v>0</v>
      </c>
      <c r="G130" s="912"/>
      <c r="H130" s="914"/>
      <c r="I130" s="914"/>
      <c r="J130" s="913"/>
      <c r="K130" s="912"/>
      <c r="L130" s="913"/>
      <c r="M130" s="912"/>
      <c r="N130" s="914"/>
      <c r="O130" s="913"/>
      <c r="P130" s="931">
        <f t="shared" si="47"/>
        <v>0</v>
      </c>
      <c r="Q130" s="573" t="e">
        <f t="shared" si="50"/>
        <v>#DIV/0!</v>
      </c>
      <c r="R130" s="732" t="e">
        <f t="shared" si="49"/>
        <v>#DIV/0!</v>
      </c>
      <c r="S130" s="959">
        <f>P130*$AB$35</f>
        <v>0</v>
      </c>
      <c r="T130" s="571">
        <f>P130*$AC$35</f>
        <v>0</v>
      </c>
      <c r="U130" s="571">
        <f>P130*$AD$35</f>
        <v>0</v>
      </c>
      <c r="V130" s="571">
        <f>P130*$AE$35</f>
        <v>0</v>
      </c>
      <c r="W130" s="571">
        <f>P130*$AF$35</f>
        <v>0</v>
      </c>
      <c r="X130" s="571">
        <f>P130*$AG$35</f>
        <v>0</v>
      </c>
      <c r="Y130" s="750">
        <f t="shared" si="48"/>
        <v>0</v>
      </c>
      <c r="AK130" s="60">
        <f t="shared" si="32"/>
        <v>0</v>
      </c>
      <c r="AL130" s="60">
        <f t="shared" si="33"/>
        <v>0</v>
      </c>
      <c r="AM130" s="60">
        <f t="shared" si="34"/>
        <v>0</v>
      </c>
    </row>
    <row r="131" spans="3:39" hidden="1">
      <c r="C131" s="1144"/>
      <c r="D131" s="610" t="s">
        <v>304</v>
      </c>
      <c r="E131" s="571">
        <v>41675.697298100975</v>
      </c>
      <c r="F131" s="572">
        <v>27979.350000000002</v>
      </c>
      <c r="G131" s="912">
        <v>50</v>
      </c>
      <c r="H131" s="914"/>
      <c r="I131" s="914"/>
      <c r="J131" s="913"/>
      <c r="K131" s="912"/>
      <c r="L131" s="913"/>
      <c r="M131" s="912"/>
      <c r="N131" s="914"/>
      <c r="O131" s="913"/>
      <c r="P131" s="931">
        <f t="shared" si="47"/>
        <v>50</v>
      </c>
      <c r="Q131" s="573">
        <f t="shared" si="50"/>
        <v>1.7870322219779944E-3</v>
      </c>
      <c r="R131" s="732">
        <f t="shared" ref="R131" si="51">1-Q131</f>
        <v>0.99821296777802204</v>
      </c>
      <c r="S131" s="959">
        <f>P131*$AB$36</f>
        <v>23.697559426338277</v>
      </c>
      <c r="T131" s="571">
        <f>P131*$AC$36</f>
        <v>26.302440573661723</v>
      </c>
      <c r="U131" s="571">
        <f>P131*$AD$36</f>
        <v>18.353640901712257</v>
      </c>
      <c r="V131" s="571">
        <f>P131*$AE$36</f>
        <v>27.248384439350552</v>
      </c>
      <c r="W131" s="571">
        <f>P131*$AF$36</f>
        <v>4.3979746589371977</v>
      </c>
      <c r="X131" s="571">
        <f>P131*$AG$36</f>
        <v>8.6728893778238216</v>
      </c>
      <c r="Y131" s="750"/>
      <c r="AK131" s="60"/>
      <c r="AL131" s="60"/>
      <c r="AM131" s="60"/>
    </row>
    <row r="132" spans="3:39" hidden="1">
      <c r="C132" s="1144"/>
      <c r="D132" s="610" t="s">
        <v>2711</v>
      </c>
      <c r="E132" s="571">
        <v>73667.758400938343</v>
      </c>
      <c r="F132" s="572">
        <v>13989.675000000001</v>
      </c>
      <c r="G132" s="912"/>
      <c r="H132" s="914"/>
      <c r="I132" s="914"/>
      <c r="J132" s="913"/>
      <c r="K132" s="912"/>
      <c r="L132" s="913"/>
      <c r="M132" s="912"/>
      <c r="N132" s="914"/>
      <c r="O132" s="913"/>
      <c r="P132" s="931">
        <f t="shared" si="47"/>
        <v>0</v>
      </c>
      <c r="Q132" s="573"/>
      <c r="R132" s="732"/>
      <c r="S132" s="959">
        <f>P132*$AB$37</f>
        <v>0</v>
      </c>
      <c r="T132" s="571">
        <f>P132*$AC$37</f>
        <v>0</v>
      </c>
      <c r="U132" s="571">
        <f>P132*$AD$37</f>
        <v>0</v>
      </c>
      <c r="V132" s="571">
        <f>P132*$AE$37</f>
        <v>0</v>
      </c>
      <c r="W132" s="571">
        <f>P132*$AF$37</f>
        <v>0</v>
      </c>
      <c r="X132" s="571">
        <f>P132*$AG$37</f>
        <v>0</v>
      </c>
      <c r="Y132" s="750"/>
      <c r="AK132" s="60"/>
      <c r="AL132" s="60"/>
      <c r="AM132" s="60"/>
    </row>
    <row r="133" spans="3:39" hidden="1">
      <c r="C133" s="1144"/>
      <c r="D133" s="610" t="s">
        <v>2712</v>
      </c>
      <c r="E133" s="571">
        <v>0</v>
      </c>
      <c r="F133" s="572">
        <v>0</v>
      </c>
      <c r="G133" s="912"/>
      <c r="H133" s="914"/>
      <c r="I133" s="914"/>
      <c r="J133" s="913"/>
      <c r="K133" s="912"/>
      <c r="L133" s="913"/>
      <c r="M133" s="912"/>
      <c r="N133" s="914"/>
      <c r="O133" s="913"/>
      <c r="P133" s="931">
        <f t="shared" si="47"/>
        <v>0</v>
      </c>
      <c r="Q133" s="573"/>
      <c r="R133" s="732"/>
      <c r="S133" s="959">
        <f>P133*$AB$38</f>
        <v>0</v>
      </c>
      <c r="T133" s="571">
        <f>P133*$AC$38</f>
        <v>0</v>
      </c>
      <c r="U133" s="571">
        <f>P133*$AD$38</f>
        <v>0</v>
      </c>
      <c r="V133" s="571">
        <f>P133*$AE$38</f>
        <v>0</v>
      </c>
      <c r="W133" s="571">
        <f>P133*$AF$38</f>
        <v>0</v>
      </c>
      <c r="X133" s="571">
        <f>P133*$AG$38</f>
        <v>0</v>
      </c>
      <c r="Y133" s="750"/>
      <c r="AK133" s="60"/>
      <c r="AL133" s="60"/>
      <c r="AM133" s="60"/>
    </row>
    <row r="134" spans="3:39" hidden="1">
      <c r="C134" s="1144"/>
      <c r="D134" s="610" t="s">
        <v>515</v>
      </c>
      <c r="E134" s="571">
        <v>7167.6743267124621</v>
      </c>
      <c r="F134" s="572">
        <v>2036.2400000000002</v>
      </c>
      <c r="G134" s="912">
        <f>H3</f>
        <v>0</v>
      </c>
      <c r="H134" s="914"/>
      <c r="I134" s="914"/>
      <c r="J134" s="913"/>
      <c r="K134" s="912"/>
      <c r="L134" s="913"/>
      <c r="M134" s="912"/>
      <c r="N134" s="914"/>
      <c r="O134" s="913"/>
      <c r="P134" s="931">
        <f t="shared" si="47"/>
        <v>0</v>
      </c>
      <c r="Q134" s="573"/>
      <c r="R134" s="732"/>
      <c r="S134" s="959">
        <f>P134*$AB$39</f>
        <v>0</v>
      </c>
      <c r="T134" s="571">
        <f>P134*$AC$39</f>
        <v>0</v>
      </c>
      <c r="U134" s="571">
        <f>P134*$AD$39</f>
        <v>0</v>
      </c>
      <c r="V134" s="571">
        <f>P134*$AE$39</f>
        <v>0</v>
      </c>
      <c r="W134" s="571">
        <f>P134*$AF$39</f>
        <v>0</v>
      </c>
      <c r="X134" s="571">
        <f>P134*$AG$39</f>
        <v>0</v>
      </c>
      <c r="Y134" s="750"/>
      <c r="AK134" s="60"/>
      <c r="AL134" s="60"/>
      <c r="AM134" s="60"/>
    </row>
    <row r="135" spans="3:39" hidden="1">
      <c r="C135" s="1144"/>
      <c r="D135" s="610" t="s">
        <v>2653</v>
      </c>
      <c r="E135" s="571">
        <v>14416.440180924437</v>
      </c>
      <c r="F135" s="572">
        <v>3121.8</v>
      </c>
      <c r="G135" s="912"/>
      <c r="H135" s="914"/>
      <c r="I135" s="914"/>
      <c r="J135" s="913"/>
      <c r="K135" s="912"/>
      <c r="L135" s="913"/>
      <c r="M135" s="912"/>
      <c r="N135" s="914"/>
      <c r="O135" s="913"/>
      <c r="P135" s="931">
        <f t="shared" si="47"/>
        <v>0</v>
      </c>
      <c r="Q135" s="573"/>
      <c r="R135" s="732"/>
      <c r="S135" s="959">
        <f>P135*$AB$40</f>
        <v>0</v>
      </c>
      <c r="T135" s="571">
        <f>P135*$AC$40</f>
        <v>0</v>
      </c>
      <c r="U135" s="571">
        <f>P135*$AD$40</f>
        <v>0</v>
      </c>
      <c r="V135" s="571">
        <f>P135*$AE$40</f>
        <v>0</v>
      </c>
      <c r="W135" s="571">
        <f>P135*$AF$40</f>
        <v>0</v>
      </c>
      <c r="X135" s="571">
        <f>P135*$AG$40</f>
        <v>0</v>
      </c>
      <c r="Y135" s="750"/>
      <c r="AK135" s="60"/>
      <c r="AL135" s="60"/>
      <c r="AM135" s="60"/>
    </row>
    <row r="136" spans="3:39" hidden="1">
      <c r="C136" s="1144"/>
      <c r="D136" s="610" t="s">
        <v>2713</v>
      </c>
      <c r="E136" s="571">
        <v>4624.2824545693684</v>
      </c>
      <c r="F136" s="572">
        <v>988.42500000000007</v>
      </c>
      <c r="G136" s="912"/>
      <c r="H136" s="914"/>
      <c r="I136" s="914"/>
      <c r="J136" s="913"/>
      <c r="K136" s="912"/>
      <c r="L136" s="913"/>
      <c r="M136" s="912"/>
      <c r="N136" s="914"/>
      <c r="O136" s="913"/>
      <c r="P136" s="931">
        <f t="shared" si="47"/>
        <v>0</v>
      </c>
      <c r="Q136" s="573"/>
      <c r="R136" s="732"/>
      <c r="S136" s="959">
        <f>P136*$AB$41</f>
        <v>0</v>
      </c>
      <c r="T136" s="571">
        <f>P136*$AC$41</f>
        <v>0</v>
      </c>
      <c r="U136" s="571">
        <f>P136*$AD$41</f>
        <v>0</v>
      </c>
      <c r="V136" s="571">
        <f>P136*$AE$41</f>
        <v>0</v>
      </c>
      <c r="W136" s="571">
        <f>P136*$AF$41</f>
        <v>0</v>
      </c>
      <c r="X136" s="571">
        <f>P136*$AG$41</f>
        <v>0</v>
      </c>
      <c r="Y136" s="750"/>
      <c r="AK136" s="60"/>
      <c r="AL136" s="60"/>
      <c r="AM136" s="60"/>
    </row>
    <row r="137" spans="3:39" hidden="1">
      <c r="C137" s="1144"/>
      <c r="D137" s="610" t="s">
        <v>2714</v>
      </c>
      <c r="E137" s="571">
        <v>1970.357743203873</v>
      </c>
      <c r="F137" s="572">
        <v>0</v>
      </c>
      <c r="G137" s="912"/>
      <c r="H137" s="914"/>
      <c r="I137" s="914"/>
      <c r="J137" s="913"/>
      <c r="K137" s="912"/>
      <c r="L137" s="913"/>
      <c r="M137" s="912"/>
      <c r="N137" s="914"/>
      <c r="O137" s="913"/>
      <c r="P137" s="931">
        <f t="shared" si="47"/>
        <v>0</v>
      </c>
      <c r="Q137" s="573"/>
      <c r="R137" s="732"/>
      <c r="S137" s="959">
        <f>P137*$AB$42</f>
        <v>0</v>
      </c>
      <c r="T137" s="571">
        <f>P137*$AC$42</f>
        <v>0</v>
      </c>
      <c r="U137" s="571">
        <f>P137*$AD$42</f>
        <v>0</v>
      </c>
      <c r="V137" s="571">
        <f>P137*$AE$42</f>
        <v>0</v>
      </c>
      <c r="W137" s="571">
        <f>P137*$AF$42</f>
        <v>0</v>
      </c>
      <c r="X137" s="571">
        <f>P137*$AG$42</f>
        <v>0</v>
      </c>
      <c r="Y137" s="750"/>
      <c r="AK137" s="60"/>
      <c r="AL137" s="60"/>
      <c r="AM137" s="60"/>
    </row>
    <row r="138" spans="3:39" s="947" customFormat="1" hidden="1">
      <c r="C138" s="1144"/>
      <c r="D138" s="939" t="s">
        <v>1488</v>
      </c>
      <c r="E138" s="940">
        <f>SUM(E120:E137)</f>
        <v>206162.64104277533</v>
      </c>
      <c r="F138" s="941">
        <f>SUM(F120:F137)</f>
        <v>70124.640000000014</v>
      </c>
      <c r="G138" s="936">
        <f>SUM(G120:G137)</f>
        <v>1643</v>
      </c>
      <c r="H138" s="937">
        <f>SUM(H120:H137)</f>
        <v>0</v>
      </c>
      <c r="I138" s="937"/>
      <c r="J138" s="938">
        <f>SUM(J120:J137)</f>
        <v>0</v>
      </c>
      <c r="K138" s="936">
        <f>SUM(K120:K137)</f>
        <v>0</v>
      </c>
      <c r="L138" s="938">
        <f>SUM(L120:L137)</f>
        <v>0</v>
      </c>
      <c r="M138" s="936"/>
      <c r="N138" s="937">
        <f>SUM(N120:N137)</f>
        <v>0</v>
      </c>
      <c r="O138" s="938">
        <f>SUM(O120:O137)</f>
        <v>0</v>
      </c>
      <c r="P138" s="939">
        <f>SUM(P120:P137)</f>
        <v>1643</v>
      </c>
      <c r="Q138" s="942">
        <f t="shared" si="50"/>
        <v>2.3429710298691012E-2</v>
      </c>
      <c r="R138" s="943">
        <f t="shared" ref="R138:R176" si="52">1-Q138</f>
        <v>0.97657028970130899</v>
      </c>
      <c r="S138" s="944">
        <f t="shared" ref="S138:Y138" si="53">SUM(S120:S137)</f>
        <v>835.8837192872279</v>
      </c>
      <c r="T138" s="945">
        <f t="shared" si="53"/>
        <v>807.1162807127721</v>
      </c>
      <c r="U138" s="945">
        <f t="shared" si="53"/>
        <v>591.98901949282345</v>
      </c>
      <c r="V138" s="945">
        <f t="shared" si="53"/>
        <v>959.00407108218462</v>
      </c>
      <c r="W138" s="945">
        <f t="shared" si="53"/>
        <v>92.006909424991861</v>
      </c>
      <c r="X138" s="945">
        <f t="shared" si="53"/>
        <v>150.41423184810697</v>
      </c>
      <c r="Y138" s="946">
        <f t="shared" si="53"/>
        <v>20416.150000000001</v>
      </c>
      <c r="AK138" s="60">
        <f t="shared" si="32"/>
        <v>1643</v>
      </c>
      <c r="AL138" s="60">
        <f t="shared" si="33"/>
        <v>0</v>
      </c>
      <c r="AM138" s="60">
        <f t="shared" si="34"/>
        <v>0</v>
      </c>
    </row>
    <row r="139" spans="3:39" hidden="1">
      <c r="C139" s="1145" t="s">
        <v>2784</v>
      </c>
      <c r="D139" s="712" t="s">
        <v>2703</v>
      </c>
      <c r="E139" s="713">
        <v>111096.7979840148</v>
      </c>
      <c r="F139" s="714">
        <v>31675.809596802959</v>
      </c>
      <c r="G139" s="915"/>
      <c r="H139" s="917">
        <v>2000</v>
      </c>
      <c r="I139" s="917"/>
      <c r="J139" s="916"/>
      <c r="K139" s="915"/>
      <c r="L139" s="916"/>
      <c r="M139" s="915"/>
      <c r="N139" s="917"/>
      <c r="O139" s="916"/>
      <c r="P139" s="874">
        <f t="shared" ref="P139:P156" si="54">SUM(G139:O139)</f>
        <v>2000</v>
      </c>
      <c r="Q139" s="715">
        <f t="shared" si="50"/>
        <v>6.3139664793346276E-2</v>
      </c>
      <c r="R139" s="733">
        <f t="shared" si="52"/>
        <v>0.93686033520665368</v>
      </c>
      <c r="S139" s="751">
        <f>P139*$AB$25</f>
        <v>958.42567781331684</v>
      </c>
      <c r="T139" s="712">
        <f>P139*$AC$25</f>
        <v>1041.574322186683</v>
      </c>
      <c r="U139" s="712">
        <f>P139*$AD$25</f>
        <v>734.0620806243013</v>
      </c>
      <c r="V139" s="712">
        <f>P139*$AE$25</f>
        <v>1088.2503980494482</v>
      </c>
      <c r="W139" s="712">
        <f>P139*$AF$25</f>
        <v>177.68752132625067</v>
      </c>
      <c r="X139" s="712">
        <f>P139*$AG$25</f>
        <v>304.55415502103307</v>
      </c>
      <c r="Y139" s="722">
        <f t="shared" ref="Y139:Y156" si="55">F139-P139</f>
        <v>29675.809596802959</v>
      </c>
      <c r="AK139" s="60">
        <f t="shared" si="32"/>
        <v>2000</v>
      </c>
      <c r="AL139" s="60">
        <f t="shared" si="33"/>
        <v>0</v>
      </c>
      <c r="AM139" s="60">
        <f t="shared" si="34"/>
        <v>0</v>
      </c>
    </row>
    <row r="140" spans="3:39" hidden="1">
      <c r="C140" s="1146"/>
      <c r="D140" s="712" t="s">
        <v>2704</v>
      </c>
      <c r="E140" s="713">
        <v>6881.8180702501222</v>
      </c>
      <c r="F140" s="714">
        <v>2420.6544562000977</v>
      </c>
      <c r="G140" s="915"/>
      <c r="H140" s="917"/>
      <c r="I140" s="917"/>
      <c r="J140" s="916"/>
      <c r="K140" s="915"/>
      <c r="L140" s="916"/>
      <c r="M140" s="915"/>
      <c r="N140" s="917"/>
      <c r="O140" s="916"/>
      <c r="P140" s="874">
        <f t="shared" si="54"/>
        <v>0</v>
      </c>
      <c r="Q140" s="715">
        <f t="shared" si="50"/>
        <v>0</v>
      </c>
      <c r="R140" s="733">
        <f t="shared" si="52"/>
        <v>1</v>
      </c>
      <c r="S140" s="751">
        <f>P140*$AB$26</f>
        <v>0</v>
      </c>
      <c r="T140" s="712">
        <f>P140*$AC$26</f>
        <v>0</v>
      </c>
      <c r="U140" s="712">
        <f>P140*$AD$26</f>
        <v>0</v>
      </c>
      <c r="V140" s="712">
        <f>P140*$AE$26</f>
        <v>0</v>
      </c>
      <c r="W140" s="712">
        <f>P140*$AF$26</f>
        <v>0</v>
      </c>
      <c r="X140" s="712">
        <f>P140*$AG$26</f>
        <v>0</v>
      </c>
      <c r="Y140" s="722">
        <f t="shared" si="55"/>
        <v>2420.6544562000977</v>
      </c>
      <c r="AK140" s="60">
        <f t="shared" si="32"/>
        <v>0</v>
      </c>
      <c r="AL140" s="60">
        <f t="shared" si="33"/>
        <v>0</v>
      </c>
      <c r="AM140" s="60">
        <f t="shared" si="34"/>
        <v>0</v>
      </c>
    </row>
    <row r="141" spans="3:39" hidden="1">
      <c r="C141" s="1146"/>
      <c r="D141" s="712" t="s">
        <v>2705</v>
      </c>
      <c r="E141" s="713">
        <v>170547.23083816754</v>
      </c>
      <c r="F141" s="714">
        <v>45630.246167633508</v>
      </c>
      <c r="G141" s="915"/>
      <c r="H141" s="917"/>
      <c r="I141" s="917"/>
      <c r="J141" s="916"/>
      <c r="K141" s="984">
        <v>68</v>
      </c>
      <c r="L141" s="916"/>
      <c r="M141" s="915"/>
      <c r="N141" s="917"/>
      <c r="O141" s="916"/>
      <c r="P141" s="874">
        <f t="shared" si="54"/>
        <v>68</v>
      </c>
      <c r="Q141" s="715">
        <f t="shared" si="50"/>
        <v>1.4902396044541577E-3</v>
      </c>
      <c r="R141" s="733">
        <f t="shared" si="52"/>
        <v>0.99850976039554584</v>
      </c>
      <c r="S141" s="751">
        <f>P141*$AB$27</f>
        <v>32.453197672489935</v>
      </c>
      <c r="T141" s="712">
        <f>P141*$AC$27</f>
        <v>35.546802327510065</v>
      </c>
      <c r="U141" s="712">
        <f>P141*$AD$27</f>
        <v>22.95760854982759</v>
      </c>
      <c r="V141" s="712">
        <f>P141*$AE$27</f>
        <v>39.09019999083695</v>
      </c>
      <c r="W141" s="712">
        <f>P141*$AF$27</f>
        <v>5.9521914593354559</v>
      </c>
      <c r="X141" s="712">
        <f>P141*$AG$27</f>
        <v>8.5396735175292431</v>
      </c>
      <c r="Y141" s="722">
        <f t="shared" si="55"/>
        <v>45562.246167633508</v>
      </c>
      <c r="AK141" s="60">
        <f t="shared" si="32"/>
        <v>68</v>
      </c>
      <c r="AL141" s="60">
        <f t="shared" si="33"/>
        <v>0</v>
      </c>
      <c r="AM141" s="60">
        <f t="shared" si="34"/>
        <v>0</v>
      </c>
    </row>
    <row r="142" spans="3:39" hidden="1">
      <c r="C142" s="1146"/>
      <c r="D142" s="712" t="s">
        <v>2706</v>
      </c>
      <c r="E142" s="713">
        <v>0</v>
      </c>
      <c r="F142" s="714">
        <v>0</v>
      </c>
      <c r="G142" s="915"/>
      <c r="H142" s="918"/>
      <c r="I142" s="918"/>
      <c r="J142" s="919"/>
      <c r="K142" s="930"/>
      <c r="L142" s="919"/>
      <c r="M142" s="930"/>
      <c r="N142" s="918"/>
      <c r="O142" s="919"/>
      <c r="P142" s="874">
        <f t="shared" si="54"/>
        <v>0</v>
      </c>
      <c r="Q142" s="715" t="e">
        <f t="shared" si="50"/>
        <v>#DIV/0!</v>
      </c>
      <c r="R142" s="733" t="e">
        <f t="shared" si="52"/>
        <v>#DIV/0!</v>
      </c>
      <c r="S142" s="751">
        <f>P142*$AB$28</f>
        <v>0</v>
      </c>
      <c r="T142" s="712">
        <f>P142*$AC$28</f>
        <v>0</v>
      </c>
      <c r="U142" s="712">
        <f>P142*$AD$28</f>
        <v>0</v>
      </c>
      <c r="V142" s="712">
        <f>P142*$AE$28</f>
        <v>0</v>
      </c>
      <c r="W142" s="712">
        <f>P142*$AF$28</f>
        <v>0</v>
      </c>
      <c r="X142" s="712">
        <f>P142*$AG$28</f>
        <v>0</v>
      </c>
      <c r="Y142" s="722">
        <f t="shared" si="55"/>
        <v>0</v>
      </c>
      <c r="AK142" s="60">
        <f t="shared" si="32"/>
        <v>0</v>
      </c>
      <c r="AL142" s="60">
        <f t="shared" si="33"/>
        <v>0</v>
      </c>
      <c r="AM142" s="60">
        <f t="shared" si="34"/>
        <v>0</v>
      </c>
    </row>
    <row r="143" spans="3:39" hidden="1">
      <c r="C143" s="1146"/>
      <c r="D143" s="712" t="s">
        <v>613</v>
      </c>
      <c r="E143" s="713">
        <v>133949.83369622205</v>
      </c>
      <c r="F143" s="714">
        <v>90589.166739244407</v>
      </c>
      <c r="G143" s="915"/>
      <c r="H143" s="918"/>
      <c r="I143" s="918"/>
      <c r="J143" s="919"/>
      <c r="K143" s="930"/>
      <c r="L143" s="919"/>
      <c r="M143" s="930"/>
      <c r="N143" s="918"/>
      <c r="O143" s="919"/>
      <c r="P143" s="874">
        <f t="shared" si="54"/>
        <v>0</v>
      </c>
      <c r="Q143" s="715">
        <f t="shared" si="50"/>
        <v>0</v>
      </c>
      <c r="R143" s="733">
        <f t="shared" si="52"/>
        <v>1</v>
      </c>
      <c r="S143" s="751">
        <f>P143*$AB$29</f>
        <v>0</v>
      </c>
      <c r="T143" s="712">
        <f>P143*$AC$29</f>
        <v>0</v>
      </c>
      <c r="U143" s="712">
        <f>P143*$AD$29</f>
        <v>0</v>
      </c>
      <c r="V143" s="712">
        <f>P143*$AE$29</f>
        <v>0</v>
      </c>
      <c r="W143" s="712">
        <f>P143*$AF$29</f>
        <v>0</v>
      </c>
      <c r="X143" s="712">
        <f>P143*$AG$29</f>
        <v>0</v>
      </c>
      <c r="Y143" s="722">
        <f t="shared" si="55"/>
        <v>90589.166739244407</v>
      </c>
      <c r="AK143" s="60">
        <f t="shared" si="32"/>
        <v>0</v>
      </c>
      <c r="AL143" s="60">
        <f t="shared" si="33"/>
        <v>0</v>
      </c>
      <c r="AM143" s="60">
        <f t="shared" si="34"/>
        <v>0</v>
      </c>
    </row>
    <row r="144" spans="3:39">
      <c r="C144" s="1146"/>
      <c r="D144" s="712" t="s">
        <v>37</v>
      </c>
      <c r="E144" s="713">
        <v>231228.27654495894</v>
      </c>
      <c r="F144" s="714">
        <v>121307.82765449589</v>
      </c>
      <c r="G144" s="915">
        <f>J2</f>
        <v>50884</v>
      </c>
      <c r="H144" s="918"/>
      <c r="I144" s="918"/>
      <c r="J144" s="919"/>
      <c r="K144" s="930"/>
      <c r="L144" s="919"/>
      <c r="M144" s="930"/>
      <c r="N144" s="918"/>
      <c r="O144" s="919"/>
      <c r="P144" s="874">
        <f t="shared" si="54"/>
        <v>50884</v>
      </c>
      <c r="Q144" s="715">
        <f t="shared" si="50"/>
        <v>0.41946180212645284</v>
      </c>
      <c r="R144" s="733">
        <f t="shared" si="52"/>
        <v>0.5805381978735471</v>
      </c>
      <c r="S144" s="751">
        <f>P144*$AB$30</f>
        <v>25943.051197967045</v>
      </c>
      <c r="T144" s="712">
        <f>P144*$AC$30</f>
        <v>24940.948802032955</v>
      </c>
      <c r="U144" s="712">
        <f>P144*$AD$30</f>
        <v>18323.203141387381</v>
      </c>
      <c r="V144" s="712">
        <f>P144*$AE$30</f>
        <v>29762.370595815424</v>
      </c>
      <c r="W144" s="712">
        <f>P144*$AF$30</f>
        <v>2798.4262627971912</v>
      </c>
      <c r="X144" s="712">
        <f>P144*$AG$30</f>
        <v>4527.5370183665336</v>
      </c>
      <c r="Y144" s="722">
        <f t="shared" si="55"/>
        <v>70423.827654495894</v>
      </c>
      <c r="AK144" s="60">
        <f t="shared" si="32"/>
        <v>50884</v>
      </c>
      <c r="AL144" s="60">
        <f t="shared" si="33"/>
        <v>0</v>
      </c>
      <c r="AM144" s="60">
        <f t="shared" si="34"/>
        <v>0</v>
      </c>
    </row>
    <row r="145" spans="3:39" hidden="1">
      <c r="C145" s="1146"/>
      <c r="D145" s="712" t="s">
        <v>2707</v>
      </c>
      <c r="E145" s="713">
        <v>207176.84686270333</v>
      </c>
      <c r="F145" s="714">
        <v>78681.919372540666</v>
      </c>
      <c r="G145" s="915"/>
      <c r="H145" s="918"/>
      <c r="I145" s="918"/>
      <c r="J145" s="919"/>
      <c r="K145" s="985">
        <v>7136</v>
      </c>
      <c r="L145" s="919"/>
      <c r="M145" s="930"/>
      <c r="N145" s="918"/>
      <c r="O145" s="919"/>
      <c r="P145" s="874">
        <f t="shared" si="54"/>
        <v>7136</v>
      </c>
      <c r="Q145" s="715">
        <f t="shared" si="50"/>
        <v>9.0694279663065827E-2</v>
      </c>
      <c r="R145" s="733">
        <f t="shared" si="52"/>
        <v>0.90930572033693413</v>
      </c>
      <c r="S145" s="751">
        <f>P145*$AB$31</f>
        <v>3675.589909054142</v>
      </c>
      <c r="T145" s="712">
        <f>P145*$AC$31</f>
        <v>3460.4100909458584</v>
      </c>
      <c r="U145" s="712">
        <f>P145*$AD$31</f>
        <v>2891.0774769997242</v>
      </c>
      <c r="V145" s="712">
        <f>P145*$AE$31</f>
        <v>3871.9485324132061</v>
      </c>
      <c r="W145" s="712">
        <f>P145*$AF$31</f>
        <v>372.97399058706958</v>
      </c>
      <c r="X145" s="712">
        <f>P145*$AG$31</f>
        <v>772.96396534260259</v>
      </c>
      <c r="Y145" s="722">
        <f t="shared" si="55"/>
        <v>71545.919372540666</v>
      </c>
      <c r="AK145" s="60">
        <f t="shared" si="32"/>
        <v>7136</v>
      </c>
      <c r="AL145" s="60">
        <f t="shared" si="33"/>
        <v>0</v>
      </c>
      <c r="AM145" s="60">
        <f t="shared" si="34"/>
        <v>0</v>
      </c>
    </row>
    <row r="146" spans="3:39" hidden="1">
      <c r="C146" s="1146"/>
      <c r="D146" s="712" t="s">
        <v>2347</v>
      </c>
      <c r="E146" s="713">
        <v>293903.52269109758</v>
      </c>
      <c r="F146" s="714">
        <v>75923.504538219524</v>
      </c>
      <c r="G146" s="915"/>
      <c r="H146" s="918"/>
      <c r="I146" s="918"/>
      <c r="J146" s="919"/>
      <c r="K146" s="985">
        <v>6523</v>
      </c>
      <c r="L146" s="919"/>
      <c r="M146" s="930"/>
      <c r="N146" s="918"/>
      <c r="O146" s="919"/>
      <c r="P146" s="874">
        <f t="shared" si="54"/>
        <v>6523</v>
      </c>
      <c r="Q146" s="715">
        <f t="shared" si="50"/>
        <v>8.5915422894057181E-2</v>
      </c>
      <c r="R146" s="733">
        <f t="shared" si="52"/>
        <v>0.91408457710594282</v>
      </c>
      <c r="S146" s="751">
        <f>P146*$AB$32</f>
        <v>3236.4352533708293</v>
      </c>
      <c r="T146" s="712">
        <f>P146*$AC$32</f>
        <v>3286.5647466291707</v>
      </c>
      <c r="U146" s="712">
        <f>P146*$AD$32</f>
        <v>2689.3565410688907</v>
      </c>
      <c r="V146" s="712">
        <f>P146*$AE$32</f>
        <v>3374.1621397223739</v>
      </c>
      <c r="W146" s="712">
        <f>P146*$AF$32</f>
        <v>459.48131920873544</v>
      </c>
      <c r="X146" s="712">
        <f>P146*$AG$32</f>
        <v>1084.8598740090854</v>
      </c>
      <c r="Y146" s="722">
        <f t="shared" si="55"/>
        <v>69400.504538219524</v>
      </c>
      <c r="AK146" s="60">
        <f t="shared" si="32"/>
        <v>6523</v>
      </c>
      <c r="AL146" s="60">
        <f t="shared" si="33"/>
        <v>0</v>
      </c>
      <c r="AM146" s="60">
        <f t="shared" si="34"/>
        <v>0</v>
      </c>
    </row>
    <row r="147" spans="3:39" hidden="1">
      <c r="C147" s="1146"/>
      <c r="D147" s="712" t="s">
        <v>2708</v>
      </c>
      <c r="E147" s="713">
        <v>388884.05822737725</v>
      </c>
      <c r="F147" s="714">
        <v>122354.01164547546</v>
      </c>
      <c r="G147" s="915"/>
      <c r="H147" s="918"/>
      <c r="I147" s="918"/>
      <c r="J147" s="919"/>
      <c r="K147" s="930"/>
      <c r="L147" s="919"/>
      <c r="M147" s="930"/>
      <c r="N147" s="918"/>
      <c r="O147" s="919"/>
      <c r="P147" s="874">
        <f t="shared" si="54"/>
        <v>0</v>
      </c>
      <c r="Q147" s="715">
        <f t="shared" si="50"/>
        <v>0</v>
      </c>
      <c r="R147" s="733">
        <f t="shared" si="52"/>
        <v>1</v>
      </c>
      <c r="S147" s="751">
        <f>P147*$AB$33</f>
        <v>0</v>
      </c>
      <c r="T147" s="712">
        <f>P147*$AC$33</f>
        <v>0</v>
      </c>
      <c r="U147" s="712">
        <f>P147*$AD$33</f>
        <v>0</v>
      </c>
      <c r="V147" s="712">
        <f>P147*$AE$33</f>
        <v>0</v>
      </c>
      <c r="W147" s="712">
        <f>P147*$AF$33</f>
        <v>0</v>
      </c>
      <c r="X147" s="712">
        <f>P147*$AG$33</f>
        <v>0</v>
      </c>
      <c r="Y147" s="722">
        <f t="shared" si="55"/>
        <v>122354.01164547546</v>
      </c>
      <c r="AK147" s="60">
        <f t="shared" si="32"/>
        <v>0</v>
      </c>
      <c r="AL147" s="60">
        <f t="shared" si="33"/>
        <v>0</v>
      </c>
      <c r="AM147" s="60">
        <f t="shared" si="34"/>
        <v>0</v>
      </c>
    </row>
    <row r="148" spans="3:39" hidden="1">
      <c r="C148" s="1146"/>
      <c r="D148" s="712" t="s">
        <v>2709</v>
      </c>
      <c r="E148" s="713">
        <v>22342.381043354912</v>
      </c>
      <c r="F148" s="714">
        <v>0</v>
      </c>
      <c r="G148" s="915"/>
      <c r="H148" s="918"/>
      <c r="I148" s="918"/>
      <c r="J148" s="919"/>
      <c r="K148" s="930"/>
      <c r="L148" s="919"/>
      <c r="M148" s="930"/>
      <c r="N148" s="918"/>
      <c r="O148" s="919"/>
      <c r="P148" s="874">
        <f t="shared" si="54"/>
        <v>0</v>
      </c>
      <c r="Q148" s="715" t="e">
        <f t="shared" si="50"/>
        <v>#DIV/0!</v>
      </c>
      <c r="R148" s="733" t="e">
        <f t="shared" si="52"/>
        <v>#DIV/0!</v>
      </c>
      <c r="S148" s="751">
        <f>P148*$AB$34</f>
        <v>0</v>
      </c>
      <c r="T148" s="712">
        <f>P148*$AC$34</f>
        <v>0</v>
      </c>
      <c r="U148" s="712">
        <f>P148*$AD$34</f>
        <v>0</v>
      </c>
      <c r="V148" s="712">
        <f>P148*$AE$34</f>
        <v>0</v>
      </c>
      <c r="W148" s="712">
        <f>P148*$AF$34</f>
        <v>0</v>
      </c>
      <c r="X148" s="712">
        <f>P148*$AG$34</f>
        <v>0</v>
      </c>
      <c r="Y148" s="722">
        <f t="shared" si="55"/>
        <v>0</v>
      </c>
      <c r="AK148" s="60">
        <f t="shared" si="32"/>
        <v>0</v>
      </c>
      <c r="AL148" s="60">
        <f t="shared" si="33"/>
        <v>0</v>
      </c>
      <c r="AM148" s="60">
        <f t="shared" si="34"/>
        <v>0</v>
      </c>
    </row>
    <row r="149" spans="3:39" hidden="1">
      <c r="C149" s="1146"/>
      <c r="D149" s="712" t="s">
        <v>2710</v>
      </c>
      <c r="E149" s="713">
        <v>0</v>
      </c>
      <c r="F149" s="714">
        <v>0</v>
      </c>
      <c r="G149" s="915"/>
      <c r="H149" s="917"/>
      <c r="I149" s="917"/>
      <c r="J149" s="916"/>
      <c r="K149" s="915"/>
      <c r="L149" s="916"/>
      <c r="M149" s="915"/>
      <c r="N149" s="917"/>
      <c r="O149" s="916"/>
      <c r="P149" s="874">
        <f t="shared" si="54"/>
        <v>0</v>
      </c>
      <c r="Q149" s="715" t="e">
        <f t="shared" si="50"/>
        <v>#DIV/0!</v>
      </c>
      <c r="R149" s="733" t="e">
        <f t="shared" si="52"/>
        <v>#DIV/0!</v>
      </c>
      <c r="S149" s="751">
        <f>P149*$AB$35</f>
        <v>0</v>
      </c>
      <c r="T149" s="712">
        <f>P149*$AC$35</f>
        <v>0</v>
      </c>
      <c r="U149" s="712">
        <f>P149*$AD$35</f>
        <v>0</v>
      </c>
      <c r="V149" s="712">
        <f>P149*$AE$35</f>
        <v>0</v>
      </c>
      <c r="W149" s="712">
        <f>P149*$AF$35</f>
        <v>0</v>
      </c>
      <c r="X149" s="712">
        <f>P149*$AG$35</f>
        <v>0</v>
      </c>
      <c r="Y149" s="722">
        <f t="shared" si="55"/>
        <v>0</v>
      </c>
      <c r="AK149" s="60">
        <f t="shared" si="32"/>
        <v>0</v>
      </c>
      <c r="AL149" s="60">
        <f t="shared" si="33"/>
        <v>0</v>
      </c>
      <c r="AM149" s="60">
        <f t="shared" si="34"/>
        <v>0</v>
      </c>
    </row>
    <row r="150" spans="3:39" hidden="1">
      <c r="C150" s="1146"/>
      <c r="D150" s="712" t="s">
        <v>304</v>
      </c>
      <c r="E150" s="713">
        <v>1041892.4324525243</v>
      </c>
      <c r="F150" s="714">
        <v>494284.62298100966</v>
      </c>
      <c r="G150" s="915">
        <v>58286</v>
      </c>
      <c r="H150" s="953">
        <v>9063</v>
      </c>
      <c r="I150" s="917">
        <v>13284</v>
      </c>
      <c r="J150" s="916"/>
      <c r="K150" s="915"/>
      <c r="L150" s="916"/>
      <c r="M150" s="915"/>
      <c r="N150" s="917"/>
      <c r="O150" s="916"/>
      <c r="P150" s="874">
        <f t="shared" si="54"/>
        <v>80633</v>
      </c>
      <c r="Q150" s="715">
        <f t="shared" si="50"/>
        <v>0.16313070698761736</v>
      </c>
      <c r="R150" s="733">
        <f t="shared" si="52"/>
        <v>0.83686929301238266</v>
      </c>
      <c r="S150" s="751">
        <f>P150*$AB$36</f>
        <v>38216.106184478689</v>
      </c>
      <c r="T150" s="712">
        <f>P150*$AC$36</f>
        <v>42416.893815521311</v>
      </c>
      <c r="U150" s="712">
        <f>P150*$AD$36</f>
        <v>29598.182536555287</v>
      </c>
      <c r="V150" s="712">
        <f>P150*$AE$36</f>
        <v>43942.379649963063</v>
      </c>
      <c r="W150" s="712">
        <f>P150*$AF$36</f>
        <v>7092.4378134816607</v>
      </c>
      <c r="X150" s="712">
        <f>P150*$AG$36</f>
        <v>13986.421784041364</v>
      </c>
      <c r="Y150" s="722">
        <f t="shared" si="55"/>
        <v>413651.62298100966</v>
      </c>
      <c r="AK150" s="60">
        <f t="shared" si="32"/>
        <v>67349</v>
      </c>
      <c r="AL150" s="60">
        <f t="shared" si="33"/>
        <v>13284</v>
      </c>
      <c r="AM150" s="60">
        <f t="shared" si="34"/>
        <v>0</v>
      </c>
    </row>
    <row r="151" spans="3:39" hidden="1">
      <c r="C151" s="1146"/>
      <c r="D151" s="712" t="s">
        <v>2711</v>
      </c>
      <c r="E151" s="713">
        <v>1841693.9600234586</v>
      </c>
      <c r="F151" s="714">
        <v>352045.49600234587</v>
      </c>
      <c r="G151" s="915"/>
      <c r="H151" s="917"/>
      <c r="I151" s="917"/>
      <c r="J151" s="916"/>
      <c r="K151" s="930"/>
      <c r="L151" s="916"/>
      <c r="M151" s="915"/>
      <c r="N151" s="917"/>
      <c r="O151" s="916"/>
      <c r="P151" s="874">
        <f t="shared" si="54"/>
        <v>0</v>
      </c>
      <c r="Q151" s="715">
        <f t="shared" si="50"/>
        <v>0</v>
      </c>
      <c r="R151" s="733">
        <f t="shared" si="52"/>
        <v>1</v>
      </c>
      <c r="S151" s="751">
        <f>P151*$AB$37</f>
        <v>0</v>
      </c>
      <c r="T151" s="712">
        <f>P151*$AC$37</f>
        <v>0</v>
      </c>
      <c r="U151" s="712">
        <f>P151*$AD$37</f>
        <v>0</v>
      </c>
      <c r="V151" s="712">
        <f>P151*$AE$37</f>
        <v>0</v>
      </c>
      <c r="W151" s="712">
        <f>P151*$AF$37</f>
        <v>0</v>
      </c>
      <c r="X151" s="712">
        <f>P151*$AG$37</f>
        <v>0</v>
      </c>
      <c r="Y151" s="722">
        <f t="shared" si="55"/>
        <v>352045.49600234587</v>
      </c>
      <c r="AK151" s="60">
        <f t="shared" si="32"/>
        <v>0</v>
      </c>
      <c r="AL151" s="60">
        <f t="shared" si="33"/>
        <v>0</v>
      </c>
      <c r="AM151" s="60">
        <f t="shared" si="34"/>
        <v>0</v>
      </c>
    </row>
    <row r="152" spans="3:39" hidden="1">
      <c r="C152" s="1146"/>
      <c r="D152" s="712" t="s">
        <v>2712</v>
      </c>
      <c r="E152" s="713">
        <v>0</v>
      </c>
      <c r="F152" s="714">
        <v>0</v>
      </c>
      <c r="G152" s="915"/>
      <c r="H152" s="917"/>
      <c r="I152" s="917"/>
      <c r="J152" s="916"/>
      <c r="K152" s="984">
        <v>10000</v>
      </c>
      <c r="L152" s="916"/>
      <c r="M152" s="915"/>
      <c r="N152" s="917"/>
      <c r="O152" s="916"/>
      <c r="P152" s="874">
        <f t="shared" si="54"/>
        <v>10000</v>
      </c>
      <c r="Q152" s="715" t="e">
        <f t="shared" si="50"/>
        <v>#DIV/0!</v>
      </c>
      <c r="R152" s="733" t="e">
        <f t="shared" si="52"/>
        <v>#DIV/0!</v>
      </c>
      <c r="S152" s="751">
        <f>P152*$AB$38</f>
        <v>5200.0083467854001</v>
      </c>
      <c r="T152" s="712">
        <f>P152*$AC$38</f>
        <v>4799.9916532145999</v>
      </c>
      <c r="U152" s="712">
        <f>P152*$AD$38</f>
        <v>3799.6649287003429</v>
      </c>
      <c r="V152" s="712">
        <f>P152*$AE$38</f>
        <v>5620.2252854870667</v>
      </c>
      <c r="W152" s="712">
        <f>P152*$AF$38</f>
        <v>580.10978581259076</v>
      </c>
      <c r="X152" s="712">
        <f>P152*$AG$38</f>
        <v>862.18050764048519</v>
      </c>
      <c r="Y152" s="722">
        <f t="shared" si="55"/>
        <v>-10000</v>
      </c>
      <c r="AK152" s="60">
        <f t="shared" si="32"/>
        <v>10000</v>
      </c>
      <c r="AL152" s="60">
        <f t="shared" si="33"/>
        <v>0</v>
      </c>
      <c r="AM152" s="60">
        <f t="shared" si="34"/>
        <v>0</v>
      </c>
    </row>
    <row r="153" spans="3:39" hidden="1">
      <c r="C153" s="1146"/>
      <c r="D153" s="712" t="s">
        <v>515</v>
      </c>
      <c r="E153" s="713">
        <v>179191.85816781156</v>
      </c>
      <c r="F153" s="714">
        <v>67807.757450343488</v>
      </c>
      <c r="G153" s="915">
        <f>J3</f>
        <v>5542</v>
      </c>
      <c r="H153" s="917"/>
      <c r="I153" s="917">
        <v>752</v>
      </c>
      <c r="J153" s="916"/>
      <c r="K153" s="915"/>
      <c r="L153" s="916"/>
      <c r="M153" s="915"/>
      <c r="N153" s="917"/>
      <c r="O153" s="916"/>
      <c r="P153" s="874">
        <f t="shared" si="54"/>
        <v>6294</v>
      </c>
      <c r="Q153" s="715">
        <f t="shared" si="50"/>
        <v>9.2821238109948981E-2</v>
      </c>
      <c r="R153" s="733">
        <f t="shared" si="52"/>
        <v>0.90717876189005098</v>
      </c>
      <c r="S153" s="751">
        <f>P153*$AB$39</f>
        <v>3147.9723300404789</v>
      </c>
      <c r="T153" s="712">
        <f>P153*$AC$39</f>
        <v>3146.0276699595211</v>
      </c>
      <c r="U153" s="712">
        <f>P153*$AD$39</f>
        <v>2391.5091061239955</v>
      </c>
      <c r="V153" s="712">
        <f>P153*$AE$39</f>
        <v>3537.3697946855586</v>
      </c>
      <c r="W153" s="712">
        <f>P153*$AF$39</f>
        <v>365.12109919044445</v>
      </c>
      <c r="X153" s="712">
        <f>P153*$AG$39</f>
        <v>542.65641150892111</v>
      </c>
      <c r="Y153" s="722">
        <f t="shared" si="55"/>
        <v>61513.757450343488</v>
      </c>
      <c r="AK153" s="60">
        <f t="shared" si="32"/>
        <v>5542</v>
      </c>
      <c r="AL153" s="60">
        <f t="shared" si="33"/>
        <v>752</v>
      </c>
      <c r="AM153" s="60">
        <f t="shared" si="34"/>
        <v>0</v>
      </c>
    </row>
    <row r="154" spans="3:39" hidden="1">
      <c r="C154" s="1146"/>
      <c r="D154" s="712" t="s">
        <v>2653</v>
      </c>
      <c r="E154" s="713">
        <v>360411.00452311093</v>
      </c>
      <c r="F154" s="714">
        <v>108123.30135693328</v>
      </c>
      <c r="G154" s="915"/>
      <c r="H154" s="917"/>
      <c r="I154" s="917"/>
      <c r="J154" s="916"/>
      <c r="K154" s="984">
        <v>1583</v>
      </c>
      <c r="L154" s="916"/>
      <c r="M154" s="915"/>
      <c r="N154" s="917"/>
      <c r="O154" s="916"/>
      <c r="P154" s="874">
        <f t="shared" si="54"/>
        <v>1583</v>
      </c>
      <c r="Q154" s="715">
        <f t="shared" si="50"/>
        <v>1.4640692432931266E-2</v>
      </c>
      <c r="R154" s="733">
        <f t="shared" si="52"/>
        <v>0.98535930756706869</v>
      </c>
      <c r="S154" s="751">
        <f>P154*$AB$40</f>
        <v>785.32157199604967</v>
      </c>
      <c r="T154" s="712">
        <f>P154*$AC$40</f>
        <v>797.67842800395033</v>
      </c>
      <c r="U154" s="712">
        <f>P154*$AD$40</f>
        <v>601.48695821326419</v>
      </c>
      <c r="V154" s="712">
        <f>P154*$AE$40</f>
        <v>889.68166269260234</v>
      </c>
      <c r="W154" s="712">
        <f>P154*$AF$40</f>
        <v>91.831379094133084</v>
      </c>
      <c r="X154" s="712">
        <f>P154*$AG$40</f>
        <v>136.48317435948874</v>
      </c>
      <c r="Y154" s="722">
        <f t="shared" si="55"/>
        <v>106540.30135693328</v>
      </c>
      <c r="AK154" s="60">
        <f t="shared" si="32"/>
        <v>1583</v>
      </c>
      <c r="AL154" s="60">
        <f t="shared" si="33"/>
        <v>0</v>
      </c>
      <c r="AM154" s="60">
        <f t="shared" si="34"/>
        <v>0</v>
      </c>
    </row>
    <row r="155" spans="3:39" hidden="1">
      <c r="C155" s="1146"/>
      <c r="D155" s="712" t="s">
        <v>2713</v>
      </c>
      <c r="E155" s="713">
        <v>115607.06136423421</v>
      </c>
      <c r="F155" s="714">
        <v>29710.912272846846</v>
      </c>
      <c r="G155" s="915"/>
      <c r="H155" s="917"/>
      <c r="I155" s="917"/>
      <c r="J155" s="916"/>
      <c r="K155" s="915"/>
      <c r="L155" s="916"/>
      <c r="M155" s="915"/>
      <c r="N155" s="917"/>
      <c r="O155" s="916"/>
      <c r="P155" s="874">
        <f t="shared" si="54"/>
        <v>0</v>
      </c>
      <c r="Q155" s="715">
        <f t="shared" si="50"/>
        <v>0</v>
      </c>
      <c r="R155" s="733">
        <f t="shared" si="52"/>
        <v>1</v>
      </c>
      <c r="S155" s="751">
        <f>P155*$AB$41</f>
        <v>0</v>
      </c>
      <c r="T155" s="712">
        <f>P155*$AC$41</f>
        <v>0</v>
      </c>
      <c r="U155" s="712">
        <f>P155*$AD$41</f>
        <v>0</v>
      </c>
      <c r="V155" s="712">
        <f>P155*$AE$41</f>
        <v>0</v>
      </c>
      <c r="W155" s="712">
        <f>P155*$AF$41</f>
        <v>0</v>
      </c>
      <c r="X155" s="712">
        <f>P155*$AG$41</f>
        <v>0</v>
      </c>
      <c r="Y155" s="722">
        <f t="shared" si="55"/>
        <v>29710.912272846846</v>
      </c>
      <c r="AK155" s="60">
        <f t="shared" si="32"/>
        <v>0</v>
      </c>
      <c r="AL155" s="60">
        <f t="shared" si="33"/>
        <v>0</v>
      </c>
      <c r="AM155" s="60">
        <f t="shared" si="34"/>
        <v>0</v>
      </c>
    </row>
    <row r="156" spans="3:39" hidden="1">
      <c r="C156" s="1146"/>
      <c r="D156" s="712" t="s">
        <v>2714</v>
      </c>
      <c r="E156" s="713">
        <v>49258.943580096828</v>
      </c>
      <c r="F156" s="714">
        <v>9175.5774320387318</v>
      </c>
      <c r="G156" s="915"/>
      <c r="H156" s="917"/>
      <c r="I156" s="917"/>
      <c r="J156" s="916"/>
      <c r="K156" s="915"/>
      <c r="L156" s="916"/>
      <c r="M156" s="915"/>
      <c r="N156" s="917"/>
      <c r="O156" s="916"/>
      <c r="P156" s="874">
        <f t="shared" si="54"/>
        <v>0</v>
      </c>
      <c r="Q156" s="715">
        <f t="shared" si="50"/>
        <v>0</v>
      </c>
      <c r="R156" s="733">
        <f t="shared" si="52"/>
        <v>1</v>
      </c>
      <c r="S156" s="751">
        <f>P156*$AB$42</f>
        <v>0</v>
      </c>
      <c r="T156" s="712">
        <f>P156*$AC$42</f>
        <v>0</v>
      </c>
      <c r="U156" s="712">
        <f>P156*$AD$42</f>
        <v>0</v>
      </c>
      <c r="V156" s="712">
        <f>P156*$AE$42</f>
        <v>0</v>
      </c>
      <c r="W156" s="712">
        <f>P156*$AF$42</f>
        <v>0</v>
      </c>
      <c r="X156" s="712">
        <f>P156*$AG$42</f>
        <v>0</v>
      </c>
      <c r="Y156" s="722">
        <f t="shared" si="55"/>
        <v>9175.5774320387318</v>
      </c>
      <c r="AK156" s="60">
        <f t="shared" si="32"/>
        <v>0</v>
      </c>
      <c r="AL156" s="60">
        <f t="shared" si="33"/>
        <v>0</v>
      </c>
      <c r="AM156" s="60">
        <f t="shared" si="34"/>
        <v>0</v>
      </c>
    </row>
    <row r="157" spans="3:39" s="602" customFormat="1" ht="23.5" hidden="1" customHeight="1">
      <c r="C157" s="1147"/>
      <c r="D157" s="716" t="s">
        <v>1488</v>
      </c>
      <c r="E157" s="717">
        <f t="shared" ref="E157:O157" si="56">SUM(E139:E156)</f>
        <v>5154066.0260693831</v>
      </c>
      <c r="F157" s="870">
        <f t="shared" si="56"/>
        <v>1629730.8076661306</v>
      </c>
      <c r="G157" s="920">
        <f>SUM(G139:G156)</f>
        <v>114712</v>
      </c>
      <c r="H157" s="921">
        <f t="shared" si="56"/>
        <v>11063</v>
      </c>
      <c r="I157" s="921">
        <f t="shared" si="56"/>
        <v>14036</v>
      </c>
      <c r="J157" s="922">
        <f t="shared" si="56"/>
        <v>0</v>
      </c>
      <c r="K157" s="920">
        <f t="shared" si="56"/>
        <v>25310</v>
      </c>
      <c r="L157" s="922">
        <f t="shared" si="56"/>
        <v>0</v>
      </c>
      <c r="M157" s="921">
        <f t="shared" si="56"/>
        <v>0</v>
      </c>
      <c r="N157" s="921">
        <f t="shared" si="56"/>
        <v>0</v>
      </c>
      <c r="O157" s="922">
        <f t="shared" si="56"/>
        <v>0</v>
      </c>
      <c r="P157" s="822">
        <f>SUM(P139:P156)</f>
        <v>165121</v>
      </c>
      <c r="Q157" s="718">
        <f t="shared" si="50"/>
        <v>0.10131795952023689</v>
      </c>
      <c r="R157" s="734">
        <f t="shared" si="52"/>
        <v>0.89868204047976308</v>
      </c>
      <c r="S157" s="752">
        <f t="shared" ref="S157:X157" si="57">SUM(S139:S156)</f>
        <v>81195.36366917842</v>
      </c>
      <c r="T157" s="719">
        <f t="shared" si="57"/>
        <v>83925.63633082158</v>
      </c>
      <c r="U157" s="719">
        <f t="shared" si="57"/>
        <v>61051.50037822302</v>
      </c>
      <c r="V157" s="719">
        <f t="shared" si="57"/>
        <v>92125.478258819567</v>
      </c>
      <c r="W157" s="719">
        <f t="shared" si="57"/>
        <v>11944.021362957412</v>
      </c>
      <c r="X157" s="719">
        <f t="shared" si="57"/>
        <v>22226.196563807043</v>
      </c>
      <c r="Y157" s="753">
        <f>SUM(Y139:Y156)</f>
        <v>1464609.8076661304</v>
      </c>
      <c r="AK157" s="60">
        <f t="shared" si="32"/>
        <v>151085</v>
      </c>
      <c r="AL157" s="60">
        <f t="shared" si="33"/>
        <v>14036</v>
      </c>
      <c r="AM157" s="60">
        <f t="shared" si="34"/>
        <v>0</v>
      </c>
    </row>
    <row r="158" spans="3:39" hidden="1">
      <c r="C158" s="1145" t="s">
        <v>2783</v>
      </c>
      <c r="D158" s="712" t="s">
        <v>2703</v>
      </c>
      <c r="E158" s="713">
        <v>111096.7979840148</v>
      </c>
      <c r="F158" s="714">
        <v>31675.809596802959</v>
      </c>
      <c r="G158" s="915"/>
      <c r="H158" s="917">
        <v>10750</v>
      </c>
      <c r="I158" s="917"/>
      <c r="J158" s="916"/>
      <c r="K158" s="915"/>
      <c r="L158" s="916"/>
      <c r="M158" s="915"/>
      <c r="N158" s="917"/>
      <c r="O158" s="916"/>
      <c r="P158" s="874">
        <f t="shared" ref="P158:P175" si="58">SUM(G158:O158)</f>
        <v>10750</v>
      </c>
      <c r="Q158" s="715">
        <f t="shared" si="50"/>
        <v>0.33937569826423625</v>
      </c>
      <c r="R158" s="733">
        <f t="shared" si="52"/>
        <v>0.66062430173576381</v>
      </c>
      <c r="S158" s="751">
        <f>P158*$AB$25</f>
        <v>5151.5380182465778</v>
      </c>
      <c r="T158" s="712">
        <f>P158*$AC$25</f>
        <v>5598.4619817534222</v>
      </c>
      <c r="U158" s="712">
        <f>P158*$AD$25</f>
        <v>3945.5836833556195</v>
      </c>
      <c r="V158" s="712">
        <f>P158*$AE$25</f>
        <v>5849.3458895157846</v>
      </c>
      <c r="W158" s="712">
        <f>P158*$AF$25</f>
        <v>955.07042712859743</v>
      </c>
      <c r="X158" s="712">
        <f>P158*$AG$25</f>
        <v>1636.9785832380526</v>
      </c>
      <c r="Y158" s="722">
        <f t="shared" ref="Y158:Y175" si="59">F158-P158</f>
        <v>20925.809596802959</v>
      </c>
      <c r="AK158" s="60">
        <f t="shared" si="32"/>
        <v>10750</v>
      </c>
      <c r="AL158" s="60">
        <f t="shared" si="33"/>
        <v>0</v>
      </c>
      <c r="AM158" s="60">
        <f t="shared" si="34"/>
        <v>0</v>
      </c>
    </row>
    <row r="159" spans="3:39" hidden="1">
      <c r="C159" s="1146"/>
      <c r="D159" s="712" t="s">
        <v>2704</v>
      </c>
      <c r="E159" s="713">
        <v>6881.8180702501222</v>
      </c>
      <c r="F159" s="714">
        <v>2420.6544562000977</v>
      </c>
      <c r="G159" s="915"/>
      <c r="H159" s="917"/>
      <c r="I159" s="917"/>
      <c r="J159" s="916"/>
      <c r="K159" s="915"/>
      <c r="L159" s="916"/>
      <c r="M159" s="915"/>
      <c r="N159" s="917"/>
      <c r="O159" s="916"/>
      <c r="P159" s="874">
        <f t="shared" si="58"/>
        <v>0</v>
      </c>
      <c r="Q159" s="715">
        <f t="shared" si="50"/>
        <v>0</v>
      </c>
      <c r="R159" s="733">
        <f t="shared" si="52"/>
        <v>1</v>
      </c>
      <c r="S159" s="751">
        <f>P159*$AB$26</f>
        <v>0</v>
      </c>
      <c r="T159" s="712">
        <f>P159*$AC$26</f>
        <v>0</v>
      </c>
      <c r="U159" s="712">
        <f>P159*$AD$26</f>
        <v>0</v>
      </c>
      <c r="V159" s="712">
        <f>P159*$AE$26</f>
        <v>0</v>
      </c>
      <c r="W159" s="712">
        <f>P159*$AF$26</f>
        <v>0</v>
      </c>
      <c r="X159" s="712">
        <f>P159*$AG$26</f>
        <v>0</v>
      </c>
      <c r="Y159" s="722">
        <f t="shared" si="59"/>
        <v>2420.6544562000977</v>
      </c>
      <c r="AK159" s="60">
        <f t="shared" si="32"/>
        <v>0</v>
      </c>
      <c r="AL159" s="60">
        <f t="shared" si="33"/>
        <v>0</v>
      </c>
      <c r="AM159" s="60">
        <f t="shared" si="34"/>
        <v>0</v>
      </c>
    </row>
    <row r="160" spans="3:39" hidden="1">
      <c r="C160" s="1146"/>
      <c r="D160" s="712" t="s">
        <v>2705</v>
      </c>
      <c r="E160" s="713">
        <v>170547.23083816754</v>
      </c>
      <c r="F160" s="714">
        <v>45630.246167633508</v>
      </c>
      <c r="G160" s="915"/>
      <c r="H160" s="917"/>
      <c r="I160" s="917"/>
      <c r="J160" s="916"/>
      <c r="K160" s="984">
        <v>721</v>
      </c>
      <c r="L160" s="916"/>
      <c r="M160" s="915"/>
      <c r="N160" s="917"/>
      <c r="O160" s="916"/>
      <c r="P160" s="874">
        <f t="shared" si="58"/>
        <v>721</v>
      </c>
      <c r="Q160" s="715">
        <f t="shared" si="50"/>
        <v>1.580092286487423E-2</v>
      </c>
      <c r="R160" s="733">
        <f t="shared" si="52"/>
        <v>0.98419907713512578</v>
      </c>
      <c r="S160" s="751">
        <f>P160*$AB$27</f>
        <v>344.09934590978298</v>
      </c>
      <c r="T160" s="712">
        <f>P160*$AC$27</f>
        <v>376.90065409021702</v>
      </c>
      <c r="U160" s="712">
        <f>P160*$AD$27</f>
        <v>243.41817300626019</v>
      </c>
      <c r="V160" s="712">
        <f>P160*$AE$27</f>
        <v>414.47109107931527</v>
      </c>
      <c r="W160" s="712">
        <f>P160*$AF$27</f>
        <v>63.110735914424467</v>
      </c>
      <c r="X160" s="712">
        <f>P160*$AG$27</f>
        <v>90.545655972626236</v>
      </c>
      <c r="Y160" s="722">
        <f t="shared" si="59"/>
        <v>44909.246167633508</v>
      </c>
      <c r="AK160" s="60">
        <f t="shared" si="32"/>
        <v>721</v>
      </c>
      <c r="AL160" s="60">
        <f t="shared" si="33"/>
        <v>0</v>
      </c>
      <c r="AM160" s="60">
        <f t="shared" si="34"/>
        <v>0</v>
      </c>
    </row>
    <row r="161" spans="3:39" hidden="1">
      <c r="C161" s="1146"/>
      <c r="D161" s="712" t="s">
        <v>2706</v>
      </c>
      <c r="E161" s="713">
        <v>0</v>
      </c>
      <c r="F161" s="714">
        <v>0</v>
      </c>
      <c r="G161" s="915"/>
      <c r="H161" s="918"/>
      <c r="I161" s="918"/>
      <c r="J161" s="919"/>
      <c r="K161" s="930"/>
      <c r="L161" s="919"/>
      <c r="M161" s="930"/>
      <c r="N161" s="917"/>
      <c r="O161" s="916"/>
      <c r="P161" s="874">
        <f t="shared" si="58"/>
        <v>0</v>
      </c>
      <c r="Q161" s="715" t="e">
        <f t="shared" si="50"/>
        <v>#DIV/0!</v>
      </c>
      <c r="R161" s="733" t="e">
        <f t="shared" si="52"/>
        <v>#DIV/0!</v>
      </c>
      <c r="S161" s="751">
        <f>P161*$AB$28</f>
        <v>0</v>
      </c>
      <c r="T161" s="712">
        <f>P161*$AC$28</f>
        <v>0</v>
      </c>
      <c r="U161" s="712">
        <f>P161*$AD$28</f>
        <v>0</v>
      </c>
      <c r="V161" s="712">
        <f>P161*$AE$28</f>
        <v>0</v>
      </c>
      <c r="W161" s="712">
        <f>P161*$AF$28</f>
        <v>0</v>
      </c>
      <c r="X161" s="712">
        <f>P161*$AG$28</f>
        <v>0</v>
      </c>
      <c r="Y161" s="722">
        <f t="shared" si="59"/>
        <v>0</v>
      </c>
      <c r="AK161" s="60">
        <f t="shared" si="32"/>
        <v>0</v>
      </c>
      <c r="AL161" s="60">
        <f t="shared" si="33"/>
        <v>0</v>
      </c>
      <c r="AM161" s="60">
        <f t="shared" si="34"/>
        <v>0</v>
      </c>
    </row>
    <row r="162" spans="3:39" hidden="1">
      <c r="C162" s="1146"/>
      <c r="D162" s="712" t="s">
        <v>613</v>
      </c>
      <c r="E162" s="713">
        <v>133949.83369622205</v>
      </c>
      <c r="F162" s="714">
        <v>90589.166739244407</v>
      </c>
      <c r="G162" s="915"/>
      <c r="H162" s="918"/>
      <c r="I162" s="918"/>
      <c r="J162" s="919"/>
      <c r="K162" s="984">
        <v>3747</v>
      </c>
      <c r="L162" s="919"/>
      <c r="M162" s="930"/>
      <c r="N162" s="917"/>
      <c r="O162" s="916"/>
      <c r="P162" s="874">
        <f t="shared" si="58"/>
        <v>3747</v>
      </c>
      <c r="Q162" s="715">
        <f t="shared" si="50"/>
        <v>4.1362561715414817E-2</v>
      </c>
      <c r="R162" s="733">
        <f t="shared" si="52"/>
        <v>0.95863743828458514</v>
      </c>
      <c r="S162" s="751">
        <f>P162*$AB$29</f>
        <v>1797.4422759383203</v>
      </c>
      <c r="T162" s="712">
        <f>P162*$AC$29</f>
        <v>1949.5577240616797</v>
      </c>
      <c r="U162" s="712">
        <f>P162*$AD$29</f>
        <v>1730.4013671650644</v>
      </c>
      <c r="V162" s="712">
        <f>P162*$AE$29</f>
        <v>1770.2268541627941</v>
      </c>
      <c r="W162" s="712">
        <f>P162*$AF$29</f>
        <v>246.37177867214146</v>
      </c>
      <c r="X162" s="712">
        <f>P162*$AG$29</f>
        <v>772.99526417355344</v>
      </c>
      <c r="Y162" s="722">
        <f t="shared" si="59"/>
        <v>86842.166739244407</v>
      </c>
      <c r="AK162" s="60">
        <f t="shared" si="32"/>
        <v>3747</v>
      </c>
      <c r="AL162" s="60">
        <f t="shared" si="33"/>
        <v>0</v>
      </c>
      <c r="AM162" s="60">
        <f t="shared" si="34"/>
        <v>0</v>
      </c>
    </row>
    <row r="163" spans="3:39">
      <c r="C163" s="1146"/>
      <c r="D163" s="712" t="s">
        <v>37</v>
      </c>
      <c r="E163" s="713">
        <v>231228.27654495894</v>
      </c>
      <c r="F163" s="714">
        <v>121307.82765449589</v>
      </c>
      <c r="G163" s="915">
        <f>I2</f>
        <v>10884</v>
      </c>
      <c r="H163" s="918"/>
      <c r="I163" s="918"/>
      <c r="J163" s="919"/>
      <c r="K163" s="930"/>
      <c r="L163" s="919"/>
      <c r="M163" s="930"/>
      <c r="N163" s="917"/>
      <c r="O163" s="916"/>
      <c r="P163" s="874">
        <f t="shared" si="58"/>
        <v>10884</v>
      </c>
      <c r="Q163" s="715">
        <f t="shared" si="50"/>
        <v>8.9722157345026185E-2</v>
      </c>
      <c r="R163" s="733">
        <f t="shared" si="52"/>
        <v>0.9102778426549738</v>
      </c>
      <c r="S163" s="751">
        <f>P163*$AB$30</f>
        <v>5549.1739886540627</v>
      </c>
      <c r="T163" s="712">
        <f>P163*$AC$30</f>
        <v>5334.8260113459373</v>
      </c>
      <c r="U163" s="712">
        <f>P163*$AD$30</f>
        <v>3919.3016073984018</v>
      </c>
      <c r="V163" s="712">
        <f>P163*$AE$30</f>
        <v>6366.1198326557478</v>
      </c>
      <c r="W163" s="712">
        <f>P163*$AF$30</f>
        <v>598.57855994584986</v>
      </c>
      <c r="X163" s="712">
        <f>P163*$AG$30</f>
        <v>968.4323737894299</v>
      </c>
      <c r="Y163" s="722">
        <f t="shared" si="59"/>
        <v>110423.82765449589</v>
      </c>
      <c r="AK163" s="60">
        <f t="shared" si="32"/>
        <v>10884</v>
      </c>
      <c r="AL163" s="60">
        <f t="shared" si="33"/>
        <v>0</v>
      </c>
      <c r="AM163" s="60">
        <f t="shared" si="34"/>
        <v>0</v>
      </c>
    </row>
    <row r="164" spans="3:39" hidden="1">
      <c r="C164" s="1146"/>
      <c r="D164" s="712" t="s">
        <v>2707</v>
      </c>
      <c r="E164" s="713">
        <v>207176.84686270333</v>
      </c>
      <c r="F164" s="714">
        <v>78681.919372540666</v>
      </c>
      <c r="G164" s="915"/>
      <c r="H164" s="918"/>
      <c r="I164" s="918"/>
      <c r="J164" s="919"/>
      <c r="K164" s="985">
        <v>28439</v>
      </c>
      <c r="L164" s="919"/>
      <c r="M164" s="930"/>
      <c r="N164" s="917"/>
      <c r="O164" s="916"/>
      <c r="P164" s="874">
        <f t="shared" si="58"/>
        <v>28439</v>
      </c>
      <c r="Q164" s="715">
        <f t="shared" si="50"/>
        <v>0.3614426316336784</v>
      </c>
      <c r="R164" s="733">
        <f t="shared" si="52"/>
        <v>0.6385573683663216</v>
      </c>
      <c r="S164" s="751">
        <f>P164*$AB$31</f>
        <v>14648.276544785698</v>
      </c>
      <c r="T164" s="712">
        <f>P164*$AC$31</f>
        <v>13790.723455214302</v>
      </c>
      <c r="U164" s="712">
        <f>P164*$AD$31</f>
        <v>11521.770230997079</v>
      </c>
      <c r="V164" s="712">
        <f>P164*$AE$31</f>
        <v>15430.821792782956</v>
      </c>
      <c r="W164" s="712">
        <f>P164*$AF$31</f>
        <v>1486.4079762199653</v>
      </c>
      <c r="X164" s="712">
        <f>P164*$AG$31</f>
        <v>3080.4823725305878</v>
      </c>
      <c r="Y164" s="722">
        <f t="shared" si="59"/>
        <v>50242.919372540666</v>
      </c>
      <c r="AK164" s="60">
        <f t="shared" si="32"/>
        <v>28439</v>
      </c>
      <c r="AL164" s="60">
        <f t="shared" si="33"/>
        <v>0</v>
      </c>
      <c r="AM164" s="60">
        <f t="shared" si="34"/>
        <v>0</v>
      </c>
    </row>
    <row r="165" spans="3:39" hidden="1">
      <c r="C165" s="1146"/>
      <c r="D165" s="712" t="s">
        <v>2347</v>
      </c>
      <c r="E165" s="713">
        <v>293903.52269109758</v>
      </c>
      <c r="F165" s="714">
        <v>75923.504538219524</v>
      </c>
      <c r="G165" s="915"/>
      <c r="H165" s="918"/>
      <c r="I165" s="918"/>
      <c r="J165" s="919"/>
      <c r="K165" s="985">
        <v>9356</v>
      </c>
      <c r="L165" s="919"/>
      <c r="M165" s="930"/>
      <c r="N165" s="917"/>
      <c r="O165" s="916"/>
      <c r="P165" s="874">
        <f t="shared" si="58"/>
        <v>9356</v>
      </c>
      <c r="Q165" s="715">
        <f t="shared" ref="Q165:Q176" si="60">P165/F165</f>
        <v>0.12322929581431841</v>
      </c>
      <c r="R165" s="733">
        <f t="shared" si="52"/>
        <v>0.87677070418568159</v>
      </c>
      <c r="S165" s="751">
        <f>P165*$AB$32</f>
        <v>4642.0493991319145</v>
      </c>
      <c r="T165" s="712">
        <f>P165*$AC$32</f>
        <v>4713.9506008680855</v>
      </c>
      <c r="U165" s="712">
        <f>P165*$AD$32</f>
        <v>3857.3692776698667</v>
      </c>
      <c r="V165" s="712">
        <f>P165*$AE$32</f>
        <v>4839.5923622938108</v>
      </c>
      <c r="W165" s="712">
        <f>P165*$AF$32</f>
        <v>659.03836003632205</v>
      </c>
      <c r="X165" s="712">
        <f>P165*$AG$32</f>
        <v>1556.0246790171705</v>
      </c>
      <c r="Y165" s="722">
        <f t="shared" si="59"/>
        <v>66567.504538219524</v>
      </c>
      <c r="AK165" s="60">
        <f t="shared" si="32"/>
        <v>9356</v>
      </c>
      <c r="AL165" s="60">
        <f t="shared" si="33"/>
        <v>0</v>
      </c>
      <c r="AM165" s="60">
        <f t="shared" si="34"/>
        <v>0</v>
      </c>
    </row>
    <row r="166" spans="3:39" hidden="1">
      <c r="C166" s="1146"/>
      <c r="D166" s="712" t="s">
        <v>2708</v>
      </c>
      <c r="E166" s="713">
        <v>388884.05822737725</v>
      </c>
      <c r="F166" s="714">
        <v>122354.01164547546</v>
      </c>
      <c r="G166" s="915"/>
      <c r="H166" s="918">
        <v>2656</v>
      </c>
      <c r="I166" s="918"/>
      <c r="J166" s="919"/>
      <c r="K166" s="930"/>
      <c r="L166" s="919"/>
      <c r="M166" s="930"/>
      <c r="N166" s="917"/>
      <c r="O166" s="916"/>
      <c r="P166" s="874">
        <f t="shared" si="58"/>
        <v>2656</v>
      </c>
      <c r="Q166" s="715">
        <f t="shared" si="60"/>
        <v>2.1707502388199924E-2</v>
      </c>
      <c r="R166" s="733">
        <f t="shared" si="52"/>
        <v>0.97829249761180004</v>
      </c>
      <c r="S166" s="751">
        <f>P166*$AB$33</f>
        <v>1238.334143446014</v>
      </c>
      <c r="T166" s="712">
        <f>P166*$AC$33</f>
        <v>1417.665856553986</v>
      </c>
      <c r="U166" s="712">
        <f>P166*$AD$33</f>
        <v>847.01410421860328</v>
      </c>
      <c r="V166" s="712">
        <f>P166*$AE$33</f>
        <v>1547.1142110590738</v>
      </c>
      <c r="W166" s="712">
        <f>P166*$AF$33</f>
        <v>261.87168472232321</v>
      </c>
      <c r="X166" s="712">
        <f>P166*$AG$33</f>
        <v>452.25240011542928</v>
      </c>
      <c r="Y166" s="722">
        <f t="shared" si="59"/>
        <v>119698.01164547546</v>
      </c>
      <c r="AK166" s="60">
        <f t="shared" ref="AK166:AK176" si="61">G166+H166+K166+M166</f>
        <v>2656</v>
      </c>
      <c r="AL166" s="60">
        <f t="shared" ref="AL166:AL176" si="62">I166+J166+L166+N166+O166</f>
        <v>0</v>
      </c>
      <c r="AM166" s="60">
        <f t="shared" ref="AM166:AM176" si="63">(AK166+AL166)-P166</f>
        <v>0</v>
      </c>
    </row>
    <row r="167" spans="3:39" hidden="1">
      <c r="C167" s="1146"/>
      <c r="D167" s="712" t="s">
        <v>2709</v>
      </c>
      <c r="E167" s="713">
        <v>22342.381043354912</v>
      </c>
      <c r="F167" s="714">
        <v>0</v>
      </c>
      <c r="G167" s="915"/>
      <c r="H167" s="918"/>
      <c r="I167" s="918"/>
      <c r="J167" s="919"/>
      <c r="K167" s="930"/>
      <c r="L167" s="919"/>
      <c r="M167" s="930"/>
      <c r="N167" s="917"/>
      <c r="O167" s="916"/>
      <c r="P167" s="874">
        <f t="shared" si="58"/>
        <v>0</v>
      </c>
      <c r="Q167" s="715" t="e">
        <f t="shared" si="60"/>
        <v>#DIV/0!</v>
      </c>
      <c r="R167" s="733" t="e">
        <f t="shared" si="52"/>
        <v>#DIV/0!</v>
      </c>
      <c r="S167" s="751">
        <f>P167*$AB$34</f>
        <v>0</v>
      </c>
      <c r="T167" s="712">
        <f>P167*$AC$34</f>
        <v>0</v>
      </c>
      <c r="U167" s="712">
        <f>P167*$AD$34</f>
        <v>0</v>
      </c>
      <c r="V167" s="712">
        <f>P167*$AE$34</f>
        <v>0</v>
      </c>
      <c r="W167" s="712">
        <f>P167*$AF$34</f>
        <v>0</v>
      </c>
      <c r="X167" s="712">
        <f>P167*$AG$34</f>
        <v>0</v>
      </c>
      <c r="Y167" s="722">
        <f t="shared" si="59"/>
        <v>0</v>
      </c>
      <c r="AK167" s="60">
        <f t="shared" si="61"/>
        <v>0</v>
      </c>
      <c r="AL167" s="60">
        <f t="shared" si="62"/>
        <v>0</v>
      </c>
      <c r="AM167" s="60">
        <f t="shared" si="63"/>
        <v>0</v>
      </c>
    </row>
    <row r="168" spans="3:39" hidden="1">
      <c r="C168" s="1146"/>
      <c r="D168" s="712" t="s">
        <v>2710</v>
      </c>
      <c r="E168" s="713">
        <v>0</v>
      </c>
      <c r="F168" s="714">
        <v>0</v>
      </c>
      <c r="G168" s="915"/>
      <c r="H168" s="917"/>
      <c r="I168" s="917"/>
      <c r="J168" s="916"/>
      <c r="K168" s="915"/>
      <c r="L168" s="916"/>
      <c r="M168" s="915"/>
      <c r="N168" s="917"/>
      <c r="O168" s="916"/>
      <c r="P168" s="874">
        <f t="shared" si="58"/>
        <v>0</v>
      </c>
      <c r="Q168" s="715" t="e">
        <f t="shared" si="60"/>
        <v>#DIV/0!</v>
      </c>
      <c r="R168" s="733" t="e">
        <f t="shared" si="52"/>
        <v>#DIV/0!</v>
      </c>
      <c r="S168" s="751">
        <f>P168*$AB$35</f>
        <v>0</v>
      </c>
      <c r="T168" s="712">
        <f>P168*$AC$35</f>
        <v>0</v>
      </c>
      <c r="U168" s="712">
        <f>P168*$AD$35</f>
        <v>0</v>
      </c>
      <c r="V168" s="712">
        <f>P168*$AE$35</f>
        <v>0</v>
      </c>
      <c r="W168" s="712">
        <f>P168*$AF$35</f>
        <v>0</v>
      </c>
      <c r="X168" s="712">
        <f>P168*$AG$35</f>
        <v>0</v>
      </c>
      <c r="Y168" s="722">
        <f t="shared" si="59"/>
        <v>0</v>
      </c>
      <c r="AK168" s="60">
        <f t="shared" si="61"/>
        <v>0</v>
      </c>
      <c r="AL168" s="60">
        <f t="shared" si="62"/>
        <v>0</v>
      </c>
      <c r="AM168" s="60">
        <f t="shared" si="63"/>
        <v>0</v>
      </c>
    </row>
    <row r="169" spans="3:39" hidden="1">
      <c r="C169" s="1146"/>
      <c r="D169" s="712" t="s">
        <v>304</v>
      </c>
      <c r="E169" s="713">
        <v>1041892.4324525243</v>
      </c>
      <c r="F169" s="714">
        <v>494284.62298100966</v>
      </c>
      <c r="G169" s="915">
        <v>101191.18497434334</v>
      </c>
      <c r="H169" s="915">
        <v>63074</v>
      </c>
      <c r="I169" s="917">
        <v>15890</v>
      </c>
      <c r="J169" s="916"/>
      <c r="K169" s="915"/>
      <c r="L169" s="916"/>
      <c r="M169" s="915"/>
      <c r="N169" s="917"/>
      <c r="O169" s="916"/>
      <c r="P169" s="874">
        <f t="shared" si="58"/>
        <v>180155.18497434334</v>
      </c>
      <c r="Q169" s="715">
        <f t="shared" si="60"/>
        <v>0.36447661245829382</v>
      </c>
      <c r="R169" s="733">
        <f t="shared" si="52"/>
        <v>0.63552338754170612</v>
      </c>
      <c r="S169" s="751">
        <f>P169*$AB$36</f>
        <v>85384.764037849323</v>
      </c>
      <c r="T169" s="712">
        <f>P169*$AC$36</f>
        <v>94770.420936494018</v>
      </c>
      <c r="U169" s="712">
        <f>P169*$AD$36</f>
        <v>66130.071432012905</v>
      </c>
      <c r="V169" s="712">
        <f>P169*$AE$36</f>
        <v>98178.754778464354</v>
      </c>
      <c r="W169" s="712">
        <f>P169*$AF$36</f>
        <v>15846.358763866108</v>
      </c>
      <c r="X169" s="712">
        <f>P169*$AG$36</f>
        <v>31249.319802477359</v>
      </c>
      <c r="Y169" s="722">
        <f t="shared" si="59"/>
        <v>314129.43800666631</v>
      </c>
      <c r="AK169" s="60">
        <f t="shared" si="61"/>
        <v>164265.18497434334</v>
      </c>
      <c r="AL169" s="60">
        <f t="shared" si="62"/>
        <v>15890</v>
      </c>
      <c r="AM169" s="60">
        <f t="shared" si="63"/>
        <v>0</v>
      </c>
    </row>
    <row r="170" spans="3:39" hidden="1">
      <c r="C170" s="1146"/>
      <c r="D170" s="712" t="s">
        <v>2711</v>
      </c>
      <c r="E170" s="713">
        <v>1841693.9600234586</v>
      </c>
      <c r="F170" s="714">
        <v>352045.49600234587</v>
      </c>
      <c r="G170" s="915"/>
      <c r="H170" s="917"/>
      <c r="I170" s="917"/>
      <c r="J170" s="916"/>
      <c r="K170" s="915"/>
      <c r="L170" s="916"/>
      <c r="M170" s="915"/>
      <c r="N170" s="917"/>
      <c r="O170" s="916"/>
      <c r="P170" s="874">
        <f t="shared" si="58"/>
        <v>0</v>
      </c>
      <c r="Q170" s="715">
        <f t="shared" si="60"/>
        <v>0</v>
      </c>
      <c r="R170" s="733">
        <f t="shared" si="52"/>
        <v>1</v>
      </c>
      <c r="S170" s="751">
        <f>P170*$AB$37</f>
        <v>0</v>
      </c>
      <c r="T170" s="712">
        <f>P170*$AC$37</f>
        <v>0</v>
      </c>
      <c r="U170" s="712">
        <f>P170*$AD$37</f>
        <v>0</v>
      </c>
      <c r="V170" s="712">
        <f>P170*$AE$37</f>
        <v>0</v>
      </c>
      <c r="W170" s="712">
        <f>P170*$AF$37</f>
        <v>0</v>
      </c>
      <c r="X170" s="712">
        <f>P170*$AG$37</f>
        <v>0</v>
      </c>
      <c r="Y170" s="722">
        <f t="shared" si="59"/>
        <v>352045.49600234587</v>
      </c>
      <c r="AK170" s="60">
        <f t="shared" si="61"/>
        <v>0</v>
      </c>
      <c r="AL170" s="60">
        <f t="shared" si="62"/>
        <v>0</v>
      </c>
      <c r="AM170" s="60">
        <f t="shared" si="63"/>
        <v>0</v>
      </c>
    </row>
    <row r="171" spans="3:39" hidden="1">
      <c r="C171" s="1146"/>
      <c r="D171" s="712" t="s">
        <v>2712</v>
      </c>
      <c r="E171" s="713">
        <v>0</v>
      </c>
      <c r="F171" s="714">
        <v>0</v>
      </c>
      <c r="G171" s="915"/>
      <c r="H171" s="917"/>
      <c r="I171" s="917"/>
      <c r="J171" s="916"/>
      <c r="K171" s="915"/>
      <c r="L171" s="916"/>
      <c r="M171" s="915"/>
      <c r="N171" s="917"/>
      <c r="O171" s="916"/>
      <c r="P171" s="874">
        <f t="shared" si="58"/>
        <v>0</v>
      </c>
      <c r="Q171" s="715" t="e">
        <f t="shared" si="60"/>
        <v>#DIV/0!</v>
      </c>
      <c r="R171" s="733" t="e">
        <f t="shared" si="52"/>
        <v>#DIV/0!</v>
      </c>
      <c r="S171" s="751">
        <f>P171*$AB$38</f>
        <v>0</v>
      </c>
      <c r="T171" s="712">
        <f>P171*$AC$38</f>
        <v>0</v>
      </c>
      <c r="U171" s="712">
        <f>P171*$AD$38</f>
        <v>0</v>
      </c>
      <c r="V171" s="712">
        <f>P171*$AE$38</f>
        <v>0</v>
      </c>
      <c r="W171" s="712">
        <f>P171*$AF$38</f>
        <v>0</v>
      </c>
      <c r="X171" s="712">
        <f>P171*$AG$38</f>
        <v>0</v>
      </c>
      <c r="Y171" s="722">
        <f t="shared" si="59"/>
        <v>0</v>
      </c>
      <c r="AK171" s="60">
        <f t="shared" si="61"/>
        <v>0</v>
      </c>
      <c r="AL171" s="60">
        <f t="shared" si="62"/>
        <v>0</v>
      </c>
      <c r="AM171" s="60">
        <f t="shared" si="63"/>
        <v>0</v>
      </c>
    </row>
    <row r="172" spans="3:39" hidden="1">
      <c r="C172" s="1146"/>
      <c r="D172" s="712" t="s">
        <v>515</v>
      </c>
      <c r="E172" s="713">
        <v>179191.85816781156</v>
      </c>
      <c r="F172" s="714">
        <v>67807.757450343488</v>
      </c>
      <c r="G172" s="915">
        <f>I3</f>
        <v>45</v>
      </c>
      <c r="H172" s="917"/>
      <c r="I172" s="917">
        <v>939</v>
      </c>
      <c r="J172" s="916"/>
      <c r="K172" s="915"/>
      <c r="L172" s="916"/>
      <c r="M172" s="915"/>
      <c r="N172" s="917"/>
      <c r="O172" s="916"/>
      <c r="P172" s="874">
        <f t="shared" si="58"/>
        <v>984</v>
      </c>
      <c r="Q172" s="715">
        <f t="shared" si="60"/>
        <v>1.4511613965711757E-2</v>
      </c>
      <c r="R172" s="733">
        <f t="shared" si="52"/>
        <v>0.98548838603428823</v>
      </c>
      <c r="S172" s="751">
        <f>P172*$AB$39</f>
        <v>492.15201346676696</v>
      </c>
      <c r="T172" s="712">
        <f>P172*$AC$39</f>
        <v>491.84798653323304</v>
      </c>
      <c r="U172" s="712">
        <f>P172*$AD$39</f>
        <v>373.88702898411367</v>
      </c>
      <c r="V172" s="712">
        <f>P172*$AE$39</f>
        <v>553.03016809192718</v>
      </c>
      <c r="W172" s="712">
        <f>P172*$AF$39</f>
        <v>57.082802923958909</v>
      </c>
      <c r="X172" s="712">
        <f>P172*$AG$39</f>
        <v>84.838561951823706</v>
      </c>
      <c r="Y172" s="722">
        <f t="shared" si="59"/>
        <v>66823.757450343488</v>
      </c>
      <c r="AK172" s="60">
        <f t="shared" si="61"/>
        <v>45</v>
      </c>
      <c r="AL172" s="60">
        <f t="shared" si="62"/>
        <v>939</v>
      </c>
      <c r="AM172" s="60">
        <f t="shared" si="63"/>
        <v>0</v>
      </c>
    </row>
    <row r="173" spans="3:39" hidden="1">
      <c r="C173" s="1146"/>
      <c r="D173" s="712" t="s">
        <v>2653</v>
      </c>
      <c r="E173" s="713">
        <v>360411.00452311093</v>
      </c>
      <c r="F173" s="714">
        <v>108123.30135693328</v>
      </c>
      <c r="G173" s="915"/>
      <c r="H173" s="917"/>
      <c r="I173" s="917"/>
      <c r="J173" s="916"/>
      <c r="K173" s="915">
        <v>3306</v>
      </c>
      <c r="L173" s="916"/>
      <c r="M173" s="915"/>
      <c r="N173" s="917"/>
      <c r="O173" s="916"/>
      <c r="P173" s="874">
        <f t="shared" si="58"/>
        <v>3306</v>
      </c>
      <c r="Q173" s="715">
        <f t="shared" si="60"/>
        <v>3.0576202895306864E-2</v>
      </c>
      <c r="R173" s="733">
        <f t="shared" si="52"/>
        <v>0.96942379710469317</v>
      </c>
      <c r="S173" s="751">
        <f>P173*$AB$40</f>
        <v>1640.0967258489829</v>
      </c>
      <c r="T173" s="712">
        <f>P173*$AC$40</f>
        <v>1665.9032741510171</v>
      </c>
      <c r="U173" s="712">
        <f>P173*$AD$40</f>
        <v>1256.1692254283332</v>
      </c>
      <c r="V173" s="712">
        <f>P173*$AE$40</f>
        <v>1858.0464793820236</v>
      </c>
      <c r="W173" s="712">
        <f>P173*$AF$40</f>
        <v>191.78429518964242</v>
      </c>
      <c r="X173" s="712">
        <f>P173*$AG$40</f>
        <v>285.03687582594426</v>
      </c>
      <c r="Y173" s="722">
        <f t="shared" si="59"/>
        <v>104817.30135693328</v>
      </c>
      <c r="AK173" s="60">
        <f t="shared" si="61"/>
        <v>3306</v>
      </c>
      <c r="AL173" s="60">
        <f t="shared" si="62"/>
        <v>0</v>
      </c>
      <c r="AM173" s="60">
        <f t="shared" si="63"/>
        <v>0</v>
      </c>
    </row>
    <row r="174" spans="3:39" hidden="1">
      <c r="C174" s="1146"/>
      <c r="D174" s="712" t="s">
        <v>2713</v>
      </c>
      <c r="E174" s="713">
        <v>115607.06136423421</v>
      </c>
      <c r="F174" s="714">
        <v>29710.912272846846</v>
      </c>
      <c r="G174" s="915"/>
      <c r="H174" s="917"/>
      <c r="I174" s="917"/>
      <c r="J174" s="916"/>
      <c r="K174" s="915"/>
      <c r="L174" s="916"/>
      <c r="M174" s="915"/>
      <c r="N174" s="917"/>
      <c r="O174" s="916"/>
      <c r="P174" s="874">
        <f t="shared" si="58"/>
        <v>0</v>
      </c>
      <c r="Q174" s="715">
        <f t="shared" si="60"/>
        <v>0</v>
      </c>
      <c r="R174" s="733">
        <f t="shared" si="52"/>
        <v>1</v>
      </c>
      <c r="S174" s="751">
        <f>P174*$AB$41</f>
        <v>0</v>
      </c>
      <c r="T174" s="712">
        <f>P174*$AC$41</f>
        <v>0</v>
      </c>
      <c r="U174" s="712">
        <f>P174*$AD$41</f>
        <v>0</v>
      </c>
      <c r="V174" s="712">
        <f>P174*$AE$41</f>
        <v>0</v>
      </c>
      <c r="W174" s="712">
        <f>P174*$AF$41</f>
        <v>0</v>
      </c>
      <c r="X174" s="712">
        <f>P174*$AG$41</f>
        <v>0</v>
      </c>
      <c r="Y174" s="722">
        <f t="shared" si="59"/>
        <v>29710.912272846846</v>
      </c>
      <c r="AK174" s="60">
        <f t="shared" si="61"/>
        <v>0</v>
      </c>
      <c r="AL174" s="60">
        <f t="shared" si="62"/>
        <v>0</v>
      </c>
      <c r="AM174" s="60">
        <f t="shared" si="63"/>
        <v>0</v>
      </c>
    </row>
    <row r="175" spans="3:39" hidden="1">
      <c r="C175" s="1146"/>
      <c r="D175" s="712" t="s">
        <v>2714</v>
      </c>
      <c r="E175" s="713">
        <v>49258.943580096828</v>
      </c>
      <c r="F175" s="714">
        <v>9175.5774320387318</v>
      </c>
      <c r="G175" s="915"/>
      <c r="H175" s="917"/>
      <c r="I175" s="917"/>
      <c r="J175" s="916"/>
      <c r="K175" s="984">
        <v>4000</v>
      </c>
      <c r="L175" s="916"/>
      <c r="M175" s="915"/>
      <c r="N175" s="917"/>
      <c r="O175" s="916"/>
      <c r="P175" s="874">
        <f t="shared" si="58"/>
        <v>4000</v>
      </c>
      <c r="Q175" s="715">
        <f t="shared" si="60"/>
        <v>0.43593986641462362</v>
      </c>
      <c r="R175" s="733">
        <f t="shared" si="52"/>
        <v>0.56406013358537632</v>
      </c>
      <c r="S175" s="751">
        <f>P175*$AB$42</f>
        <v>1922.8311452855694</v>
      </c>
      <c r="T175" s="712">
        <f>P175*$AC$42</f>
        <v>2077.1688547144308</v>
      </c>
      <c r="U175" s="712">
        <f>P175*$AD$42</f>
        <v>1158.9398458272267</v>
      </c>
      <c r="V175" s="712">
        <f>P175*$AE$42</f>
        <v>2525.1033766747537</v>
      </c>
      <c r="W175" s="712">
        <f>P175*$AF$42</f>
        <v>315.95677749801916</v>
      </c>
      <c r="X175" s="712">
        <f>P175*$AG$42</f>
        <v>497.18081400251185</v>
      </c>
      <c r="Y175" s="722">
        <f t="shared" si="59"/>
        <v>5175.5774320387318</v>
      </c>
      <c r="AK175" s="60">
        <f t="shared" si="61"/>
        <v>4000</v>
      </c>
      <c r="AL175" s="60">
        <f t="shared" si="62"/>
        <v>0</v>
      </c>
      <c r="AM175" s="60">
        <f t="shared" si="63"/>
        <v>0</v>
      </c>
    </row>
    <row r="176" spans="3:39" s="602" customFormat="1" ht="23.5" hidden="1" customHeight="1" thickBot="1">
      <c r="C176" s="1147"/>
      <c r="D176" s="716" t="s">
        <v>1488</v>
      </c>
      <c r="E176" s="717">
        <f t="shared" ref="E176:L176" si="64">SUM(E158:E175)</f>
        <v>5154066.0260693831</v>
      </c>
      <c r="F176" s="870">
        <f t="shared" si="64"/>
        <v>1629730.8076661306</v>
      </c>
      <c r="G176" s="923">
        <f t="shared" si="64"/>
        <v>112120.18497434334</v>
      </c>
      <c r="H176" s="924">
        <f t="shared" si="64"/>
        <v>76480</v>
      </c>
      <c r="I176" s="924">
        <f t="shared" si="64"/>
        <v>16829</v>
      </c>
      <c r="J176" s="925">
        <f t="shared" si="64"/>
        <v>0</v>
      </c>
      <c r="K176" s="923">
        <f t="shared" si="64"/>
        <v>49569</v>
      </c>
      <c r="L176" s="925">
        <f t="shared" si="64"/>
        <v>0</v>
      </c>
      <c r="M176" s="923"/>
      <c r="N176" s="924">
        <f>SUM(N158:N175)</f>
        <v>0</v>
      </c>
      <c r="O176" s="925">
        <f>SUM(O158:O175)</f>
        <v>0</v>
      </c>
      <c r="P176" s="822">
        <f>SUM(P158:P175)</f>
        <v>254998.18497434334</v>
      </c>
      <c r="Q176" s="771">
        <f t="shared" si="60"/>
        <v>0.15646644450411759</v>
      </c>
      <c r="R176" s="772">
        <f t="shared" si="52"/>
        <v>0.84353355549588238</v>
      </c>
      <c r="S176" s="773">
        <f t="shared" ref="S176:Y176" si="65">SUM(S158:S175)</f>
        <v>122810.75763856302</v>
      </c>
      <c r="T176" s="754">
        <f t="shared" si="65"/>
        <v>132187.42733578032</v>
      </c>
      <c r="U176" s="754">
        <f t="shared" si="65"/>
        <v>94983.925976063474</v>
      </c>
      <c r="V176" s="754">
        <f t="shared" si="65"/>
        <v>139332.62683616256</v>
      </c>
      <c r="W176" s="754">
        <f t="shared" si="65"/>
        <v>20681.632162117356</v>
      </c>
      <c r="X176" s="755">
        <f t="shared" si="65"/>
        <v>40674.087383094484</v>
      </c>
      <c r="Y176" s="755">
        <f t="shared" si="65"/>
        <v>1374732.6226917871</v>
      </c>
      <c r="AK176" s="60">
        <f t="shared" si="61"/>
        <v>238169.18497434334</v>
      </c>
      <c r="AL176" s="60">
        <f t="shared" si="62"/>
        <v>16829</v>
      </c>
      <c r="AM176" s="60">
        <f t="shared" si="63"/>
        <v>0</v>
      </c>
    </row>
    <row r="177" spans="1:60">
      <c r="V177"/>
      <c r="W177"/>
    </row>
    <row r="178" spans="1:60" ht="23.5">
      <c r="A178" s="358" t="s">
        <v>1588</v>
      </c>
      <c r="B178" s="356"/>
      <c r="C178" s="356"/>
      <c r="D178" s="356"/>
      <c r="E178" s="356"/>
      <c r="F178" s="356"/>
      <c r="G178" s="356"/>
      <c r="H178" s="356"/>
      <c r="I178" s="356"/>
      <c r="J178" s="356"/>
      <c r="K178" s="356"/>
      <c r="L178" s="356"/>
      <c r="M178" s="356"/>
      <c r="N178" s="356"/>
      <c r="O178" s="356"/>
      <c r="P178" s="356"/>
      <c r="Q178" s="356"/>
      <c r="R178" s="356"/>
      <c r="S178" s="356"/>
      <c r="T178" s="356"/>
      <c r="U178" s="356"/>
      <c r="V178" s="357"/>
      <c r="W178" s="357"/>
      <c r="X178" s="356"/>
      <c r="Y178" s="356"/>
      <c r="Z178" s="356"/>
      <c r="AA178" s="356"/>
      <c r="AB178" s="356"/>
      <c r="AC178" s="356"/>
      <c r="AD178" s="356"/>
      <c r="AE178" s="356"/>
      <c r="AF178" s="356"/>
      <c r="AG178" s="356"/>
      <c r="AH178" s="356"/>
      <c r="AI178" s="356"/>
      <c r="AJ178" s="356"/>
      <c r="AK178" s="356"/>
      <c r="AL178" s="356"/>
      <c r="AM178" s="356"/>
      <c r="AN178" s="356"/>
      <c r="AO178" s="356"/>
      <c r="AP178" s="356"/>
      <c r="AQ178" s="356"/>
      <c r="AR178" s="356"/>
      <c r="AS178" s="356"/>
      <c r="AT178" s="356"/>
      <c r="AU178" s="356"/>
      <c r="AV178" s="356"/>
      <c r="AW178" s="356"/>
      <c r="AX178" s="356"/>
      <c r="AY178" s="356"/>
      <c r="AZ178" s="356"/>
      <c r="BA178" s="356"/>
      <c r="BB178" s="356"/>
      <c r="BC178" s="356"/>
      <c r="BD178" s="356"/>
      <c r="BE178" s="356"/>
      <c r="BF178" s="356"/>
      <c r="BG178" s="356"/>
      <c r="BH178" s="356"/>
    </row>
    <row r="179" spans="1:60">
      <c r="V179"/>
      <c r="W179"/>
    </row>
    <row r="180" spans="1:60">
      <c r="J180" s="59"/>
      <c r="AP180" s="460"/>
      <c r="AQ180" s="460"/>
    </row>
    <row r="181" spans="1:60">
      <c r="AP181" s="460"/>
      <c r="AQ181" s="460"/>
    </row>
    <row r="182" spans="1:60">
      <c r="C182" s="155" t="s">
        <v>1588</v>
      </c>
      <c r="D182" t="s">
        <v>43</v>
      </c>
      <c r="E182"/>
      <c r="F182"/>
      <c r="J182"/>
      <c r="Q182" s="461" t="s">
        <v>1588</v>
      </c>
      <c r="R182" s="462" t="s">
        <v>2138</v>
      </c>
      <c r="S182" s="463"/>
      <c r="T182" s="463"/>
      <c r="U182"/>
      <c r="AA182" s="461" t="s">
        <v>1588</v>
      </c>
      <c r="AB182" s="463"/>
      <c r="AC182" s="463"/>
      <c r="AD182" s="463"/>
      <c r="AP182" s="460"/>
      <c r="AQ182" s="460"/>
      <c r="AR182"/>
    </row>
    <row r="183" spans="1:60">
      <c r="C183" s="77" t="s">
        <v>1286</v>
      </c>
      <c r="D183" s="78" t="s">
        <v>1510</v>
      </c>
      <c r="E183" s="80" t="s">
        <v>1290</v>
      </c>
      <c r="F183" s="80" t="s">
        <v>1291</v>
      </c>
      <c r="J183"/>
      <c r="Q183" s="464" t="s">
        <v>1286</v>
      </c>
      <c r="R183" s="465" t="s">
        <v>1510</v>
      </c>
      <c r="S183" s="466" t="s">
        <v>1290</v>
      </c>
      <c r="T183" s="466" t="s">
        <v>1291</v>
      </c>
      <c r="U183"/>
      <c r="AA183" s="464" t="s">
        <v>1286</v>
      </c>
      <c r="AB183" s="465" t="s">
        <v>1510</v>
      </c>
      <c r="AC183" s="466" t="s">
        <v>1290</v>
      </c>
      <c r="AD183" s="466" t="s">
        <v>1291</v>
      </c>
      <c r="AP183" s="417"/>
      <c r="AQ183"/>
      <c r="AR183"/>
    </row>
    <row r="184" spans="1:60" ht="46.75" customHeight="1">
      <c r="A184" s="453" t="s">
        <v>2164</v>
      </c>
      <c r="C184" s="574" t="s">
        <v>2715</v>
      </c>
      <c r="D184" s="576">
        <v>70124.640000000014</v>
      </c>
      <c r="E184" s="579">
        <f>G138+H138+K138</f>
        <v>1643</v>
      </c>
      <c r="F184" s="579">
        <f t="shared" ref="F184:F189" si="66">D184-E184</f>
        <v>68481.640000000014</v>
      </c>
      <c r="G184" s="826"/>
      <c r="J184"/>
      <c r="K184"/>
      <c r="Q184" s="574" t="s">
        <v>2715</v>
      </c>
      <c r="R184" s="576"/>
      <c r="S184" s="577"/>
      <c r="T184" s="577">
        <f>R184-S184</f>
        <v>0</v>
      </c>
      <c r="U184"/>
      <c r="AA184" s="574" t="s">
        <v>2292</v>
      </c>
      <c r="AB184" s="581">
        <f t="shared" ref="AB184:AC189" si="67">D184+R184</f>
        <v>70124.640000000014</v>
      </c>
      <c r="AC184" s="581">
        <f t="shared" si="67"/>
        <v>1643</v>
      </c>
      <c r="AD184" s="581">
        <f t="shared" ref="AD184:AD189" si="68">AB184-AC184</f>
        <v>68481.640000000014</v>
      </c>
      <c r="AE184" s="826"/>
      <c r="AP184"/>
      <c r="AQ184"/>
      <c r="AR184"/>
    </row>
    <row r="185" spans="1:60" ht="50.4" customHeight="1">
      <c r="A185" s="453"/>
      <c r="C185" s="574" t="s">
        <v>2804</v>
      </c>
      <c r="D185" s="576">
        <v>105934.291</v>
      </c>
      <c r="E185" s="579">
        <f>G119+H119+K119</f>
        <v>17941</v>
      </c>
      <c r="F185" s="579">
        <f t="shared" si="66"/>
        <v>87993.290999999997</v>
      </c>
      <c r="G185" s="826"/>
      <c r="J185" s="417"/>
      <c r="K185" s="417"/>
      <c r="Q185" s="574" t="s">
        <v>2804</v>
      </c>
      <c r="R185" s="576"/>
      <c r="S185" s="577"/>
      <c r="T185" s="577"/>
      <c r="U185" s="417"/>
      <c r="AA185" s="574" t="s">
        <v>2804</v>
      </c>
      <c r="AB185" s="581">
        <f t="shared" si="67"/>
        <v>105934.291</v>
      </c>
      <c r="AC185" s="581">
        <f t="shared" si="67"/>
        <v>17941</v>
      </c>
      <c r="AD185" s="581">
        <f t="shared" si="68"/>
        <v>87993.290999999997</v>
      </c>
      <c r="AE185" s="827"/>
      <c r="AP185" s="417"/>
      <c r="AQ185" s="417"/>
      <c r="AR185" s="417"/>
    </row>
    <row r="186" spans="1:60" ht="57.65" customHeight="1">
      <c r="C186" s="575" t="s">
        <v>2291</v>
      </c>
      <c r="D186" s="580">
        <v>206851.34000000003</v>
      </c>
      <c r="E186" s="580">
        <f>G100+H100+K100</f>
        <v>28870.719999999998</v>
      </c>
      <c r="F186" s="580">
        <f t="shared" si="66"/>
        <v>177980.62000000002</v>
      </c>
      <c r="G186" s="826"/>
      <c r="J186"/>
      <c r="K186"/>
      <c r="Q186" s="575" t="s">
        <v>2291</v>
      </c>
      <c r="R186" s="578">
        <v>21712.087883306518</v>
      </c>
      <c r="S186" s="580">
        <f>I100+J100+L100</f>
        <v>19127.18</v>
      </c>
      <c r="T186" s="580">
        <f>R186-S186</f>
        <v>2584.9078833065178</v>
      </c>
      <c r="U186"/>
      <c r="AA186" s="575" t="s">
        <v>2291</v>
      </c>
      <c r="AB186" s="582">
        <f t="shared" si="67"/>
        <v>228563.42788330655</v>
      </c>
      <c r="AC186" s="582">
        <f t="shared" si="67"/>
        <v>47997.899999999994</v>
      </c>
      <c r="AD186" s="582">
        <f t="shared" si="68"/>
        <v>180565.52788330655</v>
      </c>
      <c r="AE186" s="826"/>
      <c r="AP186"/>
      <c r="AQ186"/>
      <c r="AR186"/>
    </row>
    <row r="187" spans="1:60" ht="73.25" customHeight="1">
      <c r="C187" s="76" t="s">
        <v>2078</v>
      </c>
      <c r="D187" s="83">
        <v>1095816.8</v>
      </c>
      <c r="E187" s="83">
        <f>G81+H81+K81</f>
        <v>297189.18497434334</v>
      </c>
      <c r="F187" s="83">
        <f t="shared" si="66"/>
        <v>798627.61502565676</v>
      </c>
      <c r="G187" s="827">
        <f>D187-E187</f>
        <v>798627.61502565676</v>
      </c>
      <c r="H187" s="157">
        <v>112517.49333333335</v>
      </c>
      <c r="J187"/>
      <c r="K187"/>
      <c r="Q187" s="76" t="s">
        <v>2078</v>
      </c>
      <c r="R187" s="85">
        <v>533914.00766613043</v>
      </c>
      <c r="S187" s="85">
        <f>I81+J81+L81</f>
        <v>25779</v>
      </c>
      <c r="T187" s="85">
        <f>R187-S187</f>
        <v>508135.00766613043</v>
      </c>
      <c r="U187"/>
      <c r="AA187" s="76" t="s">
        <v>2078</v>
      </c>
      <c r="AB187" s="85">
        <f t="shared" si="67"/>
        <v>1629730.8076661304</v>
      </c>
      <c r="AC187" s="85">
        <f t="shared" si="67"/>
        <v>322968.18497434334</v>
      </c>
      <c r="AD187" s="85">
        <f t="shared" si="68"/>
        <v>1306762.6226917871</v>
      </c>
      <c r="AE187" s="826"/>
      <c r="AP187"/>
      <c r="AQ187"/>
      <c r="AR187"/>
    </row>
    <row r="188" spans="1:60" ht="72.650000000000006" customHeight="1">
      <c r="C188" s="75" t="s">
        <v>2079</v>
      </c>
      <c r="D188" s="82">
        <v>710284.70000000007</v>
      </c>
      <c r="E188" s="82">
        <f>G62+H62+K62</f>
        <v>324218</v>
      </c>
      <c r="F188" s="82">
        <f t="shared" si="66"/>
        <v>386066.70000000007</v>
      </c>
      <c r="G188" s="826"/>
      <c r="H188" s="60">
        <f>SUM(E187:E189)</f>
        <v>997490.51830767666</v>
      </c>
      <c r="J188"/>
      <c r="K188"/>
      <c r="Q188" s="75" t="s">
        <v>2079</v>
      </c>
      <c r="R188" s="159">
        <v>288734.41335045081</v>
      </c>
      <c r="S188" s="159">
        <f>I62+J62+L62</f>
        <v>1313</v>
      </c>
      <c r="T188" s="159">
        <f>R188-S188</f>
        <v>287421.41335045081</v>
      </c>
      <c r="U188"/>
      <c r="X188" s="60">
        <f>SUM(S187:S189)</f>
        <v>42595</v>
      </c>
      <c r="AA188" s="75" t="s">
        <v>2079</v>
      </c>
      <c r="AB188" s="159">
        <f t="shared" si="67"/>
        <v>999019.11335045088</v>
      </c>
      <c r="AC188" s="159">
        <f t="shared" si="67"/>
        <v>325531</v>
      </c>
      <c r="AD188" s="159">
        <f t="shared" si="68"/>
        <v>673488.11335045088</v>
      </c>
      <c r="AE188" s="826"/>
      <c r="AP188"/>
      <c r="AQ188"/>
      <c r="AR188"/>
      <c r="AU188" s="60">
        <f>SUM(AC187:AC189)</f>
        <v>1040085.5183076767</v>
      </c>
    </row>
    <row r="189" spans="1:60" ht="55.25" customHeight="1">
      <c r="C189" s="79" t="s">
        <v>2080</v>
      </c>
      <c r="D189" s="81">
        <v>781178.54</v>
      </c>
      <c r="E189" s="81">
        <f>G43+H43+K43</f>
        <v>376083.33333333337</v>
      </c>
      <c r="F189" s="81">
        <f t="shared" si="66"/>
        <v>405095.20666666667</v>
      </c>
      <c r="G189" s="827">
        <f>D189-E189</f>
        <v>405095.20666666667</v>
      </c>
      <c r="H189" s="60"/>
      <c r="Q189" s="79" t="s">
        <v>2080</v>
      </c>
      <c r="R189" s="84">
        <v>316941.63726056903</v>
      </c>
      <c r="S189" s="84">
        <f>I43+J43+L43</f>
        <v>15503</v>
      </c>
      <c r="T189" s="84">
        <f>R189-S189</f>
        <v>301438.63726056903</v>
      </c>
      <c r="W189" s="60">
        <f>487648-203446</f>
        <v>284202</v>
      </c>
      <c r="AA189" s="79" t="s">
        <v>2080</v>
      </c>
      <c r="AB189" s="467">
        <f t="shared" si="67"/>
        <v>1098120.1772605691</v>
      </c>
      <c r="AC189" s="467">
        <f t="shared" si="67"/>
        <v>391586.33333333337</v>
      </c>
      <c r="AD189" s="467">
        <f t="shared" si="68"/>
        <v>706533.84392723569</v>
      </c>
      <c r="AE189" s="1005"/>
      <c r="AP189"/>
      <c r="AQ189"/>
    </row>
    <row r="190" spans="1:60">
      <c r="C190"/>
      <c r="D190"/>
      <c r="E190"/>
      <c r="S190"/>
      <c r="T190"/>
      <c r="V190"/>
      <c r="W190"/>
      <c r="AP190"/>
      <c r="AQ190"/>
    </row>
    <row r="191" spans="1:60">
      <c r="C191" s="417"/>
      <c r="D191" s="417"/>
      <c r="E191" s="417"/>
      <c r="S191" s="417"/>
      <c r="T191" s="417"/>
      <c r="V191" s="417"/>
      <c r="W191" s="417"/>
      <c r="AP191" s="417"/>
      <c r="AQ191" s="417"/>
    </row>
    <row r="192" spans="1:60">
      <c r="C192" s="417"/>
      <c r="D192" s="417"/>
      <c r="E192" s="417"/>
      <c r="S192" s="417"/>
      <c r="T192" s="417"/>
      <c r="V192" s="417"/>
      <c r="W192" s="417"/>
      <c r="AP192" s="417"/>
      <c r="AQ192" s="417"/>
    </row>
    <row r="193" spans="1:60">
      <c r="C193"/>
      <c r="D193"/>
      <c r="S193"/>
      <c r="T193"/>
    </row>
    <row r="194" spans="1:60" ht="23.5">
      <c r="A194" s="358" t="s">
        <v>37</v>
      </c>
      <c r="B194" s="356"/>
      <c r="C194" s="356"/>
      <c r="D194" s="356"/>
      <c r="E194" s="356"/>
      <c r="F194" s="356"/>
      <c r="G194" s="356"/>
      <c r="H194" s="356"/>
      <c r="I194" s="356"/>
      <c r="J194" s="356"/>
      <c r="K194" s="356"/>
      <c r="L194" s="356"/>
      <c r="M194" s="356"/>
      <c r="N194" s="356"/>
      <c r="O194" s="356"/>
      <c r="P194" s="356"/>
      <c r="Q194" s="356"/>
      <c r="R194" s="356"/>
      <c r="S194" s="356"/>
      <c r="T194" s="356"/>
      <c r="U194" s="356"/>
      <c r="V194" s="357"/>
      <c r="W194" s="357"/>
      <c r="X194" s="356"/>
      <c r="Y194" s="356"/>
      <c r="Z194" s="356"/>
      <c r="AA194" s="356"/>
      <c r="AB194" s="356"/>
      <c r="AC194" s="356"/>
      <c r="AD194" s="356"/>
      <c r="AE194" s="356"/>
      <c r="AF194" s="356"/>
      <c r="AG194" s="356"/>
      <c r="AH194" s="356"/>
      <c r="AI194" s="356"/>
      <c r="AJ194" s="356"/>
      <c r="AK194" s="356"/>
      <c r="AL194" s="356"/>
      <c r="AM194" s="356"/>
      <c r="AN194" s="356"/>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row>
    <row r="195" spans="1:60" s="154" customFormat="1" ht="23.5">
      <c r="A195" s="369"/>
      <c r="C195" s="58"/>
      <c r="D195" s="58"/>
      <c r="E195" s="58"/>
      <c r="F195" s="58"/>
      <c r="V195" s="366"/>
      <c r="W195" s="366"/>
    </row>
    <row r="197" spans="1:60">
      <c r="H197" s="1142"/>
      <c r="I197" s="1142"/>
    </row>
    <row r="198" spans="1:60">
      <c r="C198" s="500"/>
      <c r="D198" s="500"/>
      <c r="H198" s="370"/>
      <c r="I198" s="370"/>
    </row>
    <row r="199" spans="1:60">
      <c r="C199" s="500"/>
      <c r="D199" s="500"/>
    </row>
    <row r="200" spans="1:60">
      <c r="C200" s="155" t="s">
        <v>37</v>
      </c>
    </row>
    <row r="201" spans="1:60" ht="65.25" customHeight="1">
      <c r="C201" s="77" t="s">
        <v>1286</v>
      </c>
      <c r="D201" s="78" t="s">
        <v>1510</v>
      </c>
      <c r="E201" s="80" t="s">
        <v>1290</v>
      </c>
      <c r="F201" s="80" t="s">
        <v>1291</v>
      </c>
    </row>
    <row r="202" spans="1:60" ht="65.25" customHeight="1">
      <c r="C202" s="574" t="s">
        <v>2715</v>
      </c>
      <c r="D202" s="576">
        <f>F125</f>
        <v>5321.68</v>
      </c>
      <c r="E202" s="579">
        <f>P125</f>
        <v>1593</v>
      </c>
      <c r="F202" s="579">
        <f t="shared" ref="F202:F203" si="69">D202-E202</f>
        <v>3728.6800000000003</v>
      </c>
    </row>
    <row r="203" spans="1:60" ht="65.25" customHeight="1">
      <c r="C203" s="574" t="s">
        <v>2804</v>
      </c>
      <c r="D203" s="576">
        <f>F106</f>
        <v>10643.36</v>
      </c>
      <c r="E203" s="579">
        <f>P106</f>
        <v>10418</v>
      </c>
      <c r="F203" s="579">
        <f t="shared" si="69"/>
        <v>225.36000000000058</v>
      </c>
      <c r="G203" s="60"/>
    </row>
    <row r="204" spans="1:60" ht="65.25" customHeight="1">
      <c r="C204" s="575" t="s">
        <v>2291</v>
      </c>
      <c r="D204" s="580">
        <f>F87</f>
        <v>22030.431382724793</v>
      </c>
      <c r="E204" s="580">
        <f>P87</f>
        <v>26327.719999999998</v>
      </c>
      <c r="F204" s="580"/>
      <c r="G204" s="60">
        <f>D204-E204</f>
        <v>-4297.2886172752042</v>
      </c>
    </row>
    <row r="205" spans="1:60" ht="69" customHeight="1">
      <c r="C205" s="76" t="s">
        <v>2078</v>
      </c>
      <c r="D205" s="83">
        <f>F68</f>
        <v>121307.82765449589</v>
      </c>
      <c r="E205" s="83">
        <f>P68</f>
        <v>54583</v>
      </c>
      <c r="F205" s="83">
        <f>D205-E205</f>
        <v>66724.827654495894</v>
      </c>
    </row>
    <row r="206" spans="1:60" ht="46.5">
      <c r="C206" s="75" t="s">
        <v>2079</v>
      </c>
      <c r="D206" s="82">
        <f>F49</f>
        <v>60653.913827247947</v>
      </c>
      <c r="E206" s="82">
        <f>P49</f>
        <v>65270</v>
      </c>
      <c r="F206" s="82"/>
      <c r="G206" s="60">
        <f>D206-E206</f>
        <v>-4616.0861727520532</v>
      </c>
    </row>
    <row r="207" spans="1:60" ht="46.5">
      <c r="C207" s="79" t="s">
        <v>2080</v>
      </c>
      <c r="D207" s="81">
        <f>F30</f>
        <v>94859.013827247953</v>
      </c>
      <c r="E207" s="81">
        <f>P30</f>
        <v>60319.333333333336</v>
      </c>
      <c r="F207" s="81">
        <f>D207-E207</f>
        <v>34539.680493914617</v>
      </c>
    </row>
    <row r="208" spans="1:60">
      <c r="E208" s="60"/>
    </row>
    <row r="209" spans="1:60">
      <c r="C209"/>
      <c r="D209"/>
    </row>
    <row r="210" spans="1:60">
      <c r="C210"/>
      <c r="D210"/>
      <c r="AD210" s="154"/>
      <c r="AE210" s="154"/>
      <c r="AF210" s="154"/>
      <c r="AG210" s="154"/>
    </row>
    <row r="211" spans="1:60" ht="23.5">
      <c r="A211" s="358" t="s">
        <v>515</v>
      </c>
      <c r="B211" s="356"/>
      <c r="C211" s="356"/>
      <c r="D211" s="356"/>
      <c r="E211" s="356"/>
      <c r="F211" s="356"/>
      <c r="G211" s="356"/>
      <c r="H211" s="356"/>
      <c r="I211" s="356"/>
      <c r="J211" s="356"/>
      <c r="K211" s="356"/>
      <c r="L211" s="356"/>
      <c r="M211" s="356"/>
      <c r="N211" s="356"/>
      <c r="O211" s="356"/>
      <c r="P211" s="356"/>
      <c r="Q211" s="356"/>
      <c r="R211" s="356"/>
      <c r="S211" s="356"/>
      <c r="T211" s="356"/>
      <c r="U211" s="356"/>
      <c r="V211" s="357"/>
      <c r="W211" s="357"/>
      <c r="X211" s="356"/>
      <c r="Y211" s="356"/>
      <c r="Z211" s="356"/>
      <c r="AA211" s="356"/>
      <c r="AB211" s="356"/>
      <c r="AC211" s="356"/>
      <c r="AD211" s="356"/>
      <c r="AE211" s="356"/>
      <c r="AF211" s="356"/>
      <c r="AG211" s="356"/>
      <c r="AH211" s="356"/>
      <c r="AI211" s="356"/>
      <c r="AJ211" s="356"/>
      <c r="AK211" s="356"/>
      <c r="AL211" s="356"/>
      <c r="AM211" s="356"/>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row>
    <row r="212" spans="1:60" s="154" customFormat="1" ht="23.5">
      <c r="A212" s="369"/>
      <c r="V212" s="366"/>
      <c r="W212" s="366"/>
      <c r="AD212" s="58"/>
      <c r="AE212" s="58"/>
      <c r="AF212" s="58"/>
      <c r="AG212" s="58"/>
    </row>
    <row r="213" spans="1:60">
      <c r="C213" s="500"/>
      <c r="D213" s="500"/>
    </row>
    <row r="214" spans="1:60">
      <c r="C214" s="500"/>
      <c r="D214" s="500"/>
    </row>
    <row r="215" spans="1:60">
      <c r="C215" s="500"/>
      <c r="D215" s="500"/>
      <c r="AD215" s="368"/>
      <c r="AE215" s="368"/>
      <c r="AF215" s="368"/>
      <c r="AG215" s="368"/>
    </row>
    <row r="216" spans="1:60">
      <c r="C216" s="155" t="s">
        <v>515</v>
      </c>
      <c r="E216" s="1143"/>
      <c r="F216" s="1143"/>
    </row>
    <row r="217" spans="1:60">
      <c r="C217" s="77" t="s">
        <v>1286</v>
      </c>
      <c r="D217" s="78" t="s">
        <v>1510</v>
      </c>
      <c r="E217" s="80" t="s">
        <v>1290</v>
      </c>
      <c r="F217" s="80" t="s">
        <v>1291</v>
      </c>
      <c r="S217" s="417"/>
      <c r="T217" s="417"/>
      <c r="AC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row>
    <row r="218" spans="1:60" ht="62">
      <c r="C218" s="574" t="s">
        <v>2715</v>
      </c>
      <c r="D218" s="767">
        <f>F134</f>
        <v>2036.2400000000002</v>
      </c>
      <c r="E218" s="767">
        <f>P134</f>
        <v>0</v>
      </c>
      <c r="F218" s="767">
        <f t="shared" ref="F218:F223" si="70">D218-E218</f>
        <v>2036.2400000000002</v>
      </c>
      <c r="S218" s="417"/>
      <c r="T218" s="417"/>
      <c r="AC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row>
    <row r="219" spans="1:60" ht="62">
      <c r="C219" s="574" t="s">
        <v>2804</v>
      </c>
      <c r="D219" s="767">
        <f>F115</f>
        <v>3257.9840000000004</v>
      </c>
      <c r="E219" s="767">
        <f>P115</f>
        <v>2223</v>
      </c>
      <c r="F219" s="767">
        <f t="shared" si="70"/>
        <v>1034.9840000000004</v>
      </c>
      <c r="G219" s="60"/>
      <c r="S219" s="417"/>
      <c r="T219" s="417"/>
      <c r="AC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row>
    <row r="220" spans="1:60" ht="62">
      <c r="C220" s="575" t="s">
        <v>2291</v>
      </c>
      <c r="D220" s="580">
        <f>F96</f>
        <v>5426.6278725171751</v>
      </c>
      <c r="E220" s="580">
        <f>P96</f>
        <v>0</v>
      </c>
      <c r="F220" s="580">
        <f t="shared" si="70"/>
        <v>5426.6278725171751</v>
      </c>
      <c r="S220" s="417"/>
      <c r="T220" s="417"/>
      <c r="AC220" s="368"/>
      <c r="AH220" s="368"/>
      <c r="AI220" s="368"/>
      <c r="AJ220" s="368"/>
      <c r="AK220" s="368"/>
      <c r="AL220" s="368"/>
      <c r="AM220" s="368"/>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row>
    <row r="221" spans="1:60" ht="62">
      <c r="C221" s="76" t="s">
        <v>2078</v>
      </c>
      <c r="D221" s="83">
        <f>F77</f>
        <v>67807.757450343488</v>
      </c>
      <c r="E221" s="83">
        <f>P77</f>
        <v>6526</v>
      </c>
      <c r="F221" s="83">
        <f t="shared" si="70"/>
        <v>61281.757450343488</v>
      </c>
      <c r="S221"/>
      <c r="T221"/>
    </row>
    <row r="222" spans="1:60" ht="46.5">
      <c r="C222" s="75" t="s">
        <v>2079</v>
      </c>
      <c r="D222" s="82">
        <f>F58</f>
        <v>26746.2414900687</v>
      </c>
      <c r="E222" s="82">
        <f>P58</f>
        <v>7640</v>
      </c>
      <c r="F222" s="82">
        <f t="shared" si="70"/>
        <v>19106.2414900687</v>
      </c>
      <c r="S222"/>
      <c r="T222"/>
    </row>
    <row r="223" spans="1:60" ht="46.5">
      <c r="C223" s="79" t="s">
        <v>2080</v>
      </c>
      <c r="D223" s="81">
        <f>F39</f>
        <v>42639.227235103055</v>
      </c>
      <c r="E223" s="81">
        <f>P39</f>
        <v>10203.999999999998</v>
      </c>
      <c r="F223" s="81">
        <f t="shared" si="70"/>
        <v>32435.227235103055</v>
      </c>
      <c r="S223"/>
      <c r="T223"/>
    </row>
    <row r="224" spans="1:60">
      <c r="C224"/>
      <c r="D224"/>
      <c r="E224" s="60"/>
    </row>
    <row r="230" spans="3:21">
      <c r="C230" s="584" t="s">
        <v>2347</v>
      </c>
      <c r="Q230" s="58" t="s">
        <v>2707</v>
      </c>
    </row>
    <row r="231" spans="3:21">
      <c r="C231" s="77" t="s">
        <v>1286</v>
      </c>
      <c r="D231" s="78" t="s">
        <v>1510</v>
      </c>
      <c r="E231" s="80" t="s">
        <v>1290</v>
      </c>
      <c r="F231" s="80" t="s">
        <v>1291</v>
      </c>
      <c r="Q231" s="77" t="s">
        <v>1286</v>
      </c>
      <c r="R231" s="78" t="s">
        <v>1510</v>
      </c>
      <c r="S231" s="80" t="s">
        <v>1290</v>
      </c>
      <c r="T231" s="80" t="s">
        <v>1291</v>
      </c>
    </row>
    <row r="232" spans="3:21" ht="49.25" customHeight="1">
      <c r="C232" s="574" t="s">
        <v>2715</v>
      </c>
      <c r="D232" s="767">
        <f>F127</f>
        <v>2571.42</v>
      </c>
      <c r="E232" s="767">
        <f>P127</f>
        <v>0</v>
      </c>
      <c r="F232" s="767">
        <f t="shared" ref="F232:F237" si="71">D232-E232</f>
        <v>2571.42</v>
      </c>
      <c r="Q232" s="574" t="s">
        <v>2715</v>
      </c>
      <c r="R232" s="767">
        <f>F126</f>
        <v>3115.4175</v>
      </c>
      <c r="S232" s="767">
        <f>P126</f>
        <v>0</v>
      </c>
      <c r="T232" s="767">
        <f t="shared" ref="T232:T237" si="72">R232-S232</f>
        <v>3115.4175</v>
      </c>
    </row>
    <row r="233" spans="3:21" ht="43.25" customHeight="1">
      <c r="C233" s="574" t="s">
        <v>2804</v>
      </c>
      <c r="D233" s="767">
        <f>F108</f>
        <v>4114.2719999999999</v>
      </c>
      <c r="E233" s="767">
        <f>P108</f>
        <v>0</v>
      </c>
      <c r="F233" s="767">
        <f t="shared" si="71"/>
        <v>4114.2719999999999</v>
      </c>
      <c r="Q233" s="574" t="s">
        <v>2804</v>
      </c>
      <c r="R233" s="767">
        <f>F107</f>
        <v>4984.6679999999997</v>
      </c>
      <c r="S233" s="767">
        <f>P107</f>
        <v>0</v>
      </c>
      <c r="T233" s="767">
        <f t="shared" si="72"/>
        <v>4984.6679999999997</v>
      </c>
    </row>
    <row r="234" spans="3:21" ht="84" customHeight="1">
      <c r="C234" s="575" t="s">
        <v>2291</v>
      </c>
      <c r="D234" s="580">
        <f>F89</f>
        <v>6367.5952269109766</v>
      </c>
      <c r="E234" s="580">
        <f>P89</f>
        <v>0</v>
      </c>
      <c r="F234" s="580">
        <f t="shared" si="71"/>
        <v>6367.5952269109766</v>
      </c>
      <c r="Q234" s="575" t="s">
        <v>2291</v>
      </c>
      <c r="R234" s="580">
        <f>F88</f>
        <v>7049.513468627033</v>
      </c>
      <c r="S234" s="580">
        <f>P88</f>
        <v>0</v>
      </c>
      <c r="T234" s="580">
        <f t="shared" si="72"/>
        <v>7049.513468627033</v>
      </c>
    </row>
    <row r="235" spans="3:21" ht="81" customHeight="1">
      <c r="C235" s="76" t="s">
        <v>2078</v>
      </c>
      <c r="D235" s="83">
        <f>F70</f>
        <v>75923.504538219524</v>
      </c>
      <c r="E235" s="83">
        <f>P70</f>
        <v>9356</v>
      </c>
      <c r="F235" s="83">
        <f t="shared" si="71"/>
        <v>66567.504538219524</v>
      </c>
      <c r="G235" s="60"/>
      <c r="Q235" s="76" t="s">
        <v>2078</v>
      </c>
      <c r="R235" s="83">
        <f>F69</f>
        <v>78681.919372540666</v>
      </c>
      <c r="S235" s="83">
        <f>P69</f>
        <v>28439</v>
      </c>
      <c r="T235" s="83">
        <f t="shared" si="72"/>
        <v>50242.919372540666</v>
      </c>
      <c r="U235" s="60"/>
    </row>
    <row r="236" spans="3:21" ht="81" customHeight="1">
      <c r="C236" s="75" t="s">
        <v>2079</v>
      </c>
      <c r="D236" s="82">
        <f>F51</f>
        <v>33062.731361465856</v>
      </c>
      <c r="E236" s="82">
        <f>P51</f>
        <v>16465</v>
      </c>
      <c r="F236" s="82">
        <f t="shared" si="71"/>
        <v>16597.731361465856</v>
      </c>
      <c r="Q236" s="75" t="s">
        <v>2079</v>
      </c>
      <c r="R236" s="82">
        <f>F50</f>
        <v>36066.245811762194</v>
      </c>
      <c r="S236" s="82">
        <f>P50</f>
        <v>6993</v>
      </c>
      <c r="T236" s="82">
        <f t="shared" si="72"/>
        <v>29073.245811762194</v>
      </c>
    </row>
    <row r="237" spans="3:21" ht="81" customHeight="1">
      <c r="C237" s="79" t="s">
        <v>2080</v>
      </c>
      <c r="D237" s="81">
        <f>F32</f>
        <v>37310.332269109756</v>
      </c>
      <c r="E237" s="81">
        <f>P32</f>
        <v>24432</v>
      </c>
      <c r="F237" s="81">
        <f t="shared" si="71"/>
        <v>12878.332269109756</v>
      </c>
      <c r="G237" s="60"/>
      <c r="Q237" s="79" t="s">
        <v>2080</v>
      </c>
      <c r="R237" s="81">
        <f>F31</f>
        <v>38551.719686270328</v>
      </c>
      <c r="S237" s="81">
        <f>P31</f>
        <v>30416</v>
      </c>
      <c r="T237" s="81">
        <f t="shared" si="72"/>
        <v>8135.7196862703277</v>
      </c>
      <c r="U237" s="956"/>
    </row>
    <row r="241" spans="3:20">
      <c r="C241" s="584" t="s">
        <v>2703</v>
      </c>
      <c r="Q241" s="817" t="s">
        <v>2950</v>
      </c>
      <c r="R241" s="59"/>
      <c r="S241" s="59"/>
      <c r="T241" s="59"/>
    </row>
    <row r="242" spans="3:20">
      <c r="C242" s="77" t="s">
        <v>1286</v>
      </c>
      <c r="D242" s="78" t="s">
        <v>1510</v>
      </c>
      <c r="E242" s="80" t="s">
        <v>1290</v>
      </c>
      <c r="F242" s="80" t="s">
        <v>1291</v>
      </c>
      <c r="Q242" s="464" t="s">
        <v>1286</v>
      </c>
      <c r="R242" s="465" t="s">
        <v>1510</v>
      </c>
      <c r="S242" s="466" t="s">
        <v>1290</v>
      </c>
      <c r="T242" s="466" t="s">
        <v>1291</v>
      </c>
    </row>
    <row r="243" spans="3:20" ht="93">
      <c r="C243" s="574" t="s">
        <v>2715</v>
      </c>
      <c r="D243" s="767">
        <f>F120</f>
        <v>1103.2525000000001</v>
      </c>
      <c r="E243" s="767">
        <f>P120</f>
        <v>0</v>
      </c>
      <c r="F243" s="767">
        <f t="shared" ref="F243:F248" si="73">D243-E243</f>
        <v>1103.2525000000001</v>
      </c>
      <c r="Q243" s="574" t="s">
        <v>2715</v>
      </c>
      <c r="R243" s="767">
        <f>F135</f>
        <v>3121.8</v>
      </c>
      <c r="S243" s="767">
        <f>P135</f>
        <v>0</v>
      </c>
      <c r="T243" s="767">
        <f t="shared" ref="T243:T248" si="74">R243-S243</f>
        <v>3121.8</v>
      </c>
    </row>
    <row r="244" spans="3:20" ht="93">
      <c r="C244" s="574" t="s">
        <v>2804</v>
      </c>
      <c r="D244" s="767">
        <f>F101</f>
        <v>1765.204</v>
      </c>
      <c r="E244" s="767">
        <f>P101</f>
        <v>0</v>
      </c>
      <c r="F244" s="767">
        <f t="shared" si="73"/>
        <v>1765.204</v>
      </c>
      <c r="Q244" s="574" t="s">
        <v>2804</v>
      </c>
      <c r="R244" s="767">
        <f>F116</f>
        <v>4994.88</v>
      </c>
      <c r="S244" s="767">
        <f>P116</f>
        <v>0</v>
      </c>
      <c r="T244" s="767">
        <f t="shared" si="74"/>
        <v>4994.88</v>
      </c>
    </row>
    <row r="245" spans="3:20" ht="77.5">
      <c r="C245" s="575" t="s">
        <v>2291</v>
      </c>
      <c r="D245" s="580">
        <f>F82</f>
        <v>2687.0429798401483</v>
      </c>
      <c r="E245" s="580">
        <f>P82</f>
        <v>0</v>
      </c>
      <c r="F245" s="580">
        <f t="shared" si="73"/>
        <v>2687.0429798401483</v>
      </c>
      <c r="Q245" s="575" t="s">
        <v>2291</v>
      </c>
      <c r="R245" s="818">
        <f>F97</f>
        <v>8527.9650678466642</v>
      </c>
      <c r="S245" s="818">
        <f>P97</f>
        <v>0</v>
      </c>
      <c r="T245" s="818">
        <f t="shared" si="74"/>
        <v>8527.9650678466642</v>
      </c>
    </row>
    <row r="246" spans="3:20" ht="108.5">
      <c r="C246" s="76" t="s">
        <v>2078</v>
      </c>
      <c r="D246" s="83">
        <f>F63</f>
        <v>31675.809596802959</v>
      </c>
      <c r="E246" s="83">
        <f>P63</f>
        <v>10750</v>
      </c>
      <c r="F246" s="83">
        <f t="shared" si="73"/>
        <v>20925.809596802959</v>
      </c>
      <c r="G246" s="60">
        <f>D246-E246</f>
        <v>20925.809596802959</v>
      </c>
      <c r="Q246" s="76" t="s">
        <v>2078</v>
      </c>
      <c r="R246" s="819">
        <f>F78</f>
        <v>108123.30135693328</v>
      </c>
      <c r="S246" s="819">
        <f>P78</f>
        <v>3306</v>
      </c>
      <c r="T246" s="819">
        <f t="shared" si="74"/>
        <v>104817.30135693328</v>
      </c>
    </row>
    <row r="247" spans="3:20" ht="62">
      <c r="C247" s="75" t="s">
        <v>2079</v>
      </c>
      <c r="D247" s="82">
        <f>F44</f>
        <v>13915.752879040889</v>
      </c>
      <c r="E247" s="82">
        <f>P44</f>
        <v>0</v>
      </c>
      <c r="F247" s="82">
        <f t="shared" si="73"/>
        <v>13915.752879040889</v>
      </c>
      <c r="Q247" s="75" t="s">
        <v>2079</v>
      </c>
      <c r="R247" s="820">
        <f>F59</f>
        <v>44924.190407079979</v>
      </c>
      <c r="S247" s="820">
        <f>P59</f>
        <v>2347</v>
      </c>
      <c r="T247" s="820">
        <f t="shared" si="74"/>
        <v>42577.190407079979</v>
      </c>
    </row>
    <row r="248" spans="3:20" ht="77.5">
      <c r="C248" s="79" t="s">
        <v>2080</v>
      </c>
      <c r="D248" s="81">
        <f>F25</f>
        <v>15598.324798401482</v>
      </c>
      <c r="E248" s="81">
        <f>P25</f>
        <v>10700</v>
      </c>
      <c r="F248" s="81">
        <f t="shared" si="73"/>
        <v>4898.3247984014815</v>
      </c>
      <c r="G248" s="60">
        <f>D248-E248</f>
        <v>4898.3247984014815</v>
      </c>
      <c r="Q248" s="79" t="s">
        <v>2080</v>
      </c>
      <c r="R248" s="821">
        <f>F40</f>
        <v>52875.330678466635</v>
      </c>
      <c r="S248" s="821">
        <f>P40</f>
        <v>6063</v>
      </c>
      <c r="T248" s="821">
        <f t="shared" si="74"/>
        <v>46812.330678466635</v>
      </c>
    </row>
    <row r="253" spans="3:20">
      <c r="C253" s="584" t="s">
        <v>613</v>
      </c>
      <c r="Q253" s="584" t="s">
        <v>2711</v>
      </c>
    </row>
    <row r="254" spans="3:20">
      <c r="C254" s="77" t="s">
        <v>1286</v>
      </c>
      <c r="D254" s="78" t="s">
        <v>1510</v>
      </c>
      <c r="E254" s="80" t="s">
        <v>1290</v>
      </c>
      <c r="F254" s="80" t="s">
        <v>1291</v>
      </c>
      <c r="Q254" s="77" t="s">
        <v>1286</v>
      </c>
      <c r="R254" s="78" t="s">
        <v>1510</v>
      </c>
      <c r="S254" s="80" t="s">
        <v>1290</v>
      </c>
      <c r="T254" s="80" t="s">
        <v>1291</v>
      </c>
    </row>
    <row r="255" spans="3:20" ht="60.5" customHeight="1">
      <c r="C255" s="574" t="s">
        <v>2715</v>
      </c>
      <c r="D255" s="767">
        <f>F124</f>
        <v>3987.4500000000003</v>
      </c>
      <c r="E255" s="767">
        <f>P124</f>
        <v>0</v>
      </c>
      <c r="F255" s="767">
        <f t="shared" ref="F255:F260" si="75">D255-E255</f>
        <v>3987.4500000000003</v>
      </c>
      <c r="Q255" s="574" t="s">
        <v>2715</v>
      </c>
      <c r="R255" s="767">
        <f>F132</f>
        <v>13989.675000000001</v>
      </c>
      <c r="S255" s="767">
        <f>P132</f>
        <v>0</v>
      </c>
      <c r="T255" s="767">
        <f t="shared" ref="T255:T260" si="76">R255-S255</f>
        <v>13989.675000000001</v>
      </c>
    </row>
    <row r="256" spans="3:20" ht="60.5" customHeight="1">
      <c r="C256" s="574" t="s">
        <v>2804</v>
      </c>
      <c r="D256" s="767">
        <f>F105</f>
        <v>6379.92</v>
      </c>
      <c r="E256" s="767">
        <f>P105</f>
        <v>0</v>
      </c>
      <c r="F256" s="767">
        <f t="shared" si="75"/>
        <v>6379.92</v>
      </c>
      <c r="Q256" s="574" t="s">
        <v>2804</v>
      </c>
      <c r="R256" s="767">
        <f>F113</f>
        <v>22383.48</v>
      </c>
      <c r="S256" s="767">
        <f>P113</f>
        <v>0</v>
      </c>
      <c r="T256" s="767">
        <f t="shared" si="76"/>
        <v>22383.48</v>
      </c>
    </row>
    <row r="257" spans="3:20" ht="60.5" customHeight="1">
      <c r="C257" s="575" t="s">
        <v>2291</v>
      </c>
      <c r="D257" s="580">
        <f>F86</f>
        <v>8516.9083369622222</v>
      </c>
      <c r="E257" s="580">
        <f>P86</f>
        <v>0</v>
      </c>
      <c r="F257" s="580">
        <f t="shared" si="75"/>
        <v>8516.9083369622222</v>
      </c>
      <c r="Q257" s="575" t="s">
        <v>2291</v>
      </c>
      <c r="R257" s="580">
        <f>F94</f>
        <v>31591.949800117298</v>
      </c>
      <c r="S257" s="580">
        <f>P94</f>
        <v>0</v>
      </c>
      <c r="T257" s="580">
        <f t="shared" si="76"/>
        <v>31591.949800117298</v>
      </c>
    </row>
    <row r="258" spans="3:20" ht="48.5" customHeight="1">
      <c r="C258" s="76" t="s">
        <v>2078</v>
      </c>
      <c r="D258" s="83">
        <f>F67</f>
        <v>90589.166739244407</v>
      </c>
      <c r="E258" s="83">
        <f>P67</f>
        <v>3747</v>
      </c>
      <c r="F258" s="83">
        <f t="shared" si="75"/>
        <v>86842.166739244407</v>
      </c>
      <c r="Q258" s="76" t="s">
        <v>2078</v>
      </c>
      <c r="R258" s="83">
        <f>F75</f>
        <v>352045.49600234587</v>
      </c>
      <c r="S258" s="83">
        <f>P75</f>
        <v>0</v>
      </c>
      <c r="T258" s="83">
        <f t="shared" si="76"/>
        <v>352045.49600234587</v>
      </c>
    </row>
    <row r="259" spans="3:20" ht="48.5" customHeight="1">
      <c r="C259" s="75" t="s">
        <v>2079</v>
      </c>
      <c r="D259" s="82">
        <f>F48</f>
        <v>85472.123369622204</v>
      </c>
      <c r="E259" s="82">
        <f>P48</f>
        <v>22379</v>
      </c>
      <c r="F259" s="82">
        <f t="shared" si="75"/>
        <v>63093.123369622204</v>
      </c>
      <c r="Q259" s="75" t="s">
        <v>2079</v>
      </c>
      <c r="R259" s="82">
        <f>F56</f>
        <v>173896.33800117296</v>
      </c>
      <c r="S259" s="82">
        <f>P56</f>
        <v>41140</v>
      </c>
      <c r="T259" s="82">
        <f t="shared" si="76"/>
        <v>132756.33800117296</v>
      </c>
    </row>
    <row r="260" spans="3:20" ht="56.5" customHeight="1">
      <c r="C260" s="79" t="s">
        <v>2080</v>
      </c>
      <c r="D260" s="81">
        <f>F29</f>
        <v>85472.123369622204</v>
      </c>
      <c r="E260" s="81">
        <f>P29</f>
        <v>14831</v>
      </c>
      <c r="F260" s="81">
        <f t="shared" si="75"/>
        <v>70641.123369622204</v>
      </c>
      <c r="Q260" s="79" t="s">
        <v>2080</v>
      </c>
      <c r="R260" s="81">
        <f>F37</f>
        <v>173896.33800117296</v>
      </c>
      <c r="S260" s="81">
        <f>P37</f>
        <v>34872</v>
      </c>
      <c r="T260" s="81">
        <f t="shared" si="76"/>
        <v>139024.33800117296</v>
      </c>
    </row>
    <row r="265" spans="3:20">
      <c r="C265" s="584" t="s">
        <v>2708</v>
      </c>
    </row>
    <row r="266" spans="3:20">
      <c r="C266" s="77" t="s">
        <v>1286</v>
      </c>
      <c r="D266" s="78" t="s">
        <v>1510</v>
      </c>
      <c r="E266" s="80" t="s">
        <v>1290</v>
      </c>
      <c r="F266" s="80" t="s">
        <v>1291</v>
      </c>
    </row>
    <row r="267" spans="3:20" ht="62">
      <c r="C267" s="574" t="s">
        <v>2715</v>
      </c>
      <c r="D267" s="767">
        <f>F128</f>
        <v>4457.72</v>
      </c>
      <c r="E267" s="767">
        <f>P128</f>
        <v>0</v>
      </c>
      <c r="F267" s="767">
        <f t="shared" ref="F267:F272" si="77">D267-E267</f>
        <v>4457.72</v>
      </c>
    </row>
    <row r="268" spans="3:20" ht="62">
      <c r="C268" s="574" t="s">
        <v>2804</v>
      </c>
      <c r="D268" s="767">
        <f>F109</f>
        <v>7132.3520000000008</v>
      </c>
      <c r="E268" s="767">
        <f>P109</f>
        <v>0</v>
      </c>
      <c r="F268" s="767">
        <f t="shared" si="77"/>
        <v>7132.3520000000008</v>
      </c>
    </row>
    <row r="269" spans="3:20" ht="62">
      <c r="C269" s="575" t="s">
        <v>2291</v>
      </c>
      <c r="D269" s="580">
        <f>F90</f>
        <v>10575.420582273773</v>
      </c>
      <c r="E269" s="580">
        <f>P90</f>
        <v>0</v>
      </c>
      <c r="F269" s="580">
        <f t="shared" si="77"/>
        <v>10575.420582273773</v>
      </c>
    </row>
    <row r="270" spans="3:20" ht="62">
      <c r="C270" s="76" t="s">
        <v>2078</v>
      </c>
      <c r="D270" s="83">
        <f>F71</f>
        <v>122354.01164547546</v>
      </c>
      <c r="E270" s="83">
        <f>P71</f>
        <v>2656</v>
      </c>
      <c r="F270" s="83">
        <f t="shared" si="77"/>
        <v>119698.01164547546</v>
      </c>
    </row>
    <row r="271" spans="3:20" ht="46.5">
      <c r="C271" s="75" t="s">
        <v>2079</v>
      </c>
      <c r="D271" s="82">
        <f>F52</f>
        <v>61177.00582273773</v>
      </c>
      <c r="E271" s="82">
        <f>P52</f>
        <v>2667</v>
      </c>
      <c r="F271" s="82">
        <f t="shared" si="77"/>
        <v>58510.00582273773</v>
      </c>
    </row>
    <row r="272" spans="3:20" ht="46.5">
      <c r="C272" s="79" t="s">
        <v>2080</v>
      </c>
      <c r="D272" s="81">
        <f>F33</f>
        <v>87923.325822737723</v>
      </c>
      <c r="E272" s="81">
        <f>P33</f>
        <v>2000</v>
      </c>
      <c r="F272" s="81">
        <f t="shared" si="77"/>
        <v>85923.325822737723</v>
      </c>
    </row>
  </sheetData>
  <autoFilter ref="B21:Z176" xr:uid="{00000000-0001-0000-0700-000000000000}">
    <filterColumn colId="2">
      <filters>
        <filter val="Kachin"/>
      </filters>
    </filterColumn>
  </autoFilter>
  <mergeCells count="12">
    <mergeCell ref="S23:T23"/>
    <mergeCell ref="A2:A3"/>
    <mergeCell ref="C25:C43"/>
    <mergeCell ref="H197:I197"/>
    <mergeCell ref="E216:F216"/>
    <mergeCell ref="C120:C138"/>
    <mergeCell ref="C139:C157"/>
    <mergeCell ref="C158:C176"/>
    <mergeCell ref="C82:C100"/>
    <mergeCell ref="C101:C119"/>
    <mergeCell ref="C63:C81"/>
    <mergeCell ref="C44:C62"/>
  </mergeCells>
  <phoneticPr fontId="150" type="noConversion"/>
  <pageMargins left="0.7" right="0.7" top="0.75" bottom="0.75" header="0.3" footer="0.3"/>
  <pageSetup orientation="portrait" r:id="rId2"/>
  <drawing r:id="rId3"/>
  <legacyDrawing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EA3B-609A-44A9-A7E8-9BB9530243F6}">
  <dimension ref="A1:AE140"/>
  <sheetViews>
    <sheetView showGridLines="0" workbookViewId="0">
      <selection activeCell="B6" sqref="B6:B91"/>
      <pivotSelection pane="bottomRight" showHeader="1" extendable="1" axis="axisCol" max="14" activeRow="5" activeCol="1" previousRow="5" previousCol="1" click="1" r:id="rId1">
        <pivotArea dataOnly="0" outline="0" fieldPosition="0">
          <references count="4">
            <reference field="4294967294" count="1">
              <x v="0"/>
            </reference>
            <reference field="4" count="1" selected="0">
              <x v="0"/>
            </reference>
            <reference field="145" count="1" selected="0">
              <x v="0"/>
            </reference>
            <reference field="146" count="1" selected="0">
              <x v="1"/>
            </reference>
          </references>
        </pivotArea>
      </pivotSelection>
    </sheetView>
  </sheetViews>
  <sheetFormatPr defaultRowHeight="15.5"/>
  <cols>
    <col min="1" max="1" width="18.1640625" customWidth="1"/>
    <col min="2" max="2" width="25.5" customWidth="1"/>
    <col min="3" max="4" width="10.6640625" customWidth="1"/>
    <col min="5" max="5" width="11.1640625" customWidth="1"/>
    <col min="6" max="6" width="9.9140625" bestFit="1" customWidth="1"/>
    <col min="7" max="7" width="10.9140625" customWidth="1"/>
    <col min="8" max="8" width="8.9140625" bestFit="1" customWidth="1"/>
    <col min="9" max="10" width="13.58203125" customWidth="1"/>
    <col min="11" max="11" width="20.1640625" customWidth="1"/>
    <col min="12" max="13" width="15" customWidth="1"/>
    <col min="14" max="15" width="15" style="417" customWidth="1"/>
    <col min="16" max="16" width="15" customWidth="1"/>
    <col min="17" max="17" width="14.6640625" customWidth="1"/>
    <col min="18" max="18" width="17" customWidth="1"/>
    <col min="19" max="19" width="8.5" bestFit="1" customWidth="1"/>
    <col min="20" max="20" width="11.83203125" customWidth="1"/>
    <col min="21" max="23" width="6.83203125" bestFit="1" customWidth="1"/>
    <col min="24" max="24" width="9.4140625" customWidth="1"/>
    <col min="25" max="25" width="7.6640625" bestFit="1" customWidth="1"/>
    <col min="26" max="26" width="15.08203125" style="463" customWidth="1"/>
    <col min="27" max="27" width="14.1640625" style="463" customWidth="1"/>
    <col min="28" max="30" width="13" style="463" customWidth="1"/>
    <col min="31" max="31" width="10.5" customWidth="1"/>
  </cols>
  <sheetData>
    <row r="1" spans="1:31">
      <c r="A1" s="1023" t="s">
        <v>34</v>
      </c>
      <c r="B1" s="1024" t="s">
        <v>34</v>
      </c>
      <c r="C1" s="58"/>
      <c r="D1" s="58"/>
      <c r="E1" s="58"/>
      <c r="F1" s="58"/>
      <c r="G1" s="58"/>
      <c r="H1" s="59"/>
      <c r="I1" s="59"/>
      <c r="J1" s="59"/>
      <c r="K1" s="59"/>
      <c r="L1" s="59"/>
      <c r="M1" s="59"/>
      <c r="N1" s="59"/>
      <c r="O1" s="59"/>
      <c r="P1" s="59"/>
      <c r="Q1" s="1023" t="s">
        <v>34</v>
      </c>
      <c r="R1" s="1024" t="s">
        <v>34</v>
      </c>
      <c r="S1" s="58"/>
      <c r="T1" s="58"/>
      <c r="U1" s="58"/>
      <c r="V1" s="58"/>
      <c r="W1" s="58"/>
      <c r="X1" s="59"/>
      <c r="Y1" s="59"/>
      <c r="Z1" s="59"/>
      <c r="AA1" s="59"/>
      <c r="AB1" s="59"/>
      <c r="AC1" s="59"/>
      <c r="AD1" s="59"/>
    </row>
    <row r="2" spans="1:31">
      <c r="A2" s="1023" t="s">
        <v>134</v>
      </c>
      <c r="B2" s="1024" t="s">
        <v>1476</v>
      </c>
      <c r="C2" s="157">
        <v>65261.333333333328</v>
      </c>
      <c r="D2" s="157">
        <v>75410</v>
      </c>
      <c r="E2" s="157">
        <v>59103</v>
      </c>
      <c r="F2" s="157">
        <v>16903.52</v>
      </c>
      <c r="G2" s="157">
        <v>13576</v>
      </c>
      <c r="H2" s="157">
        <v>1945</v>
      </c>
      <c r="I2" s="157">
        <v>3387</v>
      </c>
      <c r="J2" s="157">
        <v>58943</v>
      </c>
      <c r="K2" s="157">
        <v>51475</v>
      </c>
      <c r="L2" s="157">
        <v>13523</v>
      </c>
      <c r="M2" s="157">
        <v>295</v>
      </c>
      <c r="N2" s="157">
        <v>349</v>
      </c>
      <c r="O2" s="157">
        <v>1650</v>
      </c>
      <c r="P2" s="58"/>
      <c r="Q2" s="1023" t="s">
        <v>134</v>
      </c>
      <c r="R2" s="1024" t="s">
        <v>1284</v>
      </c>
      <c r="S2" s="58"/>
      <c r="T2" s="58"/>
      <c r="U2" s="58"/>
      <c r="V2" s="58"/>
      <c r="W2" s="58"/>
      <c r="X2" s="58"/>
      <c r="Y2" s="58"/>
      <c r="Z2" s="59"/>
      <c r="AA2" s="59"/>
      <c r="AB2" s="59"/>
      <c r="AC2" s="59"/>
      <c r="AD2" s="59"/>
    </row>
    <row r="3" spans="1:31">
      <c r="A3" s="1023" t="s">
        <v>21</v>
      </c>
      <c r="B3" s="1024" t="s">
        <v>37</v>
      </c>
      <c r="C3" s="371" t="s">
        <v>2091</v>
      </c>
      <c r="D3" s="417"/>
      <c r="E3" s="417"/>
      <c r="F3" s="417"/>
      <c r="G3" s="417"/>
      <c r="H3" s="417"/>
      <c r="I3" s="417"/>
      <c r="J3" s="417"/>
      <c r="K3" s="58"/>
      <c r="L3" s="58"/>
      <c r="M3" s="58"/>
      <c r="N3" s="58"/>
      <c r="O3" s="58"/>
      <c r="P3" s="58"/>
      <c r="Q3" s="1023" t="s">
        <v>21</v>
      </c>
      <c r="R3" s="1024" t="s">
        <v>515</v>
      </c>
      <c r="S3" s="371" t="s">
        <v>2091</v>
      </c>
      <c r="T3" s="417"/>
      <c r="U3" s="417"/>
      <c r="V3" s="417"/>
      <c r="W3" s="417"/>
      <c r="X3" s="417"/>
      <c r="Y3" s="417"/>
      <c r="AA3" s="59"/>
      <c r="AB3" s="59"/>
      <c r="AC3" s="59"/>
      <c r="AD3" s="59"/>
    </row>
    <row r="4" spans="1:31" s="644" customFormat="1">
      <c r="A4" s="1023" t="s">
        <v>35</v>
      </c>
      <c r="B4" s="1024" t="s">
        <v>3147</v>
      </c>
      <c r="C4" s="645">
        <f>SUM(C6:C153)</f>
        <v>60255.333333333336</v>
      </c>
      <c r="D4" s="645">
        <f t="shared" ref="D4:O4" si="0">SUM(D6:D153)</f>
        <v>65270</v>
      </c>
      <c r="E4" s="645">
        <f t="shared" si="0"/>
        <v>54583</v>
      </c>
      <c r="F4" s="645">
        <f t="shared" si="0"/>
        <v>26327.719999999998</v>
      </c>
      <c r="G4" s="645">
        <f t="shared" si="0"/>
        <v>10418</v>
      </c>
      <c r="H4" s="645">
        <f t="shared" si="0"/>
        <v>1593</v>
      </c>
      <c r="I4" s="645">
        <f t="shared" si="0"/>
        <v>10884</v>
      </c>
      <c r="J4" s="645">
        <f t="shared" si="0"/>
        <v>50884</v>
      </c>
      <c r="K4" s="645">
        <f t="shared" si="0"/>
        <v>48089</v>
      </c>
      <c r="L4" s="645">
        <f t="shared" si="0"/>
        <v>10328</v>
      </c>
      <c r="M4" s="645">
        <f t="shared" si="0"/>
        <v>1118</v>
      </c>
      <c r="N4" s="645">
        <f t="shared" si="0"/>
        <v>90</v>
      </c>
      <c r="O4" s="645">
        <f t="shared" si="0"/>
        <v>475</v>
      </c>
      <c r="P4" s="645"/>
      <c r="R4" s="645"/>
      <c r="S4" s="645">
        <f t="shared" ref="S4:AE4" si="1">SUM(S6:S48)</f>
        <v>9893.9999999999982</v>
      </c>
      <c r="T4" s="645">
        <f t="shared" si="1"/>
        <v>7616</v>
      </c>
      <c r="U4" s="645">
        <f t="shared" si="1"/>
        <v>5587</v>
      </c>
      <c r="V4" s="645">
        <f t="shared" si="1"/>
        <v>0</v>
      </c>
      <c r="W4" s="645">
        <f t="shared" si="1"/>
        <v>2223</v>
      </c>
      <c r="X4" s="645">
        <f t="shared" si="1"/>
        <v>0</v>
      </c>
      <c r="Y4" s="645">
        <f t="shared" si="1"/>
        <v>45</v>
      </c>
      <c r="Z4" s="648">
        <f t="shared" si="1"/>
        <v>5542</v>
      </c>
      <c r="AA4" s="648">
        <f t="shared" si="1"/>
        <v>5900</v>
      </c>
      <c r="AB4" s="648">
        <f t="shared" si="1"/>
        <v>2223</v>
      </c>
      <c r="AC4" s="648">
        <f t="shared" si="1"/>
        <v>0</v>
      </c>
      <c r="AD4" s="648">
        <f t="shared" si="1"/>
        <v>0</v>
      </c>
      <c r="AE4" s="648">
        <f t="shared" si="1"/>
        <v>0</v>
      </c>
    </row>
    <row r="5" spans="1:31" s="643" customFormat="1" ht="16.5" customHeight="1">
      <c r="A5"/>
      <c r="B5"/>
      <c r="C5"/>
      <c r="D5"/>
      <c r="E5"/>
      <c r="F5"/>
      <c r="G5"/>
      <c r="H5"/>
      <c r="I5"/>
      <c r="J5"/>
      <c r="K5"/>
      <c r="L5"/>
      <c r="M5"/>
      <c r="N5"/>
      <c r="O5"/>
      <c r="P5"/>
      <c r="Q5" s="1024"/>
      <c r="R5" s="1031" t="s">
        <v>2611</v>
      </c>
      <c r="S5" s="1043" t="s">
        <v>2612</v>
      </c>
      <c r="T5" s="1044" t="s">
        <v>2613</v>
      </c>
      <c r="U5" s="1035" t="s">
        <v>2614</v>
      </c>
      <c r="V5" s="1045" t="s">
        <v>2615</v>
      </c>
      <c r="W5" s="1046" t="s">
        <v>2616</v>
      </c>
      <c r="X5" s="1046" t="s">
        <v>2774</v>
      </c>
      <c r="Y5" s="1037" t="s">
        <v>2617</v>
      </c>
      <c r="Z5" s="1037" t="s">
        <v>2618</v>
      </c>
      <c r="AA5" s="1037" t="s">
        <v>2619</v>
      </c>
      <c r="AB5" s="1042" t="s">
        <v>2776</v>
      </c>
      <c r="AC5" s="1042" t="s">
        <v>2777</v>
      </c>
      <c r="AD5" s="1042" t="s">
        <v>2620</v>
      </c>
      <c r="AE5" s="1042" t="s">
        <v>2778</v>
      </c>
    </row>
    <row r="6" spans="1:31" ht="108.5">
      <c r="A6" s="1024"/>
      <c r="B6" s="1031" t="s">
        <v>2611</v>
      </c>
      <c r="C6" s="1043" t="s">
        <v>2612</v>
      </c>
      <c r="D6" s="1044" t="s">
        <v>2613</v>
      </c>
      <c r="E6" s="1035" t="s">
        <v>2614</v>
      </c>
      <c r="F6" s="1045" t="s">
        <v>2615</v>
      </c>
      <c r="G6" s="1046" t="s">
        <v>2616</v>
      </c>
      <c r="H6" s="1046" t="s">
        <v>2774</v>
      </c>
      <c r="I6" s="1037" t="s">
        <v>2617</v>
      </c>
      <c r="J6" s="1037" t="s">
        <v>2618</v>
      </c>
      <c r="K6" s="1037" t="s">
        <v>2619</v>
      </c>
      <c r="L6" s="1049" t="s">
        <v>2776</v>
      </c>
      <c r="M6" s="1042" t="s">
        <v>2777</v>
      </c>
      <c r="N6" s="1042" t="s">
        <v>2620</v>
      </c>
      <c r="O6" s="1042" t="s">
        <v>2778</v>
      </c>
      <c r="Q6" s="1024" t="s">
        <v>2157</v>
      </c>
      <c r="R6" s="1030">
        <v>103</v>
      </c>
      <c r="S6" s="1027">
        <v>103</v>
      </c>
      <c r="T6" s="1028">
        <v>103</v>
      </c>
      <c r="U6" s="1029">
        <v>0</v>
      </c>
      <c r="V6" s="1038">
        <v>0</v>
      </c>
      <c r="W6" s="1039">
        <v>0</v>
      </c>
      <c r="X6" s="1039">
        <v>0</v>
      </c>
      <c r="Y6" s="1036">
        <v>0</v>
      </c>
      <c r="Z6" s="1047">
        <v>0</v>
      </c>
      <c r="AA6" s="1047">
        <v>103</v>
      </c>
      <c r="AB6" s="1026">
        <v>0</v>
      </c>
      <c r="AC6" s="1026">
        <v>0</v>
      </c>
      <c r="AD6" s="1048">
        <v>0</v>
      </c>
      <c r="AE6" s="1026">
        <v>0</v>
      </c>
    </row>
    <row r="7" spans="1:31">
      <c r="A7" s="1024" t="s">
        <v>277</v>
      </c>
      <c r="B7" s="1030">
        <v>715</v>
      </c>
      <c r="C7" s="1027">
        <v>715</v>
      </c>
      <c r="D7" s="1028">
        <v>715</v>
      </c>
      <c r="E7" s="1029">
        <v>715</v>
      </c>
      <c r="F7" s="1038">
        <v>715</v>
      </c>
      <c r="G7" s="1039">
        <v>0</v>
      </c>
      <c r="H7" s="1039">
        <v>0</v>
      </c>
      <c r="I7" s="1036">
        <v>540</v>
      </c>
      <c r="J7" s="1036">
        <v>715</v>
      </c>
      <c r="K7" s="1036">
        <v>715</v>
      </c>
      <c r="L7" s="1026">
        <v>0</v>
      </c>
      <c r="M7" s="1026">
        <v>0</v>
      </c>
      <c r="N7" s="1026">
        <v>0</v>
      </c>
      <c r="O7" s="1026">
        <v>0</v>
      </c>
      <c r="Q7" s="1024" t="s">
        <v>1720</v>
      </c>
      <c r="R7" s="1030">
        <v>439</v>
      </c>
      <c r="S7" s="1027">
        <v>439</v>
      </c>
      <c r="T7" s="1028">
        <v>439</v>
      </c>
      <c r="U7" s="1029">
        <v>439</v>
      </c>
      <c r="V7" s="1038">
        <v>0</v>
      </c>
      <c r="W7" s="1039">
        <v>0</v>
      </c>
      <c r="X7" s="1039">
        <v>0</v>
      </c>
      <c r="Y7" s="1036">
        <v>0</v>
      </c>
      <c r="Z7" s="1047">
        <v>439</v>
      </c>
      <c r="AA7" s="1047">
        <v>300</v>
      </c>
      <c r="AB7" s="1026">
        <v>0</v>
      </c>
      <c r="AC7" s="1026">
        <v>0</v>
      </c>
      <c r="AD7" s="1048">
        <v>0</v>
      </c>
      <c r="AE7" s="1026">
        <v>0</v>
      </c>
    </row>
    <row r="8" spans="1:31">
      <c r="A8" s="1024" t="s">
        <v>248</v>
      </c>
      <c r="B8" s="1030">
        <v>446</v>
      </c>
      <c r="C8" s="1027">
        <v>446</v>
      </c>
      <c r="D8" s="1028">
        <v>368</v>
      </c>
      <c r="E8" s="1029">
        <v>446</v>
      </c>
      <c r="F8" s="1038">
        <v>446</v>
      </c>
      <c r="G8" s="1039">
        <v>0</v>
      </c>
      <c r="H8" s="1039">
        <v>0</v>
      </c>
      <c r="I8" s="1036">
        <v>446</v>
      </c>
      <c r="J8" s="1036">
        <v>446</v>
      </c>
      <c r="K8" s="1036">
        <v>100</v>
      </c>
      <c r="L8" s="1026">
        <v>0</v>
      </c>
      <c r="M8" s="1026">
        <v>0</v>
      </c>
      <c r="N8" s="1026">
        <v>0</v>
      </c>
      <c r="O8" s="1026">
        <v>0</v>
      </c>
      <c r="Q8" s="1024" t="s">
        <v>555</v>
      </c>
      <c r="R8" s="1030">
        <v>1414</v>
      </c>
      <c r="S8" s="1027">
        <v>1200</v>
      </c>
      <c r="T8" s="1028">
        <v>0</v>
      </c>
      <c r="U8" s="1029">
        <v>0</v>
      </c>
      <c r="V8" s="1038">
        <v>0</v>
      </c>
      <c r="W8" s="1039">
        <v>0</v>
      </c>
      <c r="X8" s="1039">
        <v>0</v>
      </c>
      <c r="Y8" s="1036">
        <v>0</v>
      </c>
      <c r="Z8" s="1047">
        <v>0</v>
      </c>
      <c r="AA8" s="1047">
        <v>0</v>
      </c>
      <c r="AB8" s="1026">
        <v>0</v>
      </c>
      <c r="AC8" s="1026">
        <v>0</v>
      </c>
      <c r="AD8" s="1048">
        <v>0</v>
      </c>
      <c r="AE8" s="1026">
        <v>0</v>
      </c>
    </row>
    <row r="9" spans="1:31">
      <c r="A9" s="1024" t="s">
        <v>249</v>
      </c>
      <c r="B9" s="1030">
        <v>70</v>
      </c>
      <c r="C9" s="1027">
        <v>70</v>
      </c>
      <c r="D9" s="1028">
        <v>60</v>
      </c>
      <c r="E9" s="1029">
        <v>70</v>
      </c>
      <c r="F9" s="1038">
        <v>35</v>
      </c>
      <c r="G9" s="1039">
        <v>0</v>
      </c>
      <c r="H9" s="1039">
        <v>0</v>
      </c>
      <c r="I9" s="1036">
        <v>70</v>
      </c>
      <c r="J9" s="1036">
        <v>70</v>
      </c>
      <c r="K9" s="1036">
        <v>70</v>
      </c>
      <c r="L9" s="1026">
        <v>0</v>
      </c>
      <c r="M9" s="1026">
        <v>0</v>
      </c>
      <c r="N9" s="1026">
        <v>0</v>
      </c>
      <c r="O9" s="1026">
        <v>0</v>
      </c>
      <c r="Q9" s="1024" t="s">
        <v>1726</v>
      </c>
      <c r="R9" s="1030">
        <v>130</v>
      </c>
      <c r="S9" s="1027">
        <v>130</v>
      </c>
      <c r="T9" s="1028">
        <v>130</v>
      </c>
      <c r="U9" s="1029">
        <v>130</v>
      </c>
      <c r="V9" s="1038">
        <v>0</v>
      </c>
      <c r="W9" s="1039">
        <v>0</v>
      </c>
      <c r="X9" s="1039">
        <v>0</v>
      </c>
      <c r="Y9" s="1036">
        <v>0</v>
      </c>
      <c r="Z9" s="1047">
        <v>130</v>
      </c>
      <c r="AA9" s="1047">
        <v>130</v>
      </c>
      <c r="AB9" s="1026">
        <v>0</v>
      </c>
      <c r="AC9" s="1026">
        <v>0</v>
      </c>
      <c r="AD9" s="1048">
        <v>0</v>
      </c>
      <c r="AE9" s="1026">
        <v>0</v>
      </c>
    </row>
    <row r="10" spans="1:31">
      <c r="A10" s="1024" t="s">
        <v>206</v>
      </c>
      <c r="B10" s="1030">
        <v>502</v>
      </c>
      <c r="C10" s="1027">
        <v>502</v>
      </c>
      <c r="D10" s="1028">
        <v>502</v>
      </c>
      <c r="E10" s="1029">
        <v>0</v>
      </c>
      <c r="F10" s="1038">
        <v>0</v>
      </c>
      <c r="G10" s="1039">
        <v>0</v>
      </c>
      <c r="H10" s="1039">
        <v>0</v>
      </c>
      <c r="I10" s="1036">
        <v>0</v>
      </c>
      <c r="J10" s="1036">
        <v>0</v>
      </c>
      <c r="K10" s="1036">
        <v>502</v>
      </c>
      <c r="L10" s="1026">
        <v>0</v>
      </c>
      <c r="M10" s="1026">
        <v>0</v>
      </c>
      <c r="N10" s="1026">
        <v>0</v>
      </c>
      <c r="O10" s="1026">
        <v>0</v>
      </c>
      <c r="Q10" s="1024" t="s">
        <v>541</v>
      </c>
      <c r="R10" s="1030">
        <v>244</v>
      </c>
      <c r="S10" s="1027">
        <v>244</v>
      </c>
      <c r="T10" s="1028">
        <v>240</v>
      </c>
      <c r="U10" s="1029">
        <v>244</v>
      </c>
      <c r="V10" s="1038">
        <v>0</v>
      </c>
      <c r="W10" s="1039">
        <v>0</v>
      </c>
      <c r="X10" s="1039">
        <v>0</v>
      </c>
      <c r="Y10" s="1036">
        <v>0</v>
      </c>
      <c r="Z10" s="1047">
        <v>244</v>
      </c>
      <c r="AA10" s="1047">
        <v>244</v>
      </c>
      <c r="AB10" s="1026">
        <v>0</v>
      </c>
      <c r="AC10" s="1026">
        <v>0</v>
      </c>
      <c r="AD10" s="1048">
        <v>0</v>
      </c>
      <c r="AE10" s="1026">
        <v>0</v>
      </c>
    </row>
    <row r="11" spans="1:31">
      <c r="A11" s="1024" t="s">
        <v>196</v>
      </c>
      <c r="B11" s="1030">
        <v>222</v>
      </c>
      <c r="C11" s="1027">
        <v>222</v>
      </c>
      <c r="D11" s="1028">
        <v>40</v>
      </c>
      <c r="E11" s="1029">
        <v>0</v>
      </c>
      <c r="F11" s="1038">
        <v>0</v>
      </c>
      <c r="G11" s="1039">
        <v>0</v>
      </c>
      <c r="H11" s="1039">
        <v>0</v>
      </c>
      <c r="I11" s="1036">
        <v>0</v>
      </c>
      <c r="J11" s="1036">
        <v>0</v>
      </c>
      <c r="K11" s="1036">
        <v>0</v>
      </c>
      <c r="L11" s="1026">
        <v>0</v>
      </c>
      <c r="M11" s="1026">
        <v>0</v>
      </c>
      <c r="N11" s="1026">
        <v>0</v>
      </c>
      <c r="O11" s="1026">
        <v>0</v>
      </c>
      <c r="Q11" s="1024" t="s">
        <v>546</v>
      </c>
      <c r="R11" s="1030">
        <v>180</v>
      </c>
      <c r="S11" s="1027">
        <v>180</v>
      </c>
      <c r="T11" s="1028">
        <v>180</v>
      </c>
      <c r="U11" s="1029">
        <v>180</v>
      </c>
      <c r="V11" s="1038">
        <v>0</v>
      </c>
      <c r="W11" s="1039">
        <v>0</v>
      </c>
      <c r="X11" s="1039">
        <v>0</v>
      </c>
      <c r="Y11" s="1036">
        <v>0</v>
      </c>
      <c r="Z11" s="1047">
        <v>180</v>
      </c>
      <c r="AA11" s="1047">
        <v>180</v>
      </c>
      <c r="AB11" s="1026">
        <v>0</v>
      </c>
      <c r="AC11" s="1026">
        <v>0</v>
      </c>
      <c r="AD11" s="1048">
        <v>0</v>
      </c>
      <c r="AE11" s="1026">
        <v>0</v>
      </c>
    </row>
    <row r="12" spans="1:31">
      <c r="A12" s="1024" t="s">
        <v>250</v>
      </c>
      <c r="B12" s="1030">
        <v>249</v>
      </c>
      <c r="C12" s="1027">
        <v>249</v>
      </c>
      <c r="D12" s="1028">
        <v>200</v>
      </c>
      <c r="E12" s="1029">
        <v>249</v>
      </c>
      <c r="F12" s="1038">
        <v>199.20000000000002</v>
      </c>
      <c r="G12" s="1039">
        <v>0</v>
      </c>
      <c r="H12" s="1039">
        <v>0</v>
      </c>
      <c r="I12" s="1036">
        <v>249</v>
      </c>
      <c r="J12" s="1036">
        <v>249</v>
      </c>
      <c r="K12" s="1036">
        <v>200</v>
      </c>
      <c r="L12" s="1026">
        <v>0</v>
      </c>
      <c r="M12" s="1026">
        <v>0</v>
      </c>
      <c r="N12" s="1026">
        <v>0</v>
      </c>
      <c r="O12" s="1026">
        <v>0</v>
      </c>
      <c r="Q12" s="1024" t="s">
        <v>543</v>
      </c>
      <c r="R12" s="1030">
        <v>270</v>
      </c>
      <c r="S12" s="1027">
        <v>270</v>
      </c>
      <c r="T12" s="1028">
        <v>270</v>
      </c>
      <c r="U12" s="1029">
        <v>270</v>
      </c>
      <c r="V12" s="1038">
        <v>0</v>
      </c>
      <c r="W12" s="1039">
        <v>0</v>
      </c>
      <c r="X12" s="1039">
        <v>0</v>
      </c>
      <c r="Y12" s="1036">
        <v>0</v>
      </c>
      <c r="Z12" s="1047">
        <v>270</v>
      </c>
      <c r="AA12" s="1047">
        <v>270</v>
      </c>
      <c r="AB12" s="1026">
        <v>0</v>
      </c>
      <c r="AC12" s="1026">
        <v>0</v>
      </c>
      <c r="AD12" s="1048">
        <v>0</v>
      </c>
      <c r="AE12" s="1026">
        <v>0</v>
      </c>
    </row>
    <row r="13" spans="1:31">
      <c r="A13" s="1024" t="s">
        <v>236</v>
      </c>
      <c r="B13" s="1030">
        <v>405</v>
      </c>
      <c r="C13" s="1027">
        <v>405</v>
      </c>
      <c r="D13" s="1028">
        <v>405</v>
      </c>
      <c r="E13" s="1029">
        <v>405</v>
      </c>
      <c r="F13" s="1038">
        <v>0</v>
      </c>
      <c r="G13" s="1039">
        <v>0</v>
      </c>
      <c r="H13" s="1039">
        <v>0</v>
      </c>
      <c r="I13" s="1036">
        <v>0</v>
      </c>
      <c r="J13" s="1036">
        <v>405</v>
      </c>
      <c r="K13" s="1036">
        <v>200</v>
      </c>
      <c r="L13" s="1026">
        <v>0</v>
      </c>
      <c r="M13" s="1026">
        <v>0</v>
      </c>
      <c r="N13" s="1026">
        <v>0</v>
      </c>
      <c r="O13" s="1026">
        <v>0</v>
      </c>
      <c r="Q13" s="1024" t="s">
        <v>544</v>
      </c>
      <c r="R13" s="1030">
        <v>127</v>
      </c>
      <c r="S13" s="1027">
        <v>127</v>
      </c>
      <c r="T13" s="1028">
        <v>127</v>
      </c>
      <c r="U13" s="1029">
        <v>127</v>
      </c>
      <c r="V13" s="1038">
        <v>0</v>
      </c>
      <c r="W13" s="1039">
        <v>0</v>
      </c>
      <c r="X13" s="1039">
        <v>0</v>
      </c>
      <c r="Y13" s="1036">
        <v>0</v>
      </c>
      <c r="Z13" s="1047">
        <v>127</v>
      </c>
      <c r="AA13" s="1047">
        <v>127</v>
      </c>
      <c r="AB13" s="1026">
        <v>0</v>
      </c>
      <c r="AC13" s="1026">
        <v>0</v>
      </c>
      <c r="AD13" s="1048">
        <v>0</v>
      </c>
      <c r="AE13" s="1026">
        <v>0</v>
      </c>
    </row>
    <row r="14" spans="1:31">
      <c r="A14" s="1024" t="s">
        <v>251</v>
      </c>
      <c r="B14" s="1030">
        <v>24</v>
      </c>
      <c r="C14" s="1027">
        <v>0</v>
      </c>
      <c r="D14" s="1028">
        <v>24</v>
      </c>
      <c r="E14" s="1029">
        <v>24</v>
      </c>
      <c r="F14" s="1038">
        <v>0</v>
      </c>
      <c r="G14" s="1039">
        <v>0</v>
      </c>
      <c r="H14" s="1039">
        <v>0</v>
      </c>
      <c r="I14" s="1036">
        <v>0</v>
      </c>
      <c r="J14" s="1036">
        <v>24</v>
      </c>
      <c r="K14" s="1036">
        <v>24</v>
      </c>
      <c r="L14" s="1026">
        <v>0</v>
      </c>
      <c r="M14" s="1026">
        <v>0</v>
      </c>
      <c r="N14" s="1026">
        <v>0</v>
      </c>
      <c r="O14" s="1026">
        <v>0</v>
      </c>
      <c r="Q14" s="1024" t="s">
        <v>1616</v>
      </c>
      <c r="R14" s="1030">
        <v>502</v>
      </c>
      <c r="S14" s="1027">
        <v>502</v>
      </c>
      <c r="T14" s="1028">
        <v>502</v>
      </c>
      <c r="U14" s="1029">
        <v>500</v>
      </c>
      <c r="V14" s="1038">
        <v>0</v>
      </c>
      <c r="W14" s="1039">
        <v>502</v>
      </c>
      <c r="X14" s="1039">
        <v>0</v>
      </c>
      <c r="Y14" s="1036">
        <v>0</v>
      </c>
      <c r="Z14" s="1047">
        <v>500</v>
      </c>
      <c r="AA14" s="1047">
        <v>200</v>
      </c>
      <c r="AB14" s="1026">
        <v>502</v>
      </c>
      <c r="AC14" s="1026">
        <v>0</v>
      </c>
      <c r="AD14" s="1048">
        <v>0</v>
      </c>
      <c r="AE14" s="1026">
        <v>0</v>
      </c>
    </row>
    <row r="15" spans="1:31">
      <c r="A15" s="1024" t="s">
        <v>245</v>
      </c>
      <c r="B15" s="1030">
        <v>704</v>
      </c>
      <c r="C15" s="1027">
        <v>704</v>
      </c>
      <c r="D15" s="1028">
        <v>280</v>
      </c>
      <c r="E15" s="1029">
        <v>500</v>
      </c>
      <c r="F15" s="1038">
        <v>633.6</v>
      </c>
      <c r="G15" s="1039">
        <v>0</v>
      </c>
      <c r="H15" s="1039">
        <v>25</v>
      </c>
      <c r="I15" s="1036">
        <v>20</v>
      </c>
      <c r="J15" s="1036">
        <v>500</v>
      </c>
      <c r="K15" s="1036">
        <v>200</v>
      </c>
      <c r="L15" s="1026">
        <v>0</v>
      </c>
      <c r="M15" s="1026">
        <v>0</v>
      </c>
      <c r="N15" s="1026">
        <v>0</v>
      </c>
      <c r="O15" s="1026">
        <v>25</v>
      </c>
      <c r="Q15" s="1024" t="s">
        <v>557</v>
      </c>
      <c r="R15" s="1030">
        <v>120</v>
      </c>
      <c r="S15" s="1027">
        <v>0</v>
      </c>
      <c r="T15" s="1028">
        <v>0</v>
      </c>
      <c r="U15" s="1029">
        <v>45</v>
      </c>
      <c r="V15" s="1038">
        <v>0</v>
      </c>
      <c r="W15" s="1039">
        <v>0</v>
      </c>
      <c r="X15" s="1039">
        <v>0</v>
      </c>
      <c r="Y15" s="1036">
        <v>45</v>
      </c>
      <c r="Z15" s="1047">
        <v>0</v>
      </c>
      <c r="AA15" s="1047">
        <v>0</v>
      </c>
      <c r="AB15" s="1026">
        <v>0</v>
      </c>
      <c r="AC15" s="1026">
        <v>0</v>
      </c>
      <c r="AD15" s="1048">
        <v>0</v>
      </c>
      <c r="AE15" s="1026">
        <v>0</v>
      </c>
    </row>
    <row r="16" spans="1:31">
      <c r="A16" s="1024" t="s">
        <v>252</v>
      </c>
      <c r="B16" s="1030">
        <v>451</v>
      </c>
      <c r="C16" s="1027">
        <v>451</v>
      </c>
      <c r="D16" s="1028">
        <v>451</v>
      </c>
      <c r="E16" s="1029">
        <v>451</v>
      </c>
      <c r="F16" s="1038">
        <v>225.5</v>
      </c>
      <c r="G16" s="1039">
        <v>451</v>
      </c>
      <c r="H16" s="1039">
        <v>451</v>
      </c>
      <c r="I16" s="1036">
        <v>451</v>
      </c>
      <c r="J16" s="1036">
        <v>451</v>
      </c>
      <c r="K16" s="1036">
        <v>400</v>
      </c>
      <c r="L16" s="1026">
        <v>451</v>
      </c>
      <c r="M16" s="1026">
        <v>451</v>
      </c>
      <c r="N16" s="1026">
        <v>0</v>
      </c>
      <c r="O16" s="1026">
        <v>0</v>
      </c>
      <c r="Q16" s="1024" t="s">
        <v>554</v>
      </c>
      <c r="R16" s="1030">
        <v>104</v>
      </c>
      <c r="S16" s="1027">
        <v>104</v>
      </c>
      <c r="T16" s="1028">
        <v>80</v>
      </c>
      <c r="U16" s="1029">
        <v>0</v>
      </c>
      <c r="V16" s="1038">
        <v>0</v>
      </c>
      <c r="W16" s="1039">
        <v>0</v>
      </c>
      <c r="X16" s="1039">
        <v>0</v>
      </c>
      <c r="Y16" s="1036">
        <v>0</v>
      </c>
      <c r="Z16" s="1047">
        <v>0</v>
      </c>
      <c r="AA16" s="1047">
        <v>104</v>
      </c>
      <c r="AB16" s="1026">
        <v>0</v>
      </c>
      <c r="AC16" s="1026">
        <v>0</v>
      </c>
      <c r="AD16" s="1048">
        <v>0</v>
      </c>
      <c r="AE16" s="1026">
        <v>0</v>
      </c>
    </row>
    <row r="17" spans="1:31">
      <c r="A17" s="1024" t="s">
        <v>160</v>
      </c>
      <c r="B17" s="1030">
        <v>198</v>
      </c>
      <c r="C17" s="1027">
        <v>198</v>
      </c>
      <c r="D17" s="1028">
        <v>120</v>
      </c>
      <c r="E17" s="1029">
        <v>198</v>
      </c>
      <c r="F17" s="1038">
        <v>0</v>
      </c>
      <c r="G17" s="1039">
        <v>0</v>
      </c>
      <c r="H17" s="1039">
        <v>0</v>
      </c>
      <c r="I17" s="1036">
        <v>0</v>
      </c>
      <c r="J17" s="1036">
        <v>198</v>
      </c>
      <c r="K17" s="1036">
        <v>198</v>
      </c>
      <c r="L17" s="1026">
        <v>0</v>
      </c>
      <c r="M17" s="1026">
        <v>0</v>
      </c>
      <c r="N17" s="1026">
        <v>0</v>
      </c>
      <c r="O17" s="1026">
        <v>0</v>
      </c>
      <c r="Q17" s="1024" t="s">
        <v>548</v>
      </c>
      <c r="R17" s="1030">
        <v>125</v>
      </c>
      <c r="S17" s="1027">
        <v>125</v>
      </c>
      <c r="T17" s="1028">
        <v>125</v>
      </c>
      <c r="U17" s="1029">
        <v>125</v>
      </c>
      <c r="V17" s="1038">
        <v>0</v>
      </c>
      <c r="W17" s="1039">
        <v>0</v>
      </c>
      <c r="X17" s="1039">
        <v>0</v>
      </c>
      <c r="Y17" s="1036">
        <v>0</v>
      </c>
      <c r="Z17" s="1047">
        <v>125</v>
      </c>
      <c r="AA17" s="1047">
        <v>125</v>
      </c>
      <c r="AB17" s="1026">
        <v>0</v>
      </c>
      <c r="AC17" s="1026">
        <v>0</v>
      </c>
      <c r="AD17" s="1048">
        <v>0</v>
      </c>
      <c r="AE17" s="1026">
        <v>0</v>
      </c>
    </row>
    <row r="18" spans="1:31">
      <c r="A18" s="1024" t="s">
        <v>232</v>
      </c>
      <c r="B18" s="1030">
        <v>404</v>
      </c>
      <c r="C18" s="1027">
        <v>404</v>
      </c>
      <c r="D18" s="1028">
        <v>404</v>
      </c>
      <c r="E18" s="1029">
        <v>404</v>
      </c>
      <c r="F18" s="1038">
        <v>0</v>
      </c>
      <c r="G18" s="1039">
        <v>0</v>
      </c>
      <c r="H18" s="1039">
        <v>0</v>
      </c>
      <c r="I18" s="1036">
        <v>0</v>
      </c>
      <c r="J18" s="1036">
        <v>404</v>
      </c>
      <c r="K18" s="1036">
        <v>0</v>
      </c>
      <c r="L18" s="1026">
        <v>0</v>
      </c>
      <c r="M18" s="1026">
        <v>0</v>
      </c>
      <c r="N18" s="1026">
        <v>0</v>
      </c>
      <c r="O18" s="1026">
        <v>0</v>
      </c>
      <c r="Q18" s="1024" t="s">
        <v>523</v>
      </c>
      <c r="R18" s="1030">
        <v>157</v>
      </c>
      <c r="S18" s="1027">
        <v>157</v>
      </c>
      <c r="T18" s="1028">
        <v>157</v>
      </c>
      <c r="U18" s="1029">
        <v>157</v>
      </c>
      <c r="V18" s="1038">
        <v>0</v>
      </c>
      <c r="W18" s="1039">
        <v>0</v>
      </c>
      <c r="X18" s="1039">
        <v>0</v>
      </c>
      <c r="Y18" s="1036">
        <v>0</v>
      </c>
      <c r="Z18" s="1047">
        <v>157</v>
      </c>
      <c r="AA18" s="1047">
        <v>157</v>
      </c>
      <c r="AB18" s="1026">
        <v>0</v>
      </c>
      <c r="AC18" s="1026">
        <v>0</v>
      </c>
      <c r="AD18" s="1048">
        <v>0</v>
      </c>
      <c r="AE18" s="1026">
        <v>0</v>
      </c>
    </row>
    <row r="19" spans="1:31">
      <c r="A19" s="1024" t="s">
        <v>268</v>
      </c>
      <c r="B19" s="1030">
        <v>298</v>
      </c>
      <c r="C19" s="1027">
        <v>0</v>
      </c>
      <c r="D19" s="1028">
        <v>40</v>
      </c>
      <c r="E19" s="1029">
        <v>298</v>
      </c>
      <c r="F19" s="1038">
        <v>298</v>
      </c>
      <c r="G19" s="1039">
        <v>0</v>
      </c>
      <c r="H19" s="1039">
        <v>0</v>
      </c>
      <c r="I19" s="1036">
        <v>0</v>
      </c>
      <c r="J19" s="1036">
        <v>298</v>
      </c>
      <c r="K19" s="1036">
        <v>200</v>
      </c>
      <c r="L19" s="1026">
        <v>0</v>
      </c>
      <c r="M19" s="1026">
        <v>0</v>
      </c>
      <c r="N19" s="1026">
        <v>0</v>
      </c>
      <c r="O19" s="1026">
        <v>0</v>
      </c>
      <c r="Q19" s="1024" t="s">
        <v>1617</v>
      </c>
      <c r="R19" s="1030">
        <v>251</v>
      </c>
      <c r="S19" s="1027">
        <v>251</v>
      </c>
      <c r="T19" s="1028">
        <v>251</v>
      </c>
      <c r="U19" s="1029">
        <v>251</v>
      </c>
      <c r="V19" s="1038">
        <v>0</v>
      </c>
      <c r="W19" s="1039">
        <v>0</v>
      </c>
      <c r="X19" s="1039">
        <v>0</v>
      </c>
      <c r="Y19" s="1036">
        <v>0</v>
      </c>
      <c r="Z19" s="1047">
        <v>251</v>
      </c>
      <c r="AA19" s="1047">
        <v>251</v>
      </c>
      <c r="AB19" s="1026">
        <v>0</v>
      </c>
      <c r="AC19" s="1026">
        <v>0</v>
      </c>
      <c r="AD19" s="1048">
        <v>0</v>
      </c>
      <c r="AE19" s="1026">
        <v>0</v>
      </c>
    </row>
    <row r="20" spans="1:31">
      <c r="A20" s="1024" t="s">
        <v>175</v>
      </c>
      <c r="B20" s="1030">
        <v>856</v>
      </c>
      <c r="C20" s="1027">
        <v>856</v>
      </c>
      <c r="D20" s="1028">
        <v>856</v>
      </c>
      <c r="E20" s="1029">
        <v>856</v>
      </c>
      <c r="F20" s="1038">
        <v>0</v>
      </c>
      <c r="G20" s="1039">
        <v>0</v>
      </c>
      <c r="H20" s="1039">
        <v>0</v>
      </c>
      <c r="I20" s="1036">
        <v>0</v>
      </c>
      <c r="J20" s="1036">
        <v>856</v>
      </c>
      <c r="K20" s="1036">
        <v>800</v>
      </c>
      <c r="L20" s="1026">
        <v>0</v>
      </c>
      <c r="M20" s="1026">
        <v>0</v>
      </c>
      <c r="N20" s="1026">
        <v>0</v>
      </c>
      <c r="O20" s="1026">
        <v>0</v>
      </c>
      <c r="Q20" s="1024" t="s">
        <v>545</v>
      </c>
      <c r="R20" s="1030">
        <v>176</v>
      </c>
      <c r="S20" s="1027">
        <v>176</v>
      </c>
      <c r="T20" s="1028">
        <v>176</v>
      </c>
      <c r="U20" s="1029">
        <v>176</v>
      </c>
      <c r="V20" s="1038">
        <v>0</v>
      </c>
      <c r="W20" s="1039">
        <v>0</v>
      </c>
      <c r="X20" s="1039">
        <v>0</v>
      </c>
      <c r="Y20" s="1036">
        <v>0</v>
      </c>
      <c r="Z20" s="1047">
        <v>176</v>
      </c>
      <c r="AA20" s="1047">
        <v>176</v>
      </c>
      <c r="AB20" s="1026">
        <v>0</v>
      </c>
      <c r="AC20" s="1026">
        <v>0</v>
      </c>
      <c r="AD20" s="1048">
        <v>0</v>
      </c>
      <c r="AE20" s="1026">
        <v>0</v>
      </c>
    </row>
    <row r="21" spans="1:31">
      <c r="A21" s="1024" t="s">
        <v>149</v>
      </c>
      <c r="B21" s="1030">
        <v>128</v>
      </c>
      <c r="C21" s="1027">
        <v>128</v>
      </c>
      <c r="D21" s="1028">
        <v>80</v>
      </c>
      <c r="E21" s="1029">
        <v>0</v>
      </c>
      <c r="F21" s="1038">
        <v>0</v>
      </c>
      <c r="G21" s="1039">
        <v>0</v>
      </c>
      <c r="H21" s="1039">
        <v>0</v>
      </c>
      <c r="I21" s="1036">
        <v>0</v>
      </c>
      <c r="J21" s="1036">
        <v>0</v>
      </c>
      <c r="K21" s="1036">
        <v>100</v>
      </c>
      <c r="L21" s="1026">
        <v>0</v>
      </c>
      <c r="M21" s="1026">
        <v>0</v>
      </c>
      <c r="N21" s="1026">
        <v>0</v>
      </c>
      <c r="O21" s="1026">
        <v>0</v>
      </c>
      <c r="Q21" s="1024" t="s">
        <v>527</v>
      </c>
      <c r="R21" s="1030">
        <v>396</v>
      </c>
      <c r="S21" s="1027">
        <v>396</v>
      </c>
      <c r="T21" s="1028">
        <v>396</v>
      </c>
      <c r="U21" s="1029">
        <v>396</v>
      </c>
      <c r="V21" s="1038">
        <v>0</v>
      </c>
      <c r="W21" s="1039">
        <v>0</v>
      </c>
      <c r="X21" s="1039">
        <v>0</v>
      </c>
      <c r="Y21" s="1036">
        <v>0</v>
      </c>
      <c r="Z21" s="1047">
        <v>396</v>
      </c>
      <c r="AA21" s="1047">
        <v>396</v>
      </c>
      <c r="AB21" s="1026">
        <v>0</v>
      </c>
      <c r="AC21" s="1026">
        <v>0</v>
      </c>
      <c r="AD21" s="1048">
        <v>0</v>
      </c>
      <c r="AE21" s="1026">
        <v>0</v>
      </c>
    </row>
    <row r="22" spans="1:31">
      <c r="A22" s="1024" t="s">
        <v>254</v>
      </c>
      <c r="B22" s="1030">
        <v>471</v>
      </c>
      <c r="C22" s="1027">
        <v>471</v>
      </c>
      <c r="D22" s="1028">
        <v>280</v>
      </c>
      <c r="E22" s="1029">
        <v>471</v>
      </c>
      <c r="F22" s="1038">
        <v>471</v>
      </c>
      <c r="G22" s="1039">
        <v>90</v>
      </c>
      <c r="H22" s="1039">
        <v>0</v>
      </c>
      <c r="I22" s="1036">
        <v>471</v>
      </c>
      <c r="J22" s="1036">
        <v>471</v>
      </c>
      <c r="K22" s="1036">
        <v>300</v>
      </c>
      <c r="L22" s="1026">
        <v>0</v>
      </c>
      <c r="M22" s="1026">
        <v>0</v>
      </c>
      <c r="N22" s="1026">
        <v>90</v>
      </c>
      <c r="O22" s="1026">
        <v>0</v>
      </c>
      <c r="Q22" s="1024" t="s">
        <v>562</v>
      </c>
      <c r="R22" s="1030">
        <v>323</v>
      </c>
      <c r="S22" s="1027">
        <v>323</v>
      </c>
      <c r="T22" s="1028">
        <v>200</v>
      </c>
      <c r="U22" s="1029">
        <v>0</v>
      </c>
      <c r="V22" s="1038">
        <v>0</v>
      </c>
      <c r="W22" s="1039">
        <v>0</v>
      </c>
      <c r="X22" s="1039">
        <v>0</v>
      </c>
      <c r="Y22" s="1036">
        <v>0</v>
      </c>
      <c r="Z22" s="1047">
        <v>0</v>
      </c>
      <c r="AA22" s="1047">
        <v>323</v>
      </c>
      <c r="AB22" s="1026">
        <v>0</v>
      </c>
      <c r="AC22" s="1026">
        <v>0</v>
      </c>
      <c r="AD22" s="1048">
        <v>0</v>
      </c>
      <c r="AE22" s="1026">
        <v>0</v>
      </c>
    </row>
    <row r="23" spans="1:31">
      <c r="A23" s="1024" t="s">
        <v>147</v>
      </c>
      <c r="B23" s="1030">
        <v>1075</v>
      </c>
      <c r="C23" s="1027">
        <v>0</v>
      </c>
      <c r="D23" s="1028">
        <v>640</v>
      </c>
      <c r="E23" s="1029">
        <v>1000</v>
      </c>
      <c r="F23" s="1038">
        <v>0</v>
      </c>
      <c r="G23" s="1039">
        <v>0</v>
      </c>
      <c r="H23" s="1039">
        <v>0</v>
      </c>
      <c r="I23" s="1036">
        <v>0</v>
      </c>
      <c r="J23" s="1036">
        <v>1000</v>
      </c>
      <c r="K23" s="1036">
        <v>800</v>
      </c>
      <c r="L23" s="1026">
        <v>0</v>
      </c>
      <c r="M23" s="1026">
        <v>0</v>
      </c>
      <c r="N23" s="1026">
        <v>0</v>
      </c>
      <c r="O23" s="1026">
        <v>0</v>
      </c>
      <c r="Q23" s="1024" t="s">
        <v>551</v>
      </c>
      <c r="R23" s="1030">
        <v>31</v>
      </c>
      <c r="S23" s="1027">
        <v>31</v>
      </c>
      <c r="T23" s="1028">
        <v>31</v>
      </c>
      <c r="U23" s="1029">
        <v>31</v>
      </c>
      <c r="V23" s="1038">
        <v>0</v>
      </c>
      <c r="W23" s="1039">
        <v>0</v>
      </c>
      <c r="X23" s="1039">
        <v>0</v>
      </c>
      <c r="Y23" s="1036">
        <v>0</v>
      </c>
      <c r="Z23" s="1047">
        <v>31</v>
      </c>
      <c r="AA23" s="1047">
        <v>31</v>
      </c>
      <c r="AB23" s="1026">
        <v>0</v>
      </c>
      <c r="AC23" s="1026">
        <v>0</v>
      </c>
      <c r="AD23" s="1048">
        <v>0</v>
      </c>
      <c r="AE23" s="1026">
        <v>0</v>
      </c>
    </row>
    <row r="24" spans="1:31">
      <c r="A24" s="1024" t="s">
        <v>217</v>
      </c>
      <c r="B24" s="1030">
        <v>3545</v>
      </c>
      <c r="C24" s="1027">
        <v>1933.3333333333335</v>
      </c>
      <c r="D24" s="1028">
        <v>3545</v>
      </c>
      <c r="E24" s="1029">
        <v>3405</v>
      </c>
      <c r="F24" s="1038">
        <v>0</v>
      </c>
      <c r="G24" s="1039">
        <v>1500</v>
      </c>
      <c r="H24" s="1039">
        <v>200</v>
      </c>
      <c r="I24" s="1036">
        <v>3405</v>
      </c>
      <c r="J24" s="1036">
        <v>0</v>
      </c>
      <c r="K24" s="1036">
        <v>100</v>
      </c>
      <c r="L24" s="1026">
        <v>1500</v>
      </c>
      <c r="M24" s="1026">
        <v>0</v>
      </c>
      <c r="N24" s="1026">
        <v>0</v>
      </c>
      <c r="O24" s="1026">
        <v>200</v>
      </c>
      <c r="Q24" s="1024" t="s">
        <v>517</v>
      </c>
      <c r="R24" s="1030">
        <v>213</v>
      </c>
      <c r="S24" s="1027">
        <v>213</v>
      </c>
      <c r="T24" s="1028">
        <v>213</v>
      </c>
      <c r="U24" s="1029">
        <v>213</v>
      </c>
      <c r="V24" s="1038">
        <v>0</v>
      </c>
      <c r="W24" s="1039">
        <v>0</v>
      </c>
      <c r="X24" s="1039">
        <v>0</v>
      </c>
      <c r="Y24" s="1036">
        <v>0</v>
      </c>
      <c r="Z24" s="1047">
        <v>213</v>
      </c>
      <c r="AA24" s="1047">
        <v>213</v>
      </c>
      <c r="AB24" s="1026">
        <v>0</v>
      </c>
      <c r="AC24" s="1026">
        <v>0</v>
      </c>
      <c r="AD24" s="1048">
        <v>0</v>
      </c>
      <c r="AE24" s="1026">
        <v>0</v>
      </c>
    </row>
    <row r="25" spans="1:31">
      <c r="A25" s="1024" t="s">
        <v>2158</v>
      </c>
      <c r="B25" s="1030">
        <v>32</v>
      </c>
      <c r="C25" s="1027">
        <v>32</v>
      </c>
      <c r="D25" s="1028">
        <v>32</v>
      </c>
      <c r="E25" s="1029">
        <v>32</v>
      </c>
      <c r="F25" s="1038">
        <v>0</v>
      </c>
      <c r="G25" s="1039">
        <v>0</v>
      </c>
      <c r="H25" s="1039">
        <v>0</v>
      </c>
      <c r="I25" s="1036">
        <v>0</v>
      </c>
      <c r="J25" s="1036">
        <v>32</v>
      </c>
      <c r="K25" s="1036">
        <v>32</v>
      </c>
      <c r="L25" s="1026">
        <v>0</v>
      </c>
      <c r="M25" s="1026">
        <v>0</v>
      </c>
      <c r="N25" s="1026">
        <v>0</v>
      </c>
      <c r="O25" s="1026">
        <v>0</v>
      </c>
      <c r="Q25" s="1024" t="s">
        <v>531</v>
      </c>
      <c r="R25" s="1030">
        <v>250</v>
      </c>
      <c r="S25" s="1027">
        <v>250</v>
      </c>
      <c r="T25" s="1028">
        <v>250</v>
      </c>
      <c r="U25" s="1029">
        <v>250</v>
      </c>
      <c r="V25" s="1038">
        <v>0</v>
      </c>
      <c r="W25" s="1039">
        <v>0</v>
      </c>
      <c r="X25" s="1039">
        <v>0</v>
      </c>
      <c r="Y25" s="1036">
        <v>0</v>
      </c>
      <c r="Z25" s="1047">
        <v>250</v>
      </c>
      <c r="AA25" s="1047">
        <v>250</v>
      </c>
      <c r="AB25" s="1026">
        <v>0</v>
      </c>
      <c r="AC25" s="1026">
        <v>0</v>
      </c>
      <c r="AD25" s="1048">
        <v>0</v>
      </c>
      <c r="AE25" s="1026">
        <v>0</v>
      </c>
    </row>
    <row r="26" spans="1:31">
      <c r="A26" s="1024" t="s">
        <v>198</v>
      </c>
      <c r="B26" s="1030">
        <v>226</v>
      </c>
      <c r="C26" s="1027">
        <v>226</v>
      </c>
      <c r="D26" s="1028">
        <v>220</v>
      </c>
      <c r="E26" s="1029">
        <v>0</v>
      </c>
      <c r="F26" s="1038">
        <v>0</v>
      </c>
      <c r="G26" s="1039">
        <v>0</v>
      </c>
      <c r="H26" s="1039">
        <v>0</v>
      </c>
      <c r="I26" s="1036">
        <v>0</v>
      </c>
      <c r="J26" s="1036">
        <v>0</v>
      </c>
      <c r="K26" s="1036">
        <v>0</v>
      </c>
      <c r="L26" s="1026">
        <v>0</v>
      </c>
      <c r="M26" s="1026">
        <v>0</v>
      </c>
      <c r="N26" s="1026">
        <v>0</v>
      </c>
      <c r="O26" s="1026">
        <v>0</v>
      </c>
      <c r="Q26" s="1024" t="s">
        <v>1618</v>
      </c>
      <c r="R26" s="1030">
        <v>158</v>
      </c>
      <c r="S26" s="1027">
        <v>158</v>
      </c>
      <c r="T26" s="1028">
        <v>158</v>
      </c>
      <c r="U26" s="1029">
        <v>158</v>
      </c>
      <c r="V26" s="1038">
        <v>0</v>
      </c>
      <c r="W26" s="1039">
        <v>0</v>
      </c>
      <c r="X26" s="1039">
        <v>0</v>
      </c>
      <c r="Y26" s="1036">
        <v>0</v>
      </c>
      <c r="Z26" s="1047">
        <v>158</v>
      </c>
      <c r="AA26" s="1047">
        <v>158</v>
      </c>
      <c r="AB26" s="1026">
        <v>0</v>
      </c>
      <c r="AC26" s="1026">
        <v>0</v>
      </c>
      <c r="AD26" s="1048">
        <v>0</v>
      </c>
      <c r="AE26" s="1026">
        <v>0</v>
      </c>
    </row>
    <row r="27" spans="1:31">
      <c r="A27" s="1024" t="s">
        <v>224</v>
      </c>
      <c r="B27" s="1030">
        <v>2322</v>
      </c>
      <c r="C27" s="1027">
        <v>533.33333333333337</v>
      </c>
      <c r="D27" s="1028">
        <v>2000</v>
      </c>
      <c r="E27" s="1029">
        <v>0</v>
      </c>
      <c r="F27" s="1038">
        <v>0</v>
      </c>
      <c r="G27" s="1039">
        <v>2322</v>
      </c>
      <c r="H27" s="1039">
        <v>0</v>
      </c>
      <c r="I27" s="1036">
        <v>0</v>
      </c>
      <c r="J27" s="1036">
        <v>0</v>
      </c>
      <c r="K27" s="1036">
        <v>1000</v>
      </c>
      <c r="L27" s="1026">
        <v>2322</v>
      </c>
      <c r="M27" s="1026">
        <v>0</v>
      </c>
      <c r="N27" s="1026">
        <v>0</v>
      </c>
      <c r="O27" s="1026">
        <v>0</v>
      </c>
      <c r="Q27" s="1024" t="s">
        <v>535</v>
      </c>
      <c r="R27" s="1030">
        <v>206</v>
      </c>
      <c r="S27" s="1027">
        <v>206</v>
      </c>
      <c r="T27" s="1028">
        <v>206</v>
      </c>
      <c r="U27" s="1029">
        <v>206</v>
      </c>
      <c r="V27" s="1038">
        <v>0</v>
      </c>
      <c r="W27" s="1039">
        <v>0</v>
      </c>
      <c r="X27" s="1039">
        <v>0</v>
      </c>
      <c r="Y27" s="1036">
        <v>0</v>
      </c>
      <c r="Z27" s="1047">
        <v>206</v>
      </c>
      <c r="AA27" s="1047">
        <v>0</v>
      </c>
      <c r="AB27" s="1026">
        <v>0</v>
      </c>
      <c r="AC27" s="1026">
        <v>0</v>
      </c>
      <c r="AD27" s="1048">
        <v>0</v>
      </c>
      <c r="AE27" s="1026">
        <v>0</v>
      </c>
    </row>
    <row r="28" spans="1:31">
      <c r="A28" s="1024" t="s">
        <v>161</v>
      </c>
      <c r="B28" s="1030">
        <v>742</v>
      </c>
      <c r="C28" s="1027">
        <v>742</v>
      </c>
      <c r="D28" s="1028">
        <v>742</v>
      </c>
      <c r="E28" s="1029">
        <v>500</v>
      </c>
      <c r="F28" s="1038">
        <v>0</v>
      </c>
      <c r="G28" s="1039">
        <v>0</v>
      </c>
      <c r="H28" s="1039">
        <v>0</v>
      </c>
      <c r="I28" s="1036">
        <v>0</v>
      </c>
      <c r="J28" s="1036">
        <v>500</v>
      </c>
      <c r="K28" s="1036">
        <v>700</v>
      </c>
      <c r="L28" s="1026">
        <v>0</v>
      </c>
      <c r="M28" s="1026">
        <v>0</v>
      </c>
      <c r="N28" s="1026">
        <v>0</v>
      </c>
      <c r="O28" s="1026">
        <v>0</v>
      </c>
      <c r="Q28" s="1024" t="s">
        <v>547</v>
      </c>
      <c r="R28" s="1030">
        <v>141</v>
      </c>
      <c r="S28" s="1027">
        <v>141</v>
      </c>
      <c r="T28" s="1028">
        <v>141</v>
      </c>
      <c r="U28" s="1029">
        <v>141</v>
      </c>
      <c r="V28" s="1038">
        <v>0</v>
      </c>
      <c r="W28" s="1039">
        <v>0</v>
      </c>
      <c r="X28" s="1039">
        <v>0</v>
      </c>
      <c r="Y28" s="1036">
        <v>0</v>
      </c>
      <c r="Z28" s="1047">
        <v>141</v>
      </c>
      <c r="AA28" s="1047">
        <v>141</v>
      </c>
      <c r="AB28" s="1026">
        <v>0</v>
      </c>
      <c r="AC28" s="1026">
        <v>0</v>
      </c>
      <c r="AD28" s="1048">
        <v>0</v>
      </c>
      <c r="AE28" s="1026">
        <v>0</v>
      </c>
    </row>
    <row r="29" spans="1:31">
      <c r="A29" s="1024" t="s">
        <v>233</v>
      </c>
      <c r="B29" s="1030">
        <v>278</v>
      </c>
      <c r="C29" s="1027">
        <v>278</v>
      </c>
      <c r="D29" s="1028">
        <v>278</v>
      </c>
      <c r="E29" s="1029">
        <v>278</v>
      </c>
      <c r="F29" s="1038">
        <v>0</v>
      </c>
      <c r="G29" s="1039">
        <v>0</v>
      </c>
      <c r="H29" s="1039">
        <v>0</v>
      </c>
      <c r="I29" s="1036">
        <v>0</v>
      </c>
      <c r="J29" s="1036">
        <v>278</v>
      </c>
      <c r="K29" s="1036">
        <v>278</v>
      </c>
      <c r="L29" s="1026">
        <v>0</v>
      </c>
      <c r="M29" s="1026">
        <v>0</v>
      </c>
      <c r="N29" s="1026">
        <v>0</v>
      </c>
      <c r="O29" s="1026">
        <v>0</v>
      </c>
      <c r="Q29" s="1024" t="s">
        <v>542</v>
      </c>
      <c r="R29" s="1030">
        <v>664</v>
      </c>
      <c r="S29" s="1027">
        <v>533.33333333333337</v>
      </c>
      <c r="T29" s="1028">
        <v>525</v>
      </c>
      <c r="U29" s="1029">
        <v>500</v>
      </c>
      <c r="V29" s="1038">
        <v>0</v>
      </c>
      <c r="W29" s="1039">
        <v>0</v>
      </c>
      <c r="X29" s="1039">
        <v>0</v>
      </c>
      <c r="Y29" s="1036">
        <v>0</v>
      </c>
      <c r="Z29" s="1047">
        <v>500</v>
      </c>
      <c r="AA29" s="1047">
        <v>664</v>
      </c>
      <c r="AB29" s="1026">
        <v>0</v>
      </c>
      <c r="AC29" s="1026">
        <v>0</v>
      </c>
      <c r="AD29" s="1048">
        <v>0</v>
      </c>
      <c r="AE29" s="1026">
        <v>0</v>
      </c>
    </row>
    <row r="30" spans="1:31">
      <c r="A30" s="1024" t="s">
        <v>1604</v>
      </c>
      <c r="B30" s="1030">
        <v>661</v>
      </c>
      <c r="C30" s="1027">
        <v>661</v>
      </c>
      <c r="D30" s="1028">
        <v>320</v>
      </c>
      <c r="E30" s="1029">
        <v>500</v>
      </c>
      <c r="F30" s="1038">
        <v>0</v>
      </c>
      <c r="G30" s="1039">
        <v>0</v>
      </c>
      <c r="H30" s="1039">
        <v>0</v>
      </c>
      <c r="I30" s="1036">
        <v>0</v>
      </c>
      <c r="J30" s="1036">
        <v>500</v>
      </c>
      <c r="K30" s="1036">
        <v>661</v>
      </c>
      <c r="L30" s="1026">
        <v>0</v>
      </c>
      <c r="M30" s="1026">
        <v>0</v>
      </c>
      <c r="N30" s="1026">
        <v>0</v>
      </c>
      <c r="O30" s="1026">
        <v>0</v>
      </c>
      <c r="Q30" s="1024" t="s">
        <v>561</v>
      </c>
      <c r="R30" s="1030">
        <v>221</v>
      </c>
      <c r="S30" s="1027">
        <v>221</v>
      </c>
      <c r="T30" s="1028">
        <v>221</v>
      </c>
      <c r="U30" s="1029">
        <v>221</v>
      </c>
      <c r="V30" s="1038">
        <v>0</v>
      </c>
      <c r="W30" s="1039">
        <v>221</v>
      </c>
      <c r="X30" s="1039">
        <v>0</v>
      </c>
      <c r="Y30" s="1036">
        <v>0</v>
      </c>
      <c r="Z30" s="1047">
        <v>221</v>
      </c>
      <c r="AA30" s="1047">
        <v>221</v>
      </c>
      <c r="AB30" s="1026">
        <v>221</v>
      </c>
      <c r="AC30" s="1026">
        <v>0</v>
      </c>
      <c r="AD30" s="1048">
        <v>0</v>
      </c>
      <c r="AE30" s="1026">
        <v>0</v>
      </c>
    </row>
    <row r="31" spans="1:31">
      <c r="A31" s="1024" t="s">
        <v>290</v>
      </c>
      <c r="B31" s="1030">
        <v>8225</v>
      </c>
      <c r="C31" s="1027">
        <v>2750</v>
      </c>
      <c r="D31" s="1028">
        <v>8225</v>
      </c>
      <c r="E31" s="1029">
        <v>7000</v>
      </c>
      <c r="F31" s="1038">
        <v>6580</v>
      </c>
      <c r="G31" s="1039">
        <v>0</v>
      </c>
      <c r="H31" s="1039">
        <v>0</v>
      </c>
      <c r="I31" s="1036">
        <v>0</v>
      </c>
      <c r="J31" s="1036">
        <v>7000</v>
      </c>
      <c r="K31" s="1036">
        <v>7000</v>
      </c>
      <c r="L31" s="1026">
        <v>0</v>
      </c>
      <c r="M31" s="1026">
        <v>0</v>
      </c>
      <c r="N31" s="1026">
        <v>0</v>
      </c>
      <c r="O31" s="1026">
        <v>0</v>
      </c>
      <c r="Q31" s="1024" t="s">
        <v>563</v>
      </c>
      <c r="R31" s="1030">
        <v>195</v>
      </c>
      <c r="S31" s="1027">
        <v>195</v>
      </c>
      <c r="T31" s="1028">
        <v>195</v>
      </c>
      <c r="U31" s="1029">
        <v>195</v>
      </c>
      <c r="V31" s="1038">
        <v>0</v>
      </c>
      <c r="W31" s="1039">
        <v>0</v>
      </c>
      <c r="X31" s="1039">
        <v>0</v>
      </c>
      <c r="Y31" s="1036">
        <v>0</v>
      </c>
      <c r="Z31" s="1047">
        <v>195</v>
      </c>
      <c r="AA31" s="1047">
        <v>0</v>
      </c>
      <c r="AB31" s="1026">
        <v>0</v>
      </c>
      <c r="AC31" s="1026">
        <v>0</v>
      </c>
      <c r="AD31" s="1048">
        <v>0</v>
      </c>
      <c r="AE31" s="1026">
        <v>0</v>
      </c>
    </row>
    <row r="32" spans="1:31">
      <c r="A32" s="1024" t="s">
        <v>828</v>
      </c>
      <c r="B32" s="1030">
        <v>62</v>
      </c>
      <c r="C32" s="1027">
        <v>62</v>
      </c>
      <c r="D32" s="1028">
        <v>62</v>
      </c>
      <c r="E32" s="1029">
        <v>62</v>
      </c>
      <c r="F32" s="1038">
        <v>0</v>
      </c>
      <c r="G32" s="1039">
        <v>0</v>
      </c>
      <c r="H32" s="1039">
        <v>0</v>
      </c>
      <c r="I32" s="1036">
        <v>0</v>
      </c>
      <c r="J32" s="1036">
        <v>62</v>
      </c>
      <c r="K32" s="1036">
        <v>62</v>
      </c>
      <c r="L32" s="1026">
        <v>0</v>
      </c>
      <c r="M32" s="1026">
        <v>0</v>
      </c>
      <c r="N32" s="1026">
        <v>0</v>
      </c>
      <c r="O32" s="1026">
        <v>0</v>
      </c>
      <c r="Q32" s="1024" t="s">
        <v>538</v>
      </c>
      <c r="R32" s="1030">
        <v>1101</v>
      </c>
      <c r="S32" s="1027">
        <v>1101</v>
      </c>
      <c r="T32" s="1028">
        <v>1025</v>
      </c>
      <c r="U32" s="1029">
        <v>500</v>
      </c>
      <c r="V32" s="1038">
        <v>0</v>
      </c>
      <c r="W32" s="1039">
        <v>1000</v>
      </c>
      <c r="X32" s="1039">
        <v>0</v>
      </c>
      <c r="Y32" s="1036">
        <v>0</v>
      </c>
      <c r="Z32" s="1047">
        <v>500</v>
      </c>
      <c r="AA32" s="1047">
        <v>200</v>
      </c>
      <c r="AB32" s="1026">
        <v>1000</v>
      </c>
      <c r="AC32" s="1026">
        <v>0</v>
      </c>
      <c r="AD32" s="1048">
        <v>0</v>
      </c>
      <c r="AE32" s="1026">
        <v>0</v>
      </c>
    </row>
    <row r="33" spans="1:31">
      <c r="A33" s="1024" t="s">
        <v>207</v>
      </c>
      <c r="B33" s="1030">
        <v>57</v>
      </c>
      <c r="C33" s="1027">
        <v>57</v>
      </c>
      <c r="D33" s="1028">
        <v>57</v>
      </c>
      <c r="E33" s="1029">
        <v>0</v>
      </c>
      <c r="F33" s="1038">
        <v>0</v>
      </c>
      <c r="G33" s="1039">
        <v>0</v>
      </c>
      <c r="H33" s="1039">
        <v>0</v>
      </c>
      <c r="I33" s="1036">
        <v>0</v>
      </c>
      <c r="J33" s="1036">
        <v>0</v>
      </c>
      <c r="K33" s="1036">
        <v>0</v>
      </c>
      <c r="L33" s="1026">
        <v>0</v>
      </c>
      <c r="M33" s="1026">
        <v>0</v>
      </c>
      <c r="N33" s="1026">
        <v>0</v>
      </c>
      <c r="O33" s="1026">
        <v>0</v>
      </c>
      <c r="Q33" s="1024" t="s">
        <v>2585</v>
      </c>
      <c r="R33" s="1030">
        <v>1674</v>
      </c>
      <c r="S33" s="1027">
        <v>1600</v>
      </c>
      <c r="T33" s="1028">
        <v>600</v>
      </c>
      <c r="U33" s="1029">
        <v>0</v>
      </c>
      <c r="V33" s="1038">
        <v>0</v>
      </c>
      <c r="W33" s="1039">
        <v>500</v>
      </c>
      <c r="X33" s="1039">
        <v>0</v>
      </c>
      <c r="Y33" s="1036">
        <v>0</v>
      </c>
      <c r="Z33" s="1047">
        <v>0</v>
      </c>
      <c r="AA33" s="1047">
        <v>300</v>
      </c>
      <c r="AB33" s="1026">
        <v>500</v>
      </c>
      <c r="AC33" s="1026">
        <v>0</v>
      </c>
      <c r="AD33" s="1048">
        <v>0</v>
      </c>
      <c r="AE33" s="1026">
        <v>0</v>
      </c>
    </row>
    <row r="34" spans="1:31">
      <c r="A34" s="1024" t="s">
        <v>1563</v>
      </c>
      <c r="B34" s="1030">
        <v>52</v>
      </c>
      <c r="C34" s="1027">
        <v>52</v>
      </c>
      <c r="D34" s="1028">
        <v>52</v>
      </c>
      <c r="E34" s="1029">
        <v>52</v>
      </c>
      <c r="F34" s="1038">
        <v>0</v>
      </c>
      <c r="G34" s="1039">
        <v>52</v>
      </c>
      <c r="H34" s="1039">
        <v>0</v>
      </c>
      <c r="I34" s="1036">
        <v>0</v>
      </c>
      <c r="J34" s="1036">
        <v>52</v>
      </c>
      <c r="K34" s="1036">
        <v>52</v>
      </c>
      <c r="L34" s="1026">
        <v>52</v>
      </c>
      <c r="M34" s="1026">
        <v>0</v>
      </c>
      <c r="N34" s="1026">
        <v>0</v>
      </c>
      <c r="O34" s="1026">
        <v>0</v>
      </c>
      <c r="Q34" s="1024" t="s">
        <v>2659</v>
      </c>
      <c r="R34" s="1030">
        <v>60</v>
      </c>
      <c r="S34" s="1027">
        <v>0</v>
      </c>
      <c r="T34" s="1028">
        <v>0</v>
      </c>
      <c r="U34" s="1029">
        <v>0</v>
      </c>
      <c r="V34" s="1038">
        <v>0</v>
      </c>
      <c r="W34" s="1039">
        <v>0</v>
      </c>
      <c r="X34" s="1039">
        <v>0</v>
      </c>
      <c r="Y34" s="1036">
        <v>0</v>
      </c>
      <c r="Z34" s="1047">
        <v>0</v>
      </c>
      <c r="AA34" s="1047">
        <v>60</v>
      </c>
      <c r="AB34" s="1026">
        <v>0</v>
      </c>
      <c r="AC34" s="1026">
        <v>0</v>
      </c>
      <c r="AD34" s="1048">
        <v>0</v>
      </c>
      <c r="AE34" s="1026">
        <v>0</v>
      </c>
    </row>
    <row r="35" spans="1:31">
      <c r="A35" s="1024" t="s">
        <v>209</v>
      </c>
      <c r="B35" s="1030">
        <v>263</v>
      </c>
      <c r="C35" s="1027">
        <v>263</v>
      </c>
      <c r="D35" s="1028">
        <v>100</v>
      </c>
      <c r="E35" s="1029">
        <v>0</v>
      </c>
      <c r="F35" s="1038">
        <v>0</v>
      </c>
      <c r="G35" s="1039">
        <v>0</v>
      </c>
      <c r="H35" s="1039">
        <v>0</v>
      </c>
      <c r="I35" s="1036">
        <v>0</v>
      </c>
      <c r="J35" s="1036">
        <v>0</v>
      </c>
      <c r="K35" s="1036">
        <v>200</v>
      </c>
      <c r="L35" s="1026">
        <v>0</v>
      </c>
      <c r="M35" s="1026">
        <v>0</v>
      </c>
      <c r="N35" s="1026">
        <v>0</v>
      </c>
      <c r="O35" s="1026">
        <v>0</v>
      </c>
      <c r="Q35" s="1024" t="s">
        <v>2896</v>
      </c>
      <c r="R35" s="1030">
        <v>162</v>
      </c>
      <c r="S35" s="1027">
        <v>0</v>
      </c>
      <c r="T35" s="1028">
        <v>162</v>
      </c>
      <c r="U35" s="1029">
        <v>0</v>
      </c>
      <c r="V35" s="1038">
        <v>0</v>
      </c>
      <c r="W35" s="1039">
        <v>0</v>
      </c>
      <c r="X35" s="1039">
        <v>0</v>
      </c>
      <c r="Y35" s="1036">
        <v>0</v>
      </c>
      <c r="Z35" s="1047">
        <v>0</v>
      </c>
      <c r="AA35" s="1047">
        <v>162</v>
      </c>
      <c r="AB35" s="1026">
        <v>0</v>
      </c>
      <c r="AC35" s="1026">
        <v>0</v>
      </c>
      <c r="AD35" s="1048">
        <v>0</v>
      </c>
      <c r="AE35" s="1026">
        <v>0</v>
      </c>
    </row>
    <row r="36" spans="1:31">
      <c r="A36" s="1024" t="s">
        <v>153</v>
      </c>
      <c r="B36" s="1030">
        <v>74</v>
      </c>
      <c r="C36" s="1027">
        <v>74</v>
      </c>
      <c r="D36" s="1028">
        <v>74</v>
      </c>
      <c r="E36" s="1029">
        <v>0</v>
      </c>
      <c r="F36" s="1038">
        <v>0</v>
      </c>
      <c r="G36" s="1039">
        <v>0</v>
      </c>
      <c r="H36" s="1039">
        <v>0</v>
      </c>
      <c r="I36" s="1036">
        <v>0</v>
      </c>
      <c r="J36" s="1036">
        <v>0</v>
      </c>
      <c r="K36" s="1036">
        <v>74</v>
      </c>
      <c r="L36" s="1026">
        <v>0</v>
      </c>
      <c r="M36" s="1026">
        <v>0</v>
      </c>
      <c r="N36" s="1026">
        <v>0</v>
      </c>
      <c r="O36" s="1026">
        <v>0</v>
      </c>
      <c r="Q36" s="1024" t="s">
        <v>2897</v>
      </c>
      <c r="R36" s="1030">
        <v>132</v>
      </c>
      <c r="S36" s="1027">
        <v>132</v>
      </c>
      <c r="T36" s="1028">
        <v>132</v>
      </c>
      <c r="U36" s="1029">
        <v>132</v>
      </c>
      <c r="V36" s="1038">
        <v>0</v>
      </c>
      <c r="W36" s="1039">
        <v>0</v>
      </c>
      <c r="X36" s="1039">
        <v>0</v>
      </c>
      <c r="Y36" s="1036">
        <v>0</v>
      </c>
      <c r="Z36" s="1047">
        <v>132</v>
      </c>
      <c r="AA36" s="1047">
        <v>132</v>
      </c>
      <c r="AB36" s="1026">
        <v>0</v>
      </c>
      <c r="AC36" s="1026">
        <v>0</v>
      </c>
      <c r="AD36" s="1048">
        <v>0</v>
      </c>
      <c r="AE36" s="1026">
        <v>0</v>
      </c>
    </row>
    <row r="37" spans="1:31">
      <c r="A37" s="1024" t="s">
        <v>289</v>
      </c>
      <c r="B37" s="1030">
        <v>2199</v>
      </c>
      <c r="C37" s="1027">
        <v>500</v>
      </c>
      <c r="D37" s="1028">
        <v>0</v>
      </c>
      <c r="E37" s="1029">
        <v>0</v>
      </c>
      <c r="F37" s="1038">
        <v>0</v>
      </c>
      <c r="G37" s="1039">
        <v>0</v>
      </c>
      <c r="H37" s="1039">
        <v>0</v>
      </c>
      <c r="I37" s="1036">
        <v>0</v>
      </c>
      <c r="J37" s="1036">
        <v>0</v>
      </c>
      <c r="K37" s="1036">
        <v>300</v>
      </c>
      <c r="L37" s="1026">
        <v>0</v>
      </c>
      <c r="M37" s="1026">
        <v>0</v>
      </c>
      <c r="N37" s="1026">
        <v>0</v>
      </c>
      <c r="O37" s="1026">
        <v>0</v>
      </c>
      <c r="Q37" s="1024" t="s">
        <v>2857</v>
      </c>
      <c r="R37" s="1030">
        <v>40</v>
      </c>
      <c r="S37" s="1027">
        <v>0</v>
      </c>
      <c r="T37" s="1028">
        <v>40</v>
      </c>
      <c r="U37" s="1029">
        <v>0</v>
      </c>
      <c r="V37" s="1038">
        <v>0</v>
      </c>
      <c r="W37" s="1039">
        <v>0</v>
      </c>
      <c r="X37" s="1039">
        <v>0</v>
      </c>
      <c r="Y37" s="1036">
        <v>0</v>
      </c>
      <c r="Z37" s="1047">
        <v>0</v>
      </c>
      <c r="AA37" s="1047">
        <v>0</v>
      </c>
      <c r="AB37" s="1026">
        <v>0</v>
      </c>
      <c r="AC37" s="1026">
        <v>0</v>
      </c>
      <c r="AD37" s="1048">
        <v>0</v>
      </c>
      <c r="AE37" s="1026">
        <v>0</v>
      </c>
    </row>
    <row r="38" spans="1:31">
      <c r="A38" s="1024" t="s">
        <v>243</v>
      </c>
      <c r="B38" s="1030">
        <v>634</v>
      </c>
      <c r="C38" s="1027">
        <v>634</v>
      </c>
      <c r="D38" s="1028">
        <v>606</v>
      </c>
      <c r="E38" s="1029">
        <v>634</v>
      </c>
      <c r="F38" s="1038">
        <v>634</v>
      </c>
      <c r="G38" s="1039">
        <v>0</v>
      </c>
      <c r="H38" s="1039">
        <v>0</v>
      </c>
      <c r="I38" s="1036">
        <v>634</v>
      </c>
      <c r="J38" s="1036">
        <v>500</v>
      </c>
      <c r="K38" s="1036">
        <v>300</v>
      </c>
      <c r="L38" s="1026">
        <v>0</v>
      </c>
      <c r="M38" s="1026">
        <v>0</v>
      </c>
      <c r="N38" s="1026">
        <v>0</v>
      </c>
      <c r="O38" s="1026">
        <v>0</v>
      </c>
      <c r="Q38" s="1024" t="s">
        <v>2858</v>
      </c>
      <c r="R38" s="1030">
        <v>28</v>
      </c>
      <c r="S38" s="1027">
        <v>0</v>
      </c>
      <c r="T38" s="1028">
        <v>28</v>
      </c>
      <c r="U38" s="1029">
        <v>0</v>
      </c>
      <c r="V38" s="1038">
        <v>0</v>
      </c>
      <c r="W38" s="1039">
        <v>0</v>
      </c>
      <c r="X38" s="1039">
        <v>0</v>
      </c>
      <c r="Y38" s="1036">
        <v>0</v>
      </c>
      <c r="Z38" s="1047">
        <v>0</v>
      </c>
      <c r="AA38" s="1047">
        <v>0</v>
      </c>
      <c r="AB38" s="1026">
        <v>0</v>
      </c>
      <c r="AC38" s="1026">
        <v>0</v>
      </c>
      <c r="AD38" s="1048">
        <v>0</v>
      </c>
      <c r="AE38" s="1026">
        <v>0</v>
      </c>
    </row>
    <row r="39" spans="1:31">
      <c r="A39" s="1024" t="s">
        <v>163</v>
      </c>
      <c r="B39" s="1030">
        <v>678</v>
      </c>
      <c r="C39" s="1027">
        <v>678</v>
      </c>
      <c r="D39" s="1028">
        <v>160</v>
      </c>
      <c r="E39" s="1029">
        <v>0</v>
      </c>
      <c r="F39" s="1038">
        <v>0</v>
      </c>
      <c r="G39" s="1039">
        <v>0</v>
      </c>
      <c r="H39" s="1039">
        <v>0</v>
      </c>
      <c r="I39" s="1036">
        <v>0</v>
      </c>
      <c r="J39" s="1036">
        <v>0</v>
      </c>
      <c r="K39" s="1036">
        <v>300</v>
      </c>
      <c r="L39" s="1026">
        <v>0</v>
      </c>
      <c r="M39" s="1026">
        <v>0</v>
      </c>
      <c r="N39" s="1026">
        <v>0</v>
      </c>
      <c r="O39" s="1026">
        <v>0</v>
      </c>
      <c r="Q39" s="1024" t="s">
        <v>2859</v>
      </c>
      <c r="R39" s="1030">
        <v>31</v>
      </c>
      <c r="S39" s="1027">
        <v>0</v>
      </c>
      <c r="T39" s="1028">
        <v>31</v>
      </c>
      <c r="U39" s="1029">
        <v>0</v>
      </c>
      <c r="V39" s="1038">
        <v>0</v>
      </c>
      <c r="W39" s="1039">
        <v>0</v>
      </c>
      <c r="X39" s="1039">
        <v>0</v>
      </c>
      <c r="Y39" s="1036">
        <v>0</v>
      </c>
      <c r="Z39" s="1047">
        <v>0</v>
      </c>
      <c r="AA39" s="1047">
        <v>0</v>
      </c>
      <c r="AB39" s="1026">
        <v>0</v>
      </c>
      <c r="AC39" s="1026">
        <v>0</v>
      </c>
      <c r="AD39" s="1048">
        <v>0</v>
      </c>
      <c r="AE39" s="1026">
        <v>0</v>
      </c>
    </row>
    <row r="40" spans="1:31">
      <c r="A40" s="1024" t="s">
        <v>164</v>
      </c>
      <c r="B40" s="1030">
        <v>640</v>
      </c>
      <c r="C40" s="1027">
        <v>640</v>
      </c>
      <c r="D40" s="1028">
        <v>640</v>
      </c>
      <c r="E40" s="1029">
        <v>0</v>
      </c>
      <c r="F40" s="1038">
        <v>0</v>
      </c>
      <c r="G40" s="1039">
        <v>0</v>
      </c>
      <c r="H40" s="1039">
        <v>0</v>
      </c>
      <c r="I40" s="1036">
        <v>0</v>
      </c>
      <c r="J40" s="1036">
        <v>0</v>
      </c>
      <c r="K40" s="1036">
        <v>300</v>
      </c>
      <c r="L40" s="1026">
        <v>0</v>
      </c>
      <c r="M40" s="1026">
        <v>0</v>
      </c>
      <c r="N40" s="1026">
        <v>0</v>
      </c>
      <c r="O40" s="1026">
        <v>0</v>
      </c>
      <c r="Q40" s="1024" t="s">
        <v>2860</v>
      </c>
      <c r="R40" s="1030">
        <v>179</v>
      </c>
      <c r="S40" s="1027">
        <v>179</v>
      </c>
      <c r="T40" s="1028">
        <v>179</v>
      </c>
      <c r="U40" s="1029">
        <v>0</v>
      </c>
      <c r="V40" s="1038">
        <v>0</v>
      </c>
      <c r="W40" s="1039">
        <v>0</v>
      </c>
      <c r="X40" s="1039">
        <v>0</v>
      </c>
      <c r="Y40" s="1036">
        <v>0</v>
      </c>
      <c r="Z40" s="1047">
        <v>0</v>
      </c>
      <c r="AA40" s="1047">
        <v>179</v>
      </c>
      <c r="AB40" s="1026">
        <v>0</v>
      </c>
      <c r="AC40" s="1026">
        <v>0</v>
      </c>
      <c r="AD40" s="1048">
        <v>0</v>
      </c>
      <c r="AE40" s="1026">
        <v>0</v>
      </c>
    </row>
    <row r="41" spans="1:31">
      <c r="A41" s="1024" t="s">
        <v>247</v>
      </c>
      <c r="B41" s="1030">
        <v>885</v>
      </c>
      <c r="C41" s="1027">
        <v>885</v>
      </c>
      <c r="D41" s="1028">
        <v>600</v>
      </c>
      <c r="E41" s="1029">
        <v>885</v>
      </c>
      <c r="F41" s="1038">
        <v>885</v>
      </c>
      <c r="G41" s="1039">
        <v>885</v>
      </c>
      <c r="H41" s="1039">
        <v>0</v>
      </c>
      <c r="I41" s="1036">
        <v>295</v>
      </c>
      <c r="J41" s="1036">
        <v>885</v>
      </c>
      <c r="K41" s="1036">
        <v>100</v>
      </c>
      <c r="L41" s="1026">
        <v>885</v>
      </c>
      <c r="M41" s="1026">
        <v>0</v>
      </c>
      <c r="N41" s="1026">
        <v>0</v>
      </c>
      <c r="O41" s="1026">
        <v>0</v>
      </c>
      <c r="Q41" s="1024" t="s">
        <v>2861</v>
      </c>
      <c r="R41" s="1030">
        <v>26</v>
      </c>
      <c r="S41" s="1027">
        <v>26</v>
      </c>
      <c r="T41" s="1028">
        <v>26</v>
      </c>
      <c r="U41" s="1029">
        <v>0</v>
      </c>
      <c r="V41" s="1038">
        <v>0</v>
      </c>
      <c r="W41" s="1039">
        <v>0</v>
      </c>
      <c r="X41" s="1039">
        <v>0</v>
      </c>
      <c r="Y41" s="1036">
        <v>0</v>
      </c>
      <c r="Z41" s="1047">
        <v>0</v>
      </c>
      <c r="AA41" s="1047">
        <v>26</v>
      </c>
      <c r="AB41" s="1026">
        <v>0</v>
      </c>
      <c r="AC41" s="1026">
        <v>0</v>
      </c>
      <c r="AD41" s="1048">
        <v>0</v>
      </c>
      <c r="AE41" s="1026">
        <v>0</v>
      </c>
    </row>
    <row r="42" spans="1:31">
      <c r="A42" s="1024" t="s">
        <v>255</v>
      </c>
      <c r="B42" s="1030">
        <v>107</v>
      </c>
      <c r="C42" s="1027">
        <v>107</v>
      </c>
      <c r="D42" s="1028">
        <v>107</v>
      </c>
      <c r="E42" s="1029">
        <v>107</v>
      </c>
      <c r="F42" s="1038">
        <v>107</v>
      </c>
      <c r="G42" s="1039">
        <v>0</v>
      </c>
      <c r="H42" s="1039">
        <v>0</v>
      </c>
      <c r="I42" s="1036">
        <v>107</v>
      </c>
      <c r="J42" s="1036">
        <v>107</v>
      </c>
      <c r="K42" s="1036">
        <v>0</v>
      </c>
      <c r="L42" s="1026">
        <v>0</v>
      </c>
      <c r="M42" s="1026">
        <v>0</v>
      </c>
      <c r="N42" s="1026">
        <v>0</v>
      </c>
      <c r="O42" s="1026">
        <v>0</v>
      </c>
      <c r="Q42" s="1024" t="s">
        <v>2862</v>
      </c>
      <c r="R42" s="1030">
        <v>155</v>
      </c>
      <c r="S42" s="1027">
        <v>0</v>
      </c>
      <c r="T42" s="1028">
        <v>0</v>
      </c>
      <c r="U42" s="1029">
        <v>0</v>
      </c>
      <c r="V42" s="1038">
        <v>0</v>
      </c>
      <c r="W42" s="1039">
        <v>0</v>
      </c>
      <c r="X42" s="1039">
        <v>0</v>
      </c>
      <c r="Y42" s="1036">
        <v>0</v>
      </c>
      <c r="Z42" s="1047">
        <v>0</v>
      </c>
      <c r="AA42" s="1047">
        <v>0</v>
      </c>
      <c r="AB42" s="1026">
        <v>0</v>
      </c>
      <c r="AC42" s="1026">
        <v>0</v>
      </c>
      <c r="AD42" s="1048">
        <v>0</v>
      </c>
      <c r="AE42" s="1026">
        <v>0</v>
      </c>
    </row>
    <row r="43" spans="1:31">
      <c r="A43" s="1024" t="s">
        <v>256</v>
      </c>
      <c r="B43" s="1030">
        <v>56</v>
      </c>
      <c r="C43" s="1027">
        <v>56</v>
      </c>
      <c r="D43" s="1028">
        <v>40</v>
      </c>
      <c r="E43" s="1029">
        <v>56</v>
      </c>
      <c r="F43" s="1038">
        <v>49.84</v>
      </c>
      <c r="G43" s="1039">
        <v>0</v>
      </c>
      <c r="H43" s="1039">
        <v>0</v>
      </c>
      <c r="I43" s="1036">
        <v>56</v>
      </c>
      <c r="J43" s="1036">
        <v>56</v>
      </c>
      <c r="K43" s="1036">
        <v>56</v>
      </c>
      <c r="L43" s="1026">
        <v>0</v>
      </c>
      <c r="M43" s="1026">
        <v>0</v>
      </c>
      <c r="N43" s="1026">
        <v>0</v>
      </c>
      <c r="O43" s="1026">
        <v>0</v>
      </c>
      <c r="Q43" s="1024" t="s">
        <v>2829</v>
      </c>
      <c r="R43" s="1030">
        <v>77</v>
      </c>
      <c r="S43" s="1027">
        <v>77</v>
      </c>
      <c r="T43" s="1028">
        <v>77</v>
      </c>
      <c r="U43" s="1029">
        <v>0</v>
      </c>
      <c r="V43" s="1038">
        <v>0</v>
      </c>
      <c r="W43" s="1039">
        <v>0</v>
      </c>
      <c r="X43" s="1039">
        <v>0</v>
      </c>
      <c r="Y43" s="1036">
        <v>0</v>
      </c>
      <c r="Z43" s="1047">
        <v>0</v>
      </c>
      <c r="AA43" s="1047">
        <v>77</v>
      </c>
      <c r="AB43" s="1026">
        <v>0</v>
      </c>
      <c r="AC43" s="1026">
        <v>0</v>
      </c>
      <c r="AD43" s="1048">
        <v>0</v>
      </c>
      <c r="AE43" s="1026">
        <v>0</v>
      </c>
    </row>
    <row r="44" spans="1:31">
      <c r="A44" s="1024" t="s">
        <v>200</v>
      </c>
      <c r="B44" s="1030">
        <v>774</v>
      </c>
      <c r="C44" s="1027">
        <v>774</v>
      </c>
      <c r="D44" s="1028">
        <v>774</v>
      </c>
      <c r="E44" s="1029">
        <v>500</v>
      </c>
      <c r="F44" s="1038">
        <v>696.6</v>
      </c>
      <c r="G44" s="1039">
        <v>500</v>
      </c>
      <c r="H44" s="1039">
        <v>0</v>
      </c>
      <c r="I44" s="1036">
        <v>0</v>
      </c>
      <c r="J44" s="1036">
        <v>500</v>
      </c>
      <c r="K44" s="1036">
        <v>600</v>
      </c>
      <c r="L44" s="1026">
        <v>500</v>
      </c>
      <c r="M44" s="1026">
        <v>0</v>
      </c>
      <c r="N44" s="1026">
        <v>0</v>
      </c>
      <c r="O44" s="1026">
        <v>0</v>
      </c>
      <c r="Q44" s="1024" t="s">
        <v>2993</v>
      </c>
      <c r="R44" s="1030">
        <v>37</v>
      </c>
      <c r="S44" s="1027">
        <v>37</v>
      </c>
      <c r="T44" s="1028">
        <v>0</v>
      </c>
      <c r="U44" s="1029">
        <v>0</v>
      </c>
      <c r="V44" s="1038">
        <v>0</v>
      </c>
      <c r="W44" s="1039">
        <v>0</v>
      </c>
      <c r="X44" s="1039">
        <v>0</v>
      </c>
      <c r="Y44" s="1036">
        <v>0</v>
      </c>
      <c r="Z44" s="1047">
        <v>0</v>
      </c>
      <c r="AA44" s="1047">
        <v>0</v>
      </c>
      <c r="AB44" s="1026">
        <v>0</v>
      </c>
      <c r="AC44" s="1026">
        <v>0</v>
      </c>
      <c r="AD44" s="1048">
        <v>0</v>
      </c>
      <c r="AE44" s="1026">
        <v>0</v>
      </c>
    </row>
    <row r="45" spans="1:31">
      <c r="A45" s="1024" t="s">
        <v>281</v>
      </c>
      <c r="B45" s="1030">
        <v>255</v>
      </c>
      <c r="C45" s="1027">
        <v>255</v>
      </c>
      <c r="D45" s="1028">
        <v>182</v>
      </c>
      <c r="E45" s="1029">
        <v>255</v>
      </c>
      <c r="F45" s="1038">
        <v>255</v>
      </c>
      <c r="G45" s="1039">
        <v>0</v>
      </c>
      <c r="H45" s="1039">
        <v>0</v>
      </c>
      <c r="I45" s="1036">
        <v>0</v>
      </c>
      <c r="J45" s="1036">
        <v>255</v>
      </c>
      <c r="K45" s="1036">
        <v>255</v>
      </c>
      <c r="L45" s="1026">
        <v>0</v>
      </c>
      <c r="M45" s="1026">
        <v>0</v>
      </c>
      <c r="N45" s="1026">
        <v>0</v>
      </c>
      <c r="O45" s="1026">
        <v>0</v>
      </c>
      <c r="Q45" s="1024" t="s">
        <v>2999</v>
      </c>
      <c r="R45" s="1030">
        <v>469</v>
      </c>
      <c r="S45" s="1027">
        <v>66.666666666666671</v>
      </c>
      <c r="T45" s="1028">
        <v>0</v>
      </c>
      <c r="U45" s="1029">
        <v>0</v>
      </c>
      <c r="V45" s="1038">
        <v>0</v>
      </c>
      <c r="W45" s="1039">
        <v>0</v>
      </c>
      <c r="X45" s="1039">
        <v>0</v>
      </c>
      <c r="Y45" s="1036">
        <v>0</v>
      </c>
      <c r="Z45" s="1047">
        <v>0</v>
      </c>
      <c r="AA45" s="1047">
        <v>0</v>
      </c>
      <c r="AB45" s="1026">
        <v>0</v>
      </c>
      <c r="AC45" s="1026">
        <v>0</v>
      </c>
      <c r="AD45" s="1048">
        <v>0</v>
      </c>
      <c r="AE45" s="1026">
        <v>0</v>
      </c>
    </row>
    <row r="46" spans="1:31">
      <c r="A46" s="1024" t="s">
        <v>282</v>
      </c>
      <c r="B46" s="1030">
        <v>426</v>
      </c>
      <c r="C46" s="1027">
        <v>426</v>
      </c>
      <c r="D46" s="1028">
        <v>126</v>
      </c>
      <c r="E46" s="1029">
        <v>426</v>
      </c>
      <c r="F46" s="1038">
        <v>391.92</v>
      </c>
      <c r="G46" s="1039">
        <v>0</v>
      </c>
      <c r="H46" s="1039">
        <v>0</v>
      </c>
      <c r="I46" s="1036">
        <v>0</v>
      </c>
      <c r="J46" s="1036">
        <v>426</v>
      </c>
      <c r="K46" s="1036">
        <v>300</v>
      </c>
      <c r="L46" s="1026">
        <v>0</v>
      </c>
      <c r="M46" s="1026">
        <v>0</v>
      </c>
      <c r="N46" s="1026">
        <v>0</v>
      </c>
      <c r="O46" s="1026">
        <v>0</v>
      </c>
    </row>
    <row r="47" spans="1:31">
      <c r="A47" s="1024" t="s">
        <v>283</v>
      </c>
      <c r="B47" s="1030">
        <v>1422</v>
      </c>
      <c r="C47" s="1027">
        <v>1422</v>
      </c>
      <c r="D47" s="1028">
        <v>803</v>
      </c>
      <c r="E47" s="1029">
        <v>1422</v>
      </c>
      <c r="F47" s="1038">
        <v>1422</v>
      </c>
      <c r="G47" s="1039">
        <v>0</v>
      </c>
      <c r="H47" s="1039">
        <v>0</v>
      </c>
      <c r="I47" s="1036">
        <v>0</v>
      </c>
      <c r="J47" s="1036">
        <v>1422</v>
      </c>
      <c r="K47" s="1036">
        <v>300</v>
      </c>
      <c r="L47" s="1026">
        <v>0</v>
      </c>
      <c r="M47" s="1026">
        <v>0</v>
      </c>
      <c r="N47" s="1026">
        <v>0</v>
      </c>
      <c r="O47" s="1026">
        <v>0</v>
      </c>
    </row>
    <row r="48" spans="1:31">
      <c r="A48" s="1024" t="s">
        <v>1591</v>
      </c>
      <c r="B48" s="1030">
        <v>460</v>
      </c>
      <c r="C48" s="1027">
        <v>400</v>
      </c>
      <c r="D48" s="1028">
        <v>300</v>
      </c>
      <c r="E48" s="1029">
        <v>460</v>
      </c>
      <c r="F48" s="1038">
        <v>0</v>
      </c>
      <c r="G48" s="1039">
        <v>0</v>
      </c>
      <c r="H48" s="1039">
        <v>0</v>
      </c>
      <c r="I48" s="1036">
        <v>0</v>
      </c>
      <c r="J48" s="1036">
        <v>460</v>
      </c>
      <c r="K48" s="1036">
        <v>100</v>
      </c>
      <c r="L48" s="1026">
        <v>0</v>
      </c>
      <c r="M48" s="1026">
        <v>0</v>
      </c>
      <c r="N48" s="1026">
        <v>0</v>
      </c>
      <c r="O48" s="1026">
        <v>0</v>
      </c>
    </row>
    <row r="49" spans="1:15">
      <c r="A49" s="1024" t="s">
        <v>1613</v>
      </c>
      <c r="B49" s="1030">
        <v>76</v>
      </c>
      <c r="C49" s="1027">
        <v>76</v>
      </c>
      <c r="D49" s="1028">
        <v>60</v>
      </c>
      <c r="E49" s="1029">
        <v>0</v>
      </c>
      <c r="F49" s="1038">
        <v>0</v>
      </c>
      <c r="G49" s="1039">
        <v>0</v>
      </c>
      <c r="H49" s="1039">
        <v>0</v>
      </c>
      <c r="I49" s="1036">
        <v>0</v>
      </c>
      <c r="J49" s="1036">
        <v>0</v>
      </c>
      <c r="K49" s="1036">
        <v>76</v>
      </c>
      <c r="L49" s="1026">
        <v>0</v>
      </c>
      <c r="M49" s="1026">
        <v>0</v>
      </c>
      <c r="N49" s="1026">
        <v>0</v>
      </c>
      <c r="O49" s="1026">
        <v>0</v>
      </c>
    </row>
    <row r="50" spans="1:15">
      <c r="A50" s="1024" t="s">
        <v>176</v>
      </c>
      <c r="B50" s="1030">
        <v>140</v>
      </c>
      <c r="C50" s="1027">
        <v>140</v>
      </c>
      <c r="D50" s="1028">
        <v>120</v>
      </c>
      <c r="E50" s="1029">
        <v>140</v>
      </c>
      <c r="F50" s="1038">
        <v>0</v>
      </c>
      <c r="G50" s="1039">
        <v>0</v>
      </c>
      <c r="H50" s="1039">
        <v>0</v>
      </c>
      <c r="I50" s="1036">
        <v>0</v>
      </c>
      <c r="J50" s="1036">
        <v>140</v>
      </c>
      <c r="K50" s="1036">
        <v>140</v>
      </c>
      <c r="L50" s="1026">
        <v>0</v>
      </c>
      <c r="M50" s="1026">
        <v>0</v>
      </c>
      <c r="N50" s="1026">
        <v>0</v>
      </c>
      <c r="O50" s="1026">
        <v>0</v>
      </c>
    </row>
    <row r="51" spans="1:15">
      <c r="A51" s="1024" t="s">
        <v>177</v>
      </c>
      <c r="B51" s="1030">
        <v>1342</v>
      </c>
      <c r="C51" s="1027">
        <v>400</v>
      </c>
      <c r="D51" s="1028">
        <v>1342</v>
      </c>
      <c r="E51" s="1029">
        <v>1342</v>
      </c>
      <c r="F51" s="1038">
        <v>0</v>
      </c>
      <c r="G51" s="1039">
        <v>0</v>
      </c>
      <c r="H51" s="1039">
        <v>0</v>
      </c>
      <c r="I51" s="1036">
        <v>0</v>
      </c>
      <c r="J51" s="1036">
        <v>1342</v>
      </c>
      <c r="K51" s="1036">
        <v>1342</v>
      </c>
      <c r="L51" s="1026">
        <v>0</v>
      </c>
      <c r="M51" s="1026">
        <v>0</v>
      </c>
      <c r="N51" s="1026">
        <v>0</v>
      </c>
      <c r="O51" s="1026">
        <v>0</v>
      </c>
    </row>
    <row r="52" spans="1:15">
      <c r="A52" s="1024" t="s">
        <v>269</v>
      </c>
      <c r="B52" s="1030">
        <v>2139</v>
      </c>
      <c r="C52" s="1027">
        <v>1900</v>
      </c>
      <c r="D52" s="1028">
        <v>560</v>
      </c>
      <c r="E52" s="1029">
        <v>500</v>
      </c>
      <c r="F52" s="1038">
        <v>2139</v>
      </c>
      <c r="G52" s="1039">
        <v>2139</v>
      </c>
      <c r="H52" s="1039">
        <v>0</v>
      </c>
      <c r="I52" s="1036">
        <v>0</v>
      </c>
      <c r="J52" s="1036">
        <v>500</v>
      </c>
      <c r="K52" s="1036">
        <v>1000</v>
      </c>
      <c r="L52" s="1026">
        <v>2139</v>
      </c>
      <c r="M52" s="1026">
        <v>0</v>
      </c>
      <c r="N52" s="1026">
        <v>0</v>
      </c>
      <c r="O52" s="1026">
        <v>0</v>
      </c>
    </row>
    <row r="53" spans="1:15">
      <c r="A53" s="1024" t="s">
        <v>237</v>
      </c>
      <c r="B53" s="1030">
        <v>1189</v>
      </c>
      <c r="C53" s="1027">
        <v>1189</v>
      </c>
      <c r="D53" s="1028">
        <v>1189</v>
      </c>
      <c r="E53" s="1029">
        <v>1000</v>
      </c>
      <c r="F53" s="1038">
        <v>0</v>
      </c>
      <c r="G53" s="1039">
        <v>0</v>
      </c>
      <c r="H53" s="1039">
        <v>0</v>
      </c>
      <c r="I53" s="1036">
        <v>0</v>
      </c>
      <c r="J53" s="1036">
        <v>1000</v>
      </c>
      <c r="K53" s="1036">
        <v>100</v>
      </c>
      <c r="L53" s="1026">
        <v>0</v>
      </c>
      <c r="M53" s="1026">
        <v>0</v>
      </c>
      <c r="N53" s="1026">
        <v>0</v>
      </c>
      <c r="O53" s="1026">
        <v>0</v>
      </c>
    </row>
    <row r="54" spans="1:15">
      <c r="A54" s="1024" t="s">
        <v>178</v>
      </c>
      <c r="B54" s="1030">
        <v>2973</v>
      </c>
      <c r="C54" s="1027">
        <v>2973</v>
      </c>
      <c r="D54" s="1028">
        <v>2600</v>
      </c>
      <c r="E54" s="1029">
        <v>2973</v>
      </c>
      <c r="F54" s="1038">
        <v>0</v>
      </c>
      <c r="G54" s="1039">
        <v>0</v>
      </c>
      <c r="H54" s="1039">
        <v>0</v>
      </c>
      <c r="I54" s="1036">
        <v>0</v>
      </c>
      <c r="J54" s="1036">
        <v>2973</v>
      </c>
      <c r="K54" s="1036">
        <v>700</v>
      </c>
      <c r="L54" s="1026">
        <v>0</v>
      </c>
      <c r="M54" s="1026">
        <v>0</v>
      </c>
      <c r="N54" s="1026">
        <v>0</v>
      </c>
      <c r="O54" s="1026">
        <v>0</v>
      </c>
    </row>
    <row r="55" spans="1:15">
      <c r="A55" s="1024" t="s">
        <v>179</v>
      </c>
      <c r="B55" s="1030">
        <v>198</v>
      </c>
      <c r="C55" s="1027">
        <v>198</v>
      </c>
      <c r="D55" s="1028">
        <v>198</v>
      </c>
      <c r="E55" s="1029">
        <v>198</v>
      </c>
      <c r="F55" s="1038">
        <v>0</v>
      </c>
      <c r="G55" s="1039">
        <v>0</v>
      </c>
      <c r="H55" s="1039">
        <v>0</v>
      </c>
      <c r="I55" s="1036">
        <v>0</v>
      </c>
      <c r="J55" s="1036">
        <v>198</v>
      </c>
      <c r="K55" s="1036">
        <v>198</v>
      </c>
      <c r="L55" s="1026">
        <v>0</v>
      </c>
      <c r="M55" s="1026">
        <v>0</v>
      </c>
      <c r="N55" s="1026">
        <v>0</v>
      </c>
      <c r="O55" s="1026">
        <v>0</v>
      </c>
    </row>
    <row r="56" spans="1:15">
      <c r="A56" s="1024" t="s">
        <v>183</v>
      </c>
      <c r="B56" s="1030">
        <v>1517</v>
      </c>
      <c r="C56" s="1027">
        <v>899.99999999999989</v>
      </c>
      <c r="D56" s="1028">
        <v>1517</v>
      </c>
      <c r="E56" s="1029">
        <v>1517</v>
      </c>
      <c r="F56" s="1038">
        <v>1213.6000000000001</v>
      </c>
      <c r="G56" s="1039">
        <v>0</v>
      </c>
      <c r="H56" s="1039">
        <v>0</v>
      </c>
      <c r="I56" s="1036">
        <v>0</v>
      </c>
      <c r="J56" s="1036">
        <v>1517</v>
      </c>
      <c r="K56" s="1036">
        <v>1500</v>
      </c>
      <c r="L56" s="1026">
        <v>0</v>
      </c>
      <c r="M56" s="1026">
        <v>0</v>
      </c>
      <c r="N56" s="1026">
        <v>0</v>
      </c>
      <c r="O56" s="1026">
        <v>0</v>
      </c>
    </row>
    <row r="57" spans="1:15">
      <c r="A57" s="1024" t="s">
        <v>39</v>
      </c>
      <c r="B57" s="1030">
        <v>694</v>
      </c>
      <c r="C57" s="1027">
        <v>694</v>
      </c>
      <c r="D57" s="1028">
        <v>694</v>
      </c>
      <c r="E57" s="1029">
        <v>694</v>
      </c>
      <c r="F57" s="1038">
        <v>0</v>
      </c>
      <c r="G57" s="1039">
        <v>0</v>
      </c>
      <c r="H57" s="1039">
        <v>0</v>
      </c>
      <c r="I57" s="1036">
        <v>0</v>
      </c>
      <c r="J57" s="1036">
        <v>694</v>
      </c>
      <c r="K57" s="1036">
        <v>694</v>
      </c>
      <c r="L57" s="1026">
        <v>0</v>
      </c>
      <c r="M57" s="1026">
        <v>0</v>
      </c>
      <c r="N57" s="1026">
        <v>0</v>
      </c>
      <c r="O57" s="1026">
        <v>0</v>
      </c>
    </row>
    <row r="58" spans="1:15">
      <c r="A58" s="1024" t="s">
        <v>165</v>
      </c>
      <c r="B58" s="1030">
        <v>322</v>
      </c>
      <c r="C58" s="1027">
        <v>322</v>
      </c>
      <c r="D58" s="1028">
        <v>140</v>
      </c>
      <c r="E58" s="1029">
        <v>0</v>
      </c>
      <c r="F58" s="1038">
        <v>0</v>
      </c>
      <c r="G58" s="1039">
        <v>0</v>
      </c>
      <c r="H58" s="1039">
        <v>0</v>
      </c>
      <c r="I58" s="1036">
        <v>0</v>
      </c>
      <c r="J58" s="1036">
        <v>0</v>
      </c>
      <c r="K58" s="1036">
        <v>300</v>
      </c>
      <c r="L58" s="1026">
        <v>0</v>
      </c>
      <c r="M58" s="1026">
        <v>0</v>
      </c>
      <c r="N58" s="1026">
        <v>0</v>
      </c>
      <c r="O58" s="1026">
        <v>0</v>
      </c>
    </row>
    <row r="59" spans="1:15">
      <c r="A59" s="1024" t="s">
        <v>210</v>
      </c>
      <c r="B59" s="1030">
        <v>741</v>
      </c>
      <c r="C59" s="1027">
        <v>741</v>
      </c>
      <c r="D59" s="1028">
        <v>741</v>
      </c>
      <c r="E59" s="1029">
        <v>0</v>
      </c>
      <c r="F59" s="1038">
        <v>0</v>
      </c>
      <c r="G59" s="1039">
        <v>0</v>
      </c>
      <c r="H59" s="1039">
        <v>0</v>
      </c>
      <c r="I59" s="1036">
        <v>0</v>
      </c>
      <c r="J59" s="1036">
        <v>0</v>
      </c>
      <c r="K59" s="1036">
        <v>741</v>
      </c>
      <c r="L59" s="1026">
        <v>0</v>
      </c>
      <c r="M59" s="1026">
        <v>0</v>
      </c>
      <c r="N59" s="1026">
        <v>0</v>
      </c>
      <c r="O59" s="1026">
        <v>0</v>
      </c>
    </row>
    <row r="60" spans="1:15">
      <c r="A60" s="1024" t="s">
        <v>287</v>
      </c>
      <c r="B60" s="1030">
        <v>512</v>
      </c>
      <c r="C60" s="1027">
        <v>512</v>
      </c>
      <c r="D60" s="1028">
        <v>512</v>
      </c>
      <c r="E60" s="1029">
        <v>512</v>
      </c>
      <c r="F60" s="1038">
        <v>512</v>
      </c>
      <c r="G60" s="1039">
        <v>0</v>
      </c>
      <c r="H60" s="1039">
        <v>0</v>
      </c>
      <c r="I60" s="1036">
        <v>512</v>
      </c>
      <c r="J60" s="1036">
        <v>512</v>
      </c>
      <c r="K60" s="1036">
        <v>512</v>
      </c>
      <c r="L60" s="1026">
        <v>0</v>
      </c>
      <c r="M60" s="1026">
        <v>0</v>
      </c>
      <c r="N60" s="1026">
        <v>0</v>
      </c>
      <c r="O60" s="1026">
        <v>0</v>
      </c>
    </row>
    <row r="61" spans="1:15">
      <c r="A61" s="1024" t="s">
        <v>166</v>
      </c>
      <c r="B61" s="1030">
        <v>506</v>
      </c>
      <c r="C61" s="1027">
        <v>506</v>
      </c>
      <c r="D61" s="1028">
        <v>506</v>
      </c>
      <c r="E61" s="1029">
        <v>0</v>
      </c>
      <c r="F61" s="1038">
        <v>0</v>
      </c>
      <c r="G61" s="1039">
        <v>0</v>
      </c>
      <c r="H61" s="1039">
        <v>0</v>
      </c>
      <c r="I61" s="1036">
        <v>0</v>
      </c>
      <c r="J61" s="1036">
        <v>0</v>
      </c>
      <c r="K61" s="1036">
        <v>300</v>
      </c>
      <c r="L61" s="1026">
        <v>0</v>
      </c>
      <c r="M61" s="1026">
        <v>0</v>
      </c>
      <c r="N61" s="1026">
        <v>0</v>
      </c>
      <c r="O61" s="1026">
        <v>0</v>
      </c>
    </row>
    <row r="62" spans="1:15">
      <c r="A62" s="1024" t="s">
        <v>298</v>
      </c>
      <c r="B62" s="1030">
        <v>655</v>
      </c>
      <c r="C62" s="1027">
        <v>655</v>
      </c>
      <c r="D62" s="1028">
        <v>360</v>
      </c>
      <c r="E62" s="1029">
        <v>500</v>
      </c>
      <c r="F62" s="1038">
        <v>0</v>
      </c>
      <c r="G62" s="1039">
        <v>0</v>
      </c>
      <c r="H62" s="1039">
        <v>0</v>
      </c>
      <c r="I62" s="1036">
        <v>0</v>
      </c>
      <c r="J62" s="1036">
        <v>500</v>
      </c>
      <c r="K62" s="1036">
        <v>300</v>
      </c>
      <c r="L62" s="1026">
        <v>0</v>
      </c>
      <c r="M62" s="1026">
        <v>0</v>
      </c>
      <c r="N62" s="1026">
        <v>0</v>
      </c>
      <c r="O62" s="1026">
        <v>0</v>
      </c>
    </row>
    <row r="63" spans="1:15">
      <c r="A63" s="1024" t="s">
        <v>300</v>
      </c>
      <c r="B63" s="1030">
        <v>538</v>
      </c>
      <c r="C63" s="1027">
        <v>538</v>
      </c>
      <c r="D63" s="1028">
        <v>538</v>
      </c>
      <c r="E63" s="1029">
        <v>538</v>
      </c>
      <c r="F63" s="1038">
        <v>0</v>
      </c>
      <c r="G63" s="1039">
        <v>0</v>
      </c>
      <c r="H63" s="1039">
        <v>0</v>
      </c>
      <c r="I63" s="1036">
        <v>0</v>
      </c>
      <c r="J63" s="1036">
        <v>538</v>
      </c>
      <c r="K63" s="1036">
        <v>300</v>
      </c>
      <c r="L63" s="1026">
        <v>0</v>
      </c>
      <c r="M63" s="1026">
        <v>0</v>
      </c>
      <c r="N63" s="1026">
        <v>0</v>
      </c>
      <c r="O63" s="1026">
        <v>0</v>
      </c>
    </row>
    <row r="64" spans="1:15">
      <c r="A64" s="1024" t="s">
        <v>301</v>
      </c>
      <c r="B64" s="1030">
        <v>2354</v>
      </c>
      <c r="C64" s="1027">
        <v>1366.6666666666667</v>
      </c>
      <c r="D64" s="1028">
        <v>2354</v>
      </c>
      <c r="E64" s="1029">
        <v>500</v>
      </c>
      <c r="F64" s="1038">
        <v>0</v>
      </c>
      <c r="G64" s="1039">
        <v>0</v>
      </c>
      <c r="H64" s="1039">
        <v>0</v>
      </c>
      <c r="I64" s="1036">
        <v>0</v>
      </c>
      <c r="J64" s="1036">
        <v>500</v>
      </c>
      <c r="K64" s="1036">
        <v>100</v>
      </c>
      <c r="L64" s="1026">
        <v>0</v>
      </c>
      <c r="M64" s="1026">
        <v>0</v>
      </c>
      <c r="N64" s="1026">
        <v>0</v>
      </c>
      <c r="O64" s="1026">
        <v>0</v>
      </c>
    </row>
    <row r="65" spans="1:15">
      <c r="A65" s="1024" t="s">
        <v>302</v>
      </c>
      <c r="B65" s="1030">
        <v>737</v>
      </c>
      <c r="C65" s="1027">
        <v>737</v>
      </c>
      <c r="D65" s="1028">
        <v>737</v>
      </c>
      <c r="E65" s="1029">
        <v>737</v>
      </c>
      <c r="F65" s="1038">
        <v>0</v>
      </c>
      <c r="G65" s="1039">
        <v>0</v>
      </c>
      <c r="H65" s="1039">
        <v>0</v>
      </c>
      <c r="I65" s="1036">
        <v>0</v>
      </c>
      <c r="J65" s="1036">
        <v>737</v>
      </c>
      <c r="K65" s="1036">
        <v>100</v>
      </c>
      <c r="L65" s="1026">
        <v>0</v>
      </c>
      <c r="M65" s="1026">
        <v>0</v>
      </c>
      <c r="N65" s="1026">
        <v>0</v>
      </c>
      <c r="O65" s="1026">
        <v>0</v>
      </c>
    </row>
    <row r="66" spans="1:15">
      <c r="A66" s="1024" t="s">
        <v>193</v>
      </c>
      <c r="B66" s="1030">
        <v>789</v>
      </c>
      <c r="C66" s="1027">
        <v>789</v>
      </c>
      <c r="D66" s="1028">
        <v>789</v>
      </c>
      <c r="E66" s="1029">
        <v>0</v>
      </c>
      <c r="F66" s="1038">
        <v>0</v>
      </c>
      <c r="G66" s="1039">
        <v>0</v>
      </c>
      <c r="H66" s="1039">
        <v>0</v>
      </c>
      <c r="I66" s="1036">
        <v>0</v>
      </c>
      <c r="J66" s="1036">
        <v>0</v>
      </c>
      <c r="K66" s="1036">
        <v>400</v>
      </c>
      <c r="L66" s="1026">
        <v>0</v>
      </c>
      <c r="M66" s="1026">
        <v>0</v>
      </c>
      <c r="N66" s="1026">
        <v>0</v>
      </c>
      <c r="O66" s="1026">
        <v>0</v>
      </c>
    </row>
    <row r="67" spans="1:15">
      <c r="A67" s="1024" t="s">
        <v>263</v>
      </c>
      <c r="B67" s="1030">
        <v>82</v>
      </c>
      <c r="C67" s="1027">
        <v>82</v>
      </c>
      <c r="D67" s="1028">
        <v>82</v>
      </c>
      <c r="E67" s="1029">
        <v>82</v>
      </c>
      <c r="F67" s="1038">
        <v>61.5</v>
      </c>
      <c r="G67" s="1039">
        <v>0</v>
      </c>
      <c r="H67" s="1039">
        <v>0</v>
      </c>
      <c r="I67" s="1036">
        <v>0</v>
      </c>
      <c r="J67" s="1036">
        <v>82</v>
      </c>
      <c r="K67" s="1036">
        <v>82</v>
      </c>
      <c r="L67" s="1026">
        <v>0</v>
      </c>
      <c r="M67" s="1026">
        <v>0</v>
      </c>
      <c r="N67" s="1026">
        <v>0</v>
      </c>
      <c r="O67" s="1026">
        <v>0</v>
      </c>
    </row>
    <row r="68" spans="1:15">
      <c r="A68" s="1024" t="s">
        <v>264</v>
      </c>
      <c r="B68" s="1030">
        <v>78</v>
      </c>
      <c r="C68" s="1027">
        <v>78</v>
      </c>
      <c r="D68" s="1028">
        <v>78</v>
      </c>
      <c r="E68" s="1029">
        <v>78</v>
      </c>
      <c r="F68" s="1038">
        <v>62.400000000000006</v>
      </c>
      <c r="G68" s="1039">
        <v>78</v>
      </c>
      <c r="H68" s="1039">
        <v>0</v>
      </c>
      <c r="I68" s="1036">
        <v>78</v>
      </c>
      <c r="J68" s="1036">
        <v>78</v>
      </c>
      <c r="K68" s="1036">
        <v>78</v>
      </c>
      <c r="L68" s="1026">
        <v>78</v>
      </c>
      <c r="M68" s="1026">
        <v>0</v>
      </c>
      <c r="N68" s="1026">
        <v>0</v>
      </c>
      <c r="O68" s="1026">
        <v>0</v>
      </c>
    </row>
    <row r="69" spans="1:15">
      <c r="A69" s="1024" t="s">
        <v>213</v>
      </c>
      <c r="B69" s="1030">
        <v>424</v>
      </c>
      <c r="C69" s="1027">
        <v>424</v>
      </c>
      <c r="D69" s="1028">
        <v>120</v>
      </c>
      <c r="E69" s="1029">
        <v>0</v>
      </c>
      <c r="F69" s="1038">
        <v>0</v>
      </c>
      <c r="G69" s="1039">
        <v>0</v>
      </c>
      <c r="H69" s="1039">
        <v>0</v>
      </c>
      <c r="I69" s="1036">
        <v>0</v>
      </c>
      <c r="J69" s="1036">
        <v>0</v>
      </c>
      <c r="K69" s="1036">
        <v>0</v>
      </c>
      <c r="L69" s="1026">
        <v>0</v>
      </c>
      <c r="M69" s="1026">
        <v>0</v>
      </c>
      <c r="N69" s="1026">
        <v>0</v>
      </c>
      <c r="O69" s="1026">
        <v>0</v>
      </c>
    </row>
    <row r="70" spans="1:15">
      <c r="A70" s="1024" t="s">
        <v>2231</v>
      </c>
      <c r="B70" s="1030">
        <v>203</v>
      </c>
      <c r="C70" s="1027">
        <v>203</v>
      </c>
      <c r="D70" s="1028">
        <v>144</v>
      </c>
      <c r="E70" s="1029">
        <v>203</v>
      </c>
      <c r="F70" s="1038">
        <v>0</v>
      </c>
      <c r="G70" s="1039">
        <v>0</v>
      </c>
      <c r="H70" s="1039">
        <v>0</v>
      </c>
      <c r="I70" s="1036">
        <v>0</v>
      </c>
      <c r="J70" s="1036">
        <v>203</v>
      </c>
      <c r="K70" s="1036">
        <v>200</v>
      </c>
      <c r="L70" s="1026">
        <v>0</v>
      </c>
      <c r="M70" s="1026">
        <v>0</v>
      </c>
      <c r="N70" s="1026">
        <v>0</v>
      </c>
      <c r="O70" s="1026">
        <v>0</v>
      </c>
    </row>
    <row r="71" spans="1:15">
      <c r="A71" s="1024" t="s">
        <v>190</v>
      </c>
      <c r="B71" s="1030">
        <v>105</v>
      </c>
      <c r="C71" s="1027">
        <v>105</v>
      </c>
      <c r="D71" s="1028">
        <v>0</v>
      </c>
      <c r="E71" s="1029">
        <v>0</v>
      </c>
      <c r="F71" s="1038">
        <v>0</v>
      </c>
      <c r="G71" s="1039">
        <v>0</v>
      </c>
      <c r="H71" s="1039">
        <v>0</v>
      </c>
      <c r="I71" s="1036">
        <v>0</v>
      </c>
      <c r="J71" s="1036">
        <v>0</v>
      </c>
      <c r="K71" s="1036">
        <v>105</v>
      </c>
      <c r="L71" s="1026">
        <v>0</v>
      </c>
      <c r="M71" s="1026">
        <v>0</v>
      </c>
      <c r="N71" s="1026">
        <v>0</v>
      </c>
      <c r="O71" s="1026">
        <v>0</v>
      </c>
    </row>
    <row r="72" spans="1:15">
      <c r="A72" s="1024" t="s">
        <v>258</v>
      </c>
      <c r="B72" s="1030">
        <v>24</v>
      </c>
      <c r="C72" s="1027">
        <v>24</v>
      </c>
      <c r="D72" s="1028">
        <v>24</v>
      </c>
      <c r="E72" s="1029">
        <v>24</v>
      </c>
      <c r="F72" s="1038">
        <v>21.6</v>
      </c>
      <c r="G72" s="1039">
        <v>0</v>
      </c>
      <c r="H72" s="1039">
        <v>0</v>
      </c>
      <c r="I72" s="1036">
        <v>24</v>
      </c>
      <c r="J72" s="1036">
        <v>24</v>
      </c>
      <c r="K72" s="1036">
        <v>0</v>
      </c>
      <c r="L72" s="1026">
        <v>0</v>
      </c>
      <c r="M72" s="1026">
        <v>0</v>
      </c>
      <c r="N72" s="1026">
        <v>0</v>
      </c>
      <c r="O72" s="1026">
        <v>0</v>
      </c>
    </row>
    <row r="73" spans="1:15">
      <c r="A73" s="1024" t="s">
        <v>2607</v>
      </c>
      <c r="B73" s="1030">
        <v>32</v>
      </c>
      <c r="C73" s="1027">
        <v>32</v>
      </c>
      <c r="D73" s="1028">
        <v>32</v>
      </c>
      <c r="E73" s="1029">
        <v>0</v>
      </c>
      <c r="F73" s="1038">
        <v>0</v>
      </c>
      <c r="G73" s="1039">
        <v>0</v>
      </c>
      <c r="H73" s="1039">
        <v>0</v>
      </c>
      <c r="I73" s="1036">
        <v>0</v>
      </c>
      <c r="J73" s="1036">
        <v>0</v>
      </c>
      <c r="K73" s="1036">
        <v>32</v>
      </c>
      <c r="L73" s="1026">
        <v>0</v>
      </c>
      <c r="M73" s="1026">
        <v>0</v>
      </c>
      <c r="N73" s="1026">
        <v>0</v>
      </c>
      <c r="O73" s="1026">
        <v>0</v>
      </c>
    </row>
    <row r="74" spans="1:15">
      <c r="A74" s="1024" t="s">
        <v>1612</v>
      </c>
      <c r="B74" s="1030">
        <v>607</v>
      </c>
      <c r="C74" s="1027">
        <v>607</v>
      </c>
      <c r="D74" s="1028">
        <v>400</v>
      </c>
      <c r="E74" s="1029">
        <v>607</v>
      </c>
      <c r="F74" s="1038">
        <v>0</v>
      </c>
      <c r="G74" s="1039">
        <v>0</v>
      </c>
      <c r="H74" s="1039">
        <v>0</v>
      </c>
      <c r="I74" s="1036">
        <v>0</v>
      </c>
      <c r="J74" s="1036">
        <v>607</v>
      </c>
      <c r="K74" s="1036">
        <v>400</v>
      </c>
      <c r="L74" s="1026">
        <v>0</v>
      </c>
      <c r="M74" s="1026">
        <v>0</v>
      </c>
      <c r="N74" s="1026">
        <v>0</v>
      </c>
      <c r="O74" s="1026">
        <v>0</v>
      </c>
    </row>
    <row r="75" spans="1:15">
      <c r="A75" s="1024" t="s">
        <v>234</v>
      </c>
      <c r="B75" s="1030">
        <v>274</v>
      </c>
      <c r="C75" s="1027">
        <v>274</v>
      </c>
      <c r="D75" s="1028">
        <v>274</v>
      </c>
      <c r="E75" s="1029">
        <v>274</v>
      </c>
      <c r="F75" s="1038">
        <v>0</v>
      </c>
      <c r="G75" s="1039">
        <v>0</v>
      </c>
      <c r="H75" s="1039">
        <v>0</v>
      </c>
      <c r="I75" s="1036">
        <v>0</v>
      </c>
      <c r="J75" s="1036">
        <v>274</v>
      </c>
      <c r="K75" s="1036">
        <v>274</v>
      </c>
      <c r="L75" s="1026">
        <v>0</v>
      </c>
      <c r="M75" s="1026">
        <v>0</v>
      </c>
      <c r="N75" s="1026">
        <v>0</v>
      </c>
      <c r="O75" s="1026">
        <v>0</v>
      </c>
    </row>
    <row r="76" spans="1:15">
      <c r="A76" s="1024" t="s">
        <v>231</v>
      </c>
      <c r="B76" s="1030">
        <v>228</v>
      </c>
      <c r="C76" s="1027">
        <v>228</v>
      </c>
      <c r="D76" s="1028">
        <v>228</v>
      </c>
      <c r="E76" s="1029">
        <v>228</v>
      </c>
      <c r="F76" s="1038">
        <v>0</v>
      </c>
      <c r="G76" s="1039">
        <v>0</v>
      </c>
      <c r="H76" s="1039">
        <v>0</v>
      </c>
      <c r="I76" s="1036">
        <v>0</v>
      </c>
      <c r="J76" s="1036">
        <v>228</v>
      </c>
      <c r="K76" s="1036">
        <v>228</v>
      </c>
      <c r="L76" s="1026">
        <v>0</v>
      </c>
      <c r="M76" s="1026">
        <v>0</v>
      </c>
      <c r="N76" s="1026">
        <v>0</v>
      </c>
      <c r="O76" s="1026">
        <v>0</v>
      </c>
    </row>
    <row r="77" spans="1:15">
      <c r="A77" s="1024" t="s">
        <v>155</v>
      </c>
      <c r="B77" s="1030">
        <v>51</v>
      </c>
      <c r="C77" s="1027">
        <v>51</v>
      </c>
      <c r="D77" s="1028">
        <v>51</v>
      </c>
      <c r="E77" s="1029">
        <v>0</v>
      </c>
      <c r="F77" s="1038">
        <v>0</v>
      </c>
      <c r="G77" s="1039">
        <v>0</v>
      </c>
      <c r="H77" s="1039">
        <v>0</v>
      </c>
      <c r="I77" s="1036">
        <v>0</v>
      </c>
      <c r="J77" s="1036">
        <v>0</v>
      </c>
      <c r="K77" s="1036">
        <v>51</v>
      </c>
      <c r="L77" s="1026">
        <v>0</v>
      </c>
      <c r="M77" s="1026">
        <v>0</v>
      </c>
      <c r="N77" s="1026">
        <v>0</v>
      </c>
      <c r="O77" s="1026">
        <v>0</v>
      </c>
    </row>
    <row r="78" spans="1:15">
      <c r="A78" s="1024" t="s">
        <v>270</v>
      </c>
      <c r="B78" s="1030">
        <v>86</v>
      </c>
      <c r="C78" s="1027">
        <v>86</v>
      </c>
      <c r="D78" s="1028">
        <v>81</v>
      </c>
      <c r="E78" s="1029">
        <v>86</v>
      </c>
      <c r="F78" s="1038">
        <v>77.400000000000006</v>
      </c>
      <c r="G78" s="1039">
        <v>0</v>
      </c>
      <c r="H78" s="1039">
        <v>0</v>
      </c>
      <c r="I78" s="1036">
        <v>86</v>
      </c>
      <c r="J78" s="1036">
        <v>86</v>
      </c>
      <c r="K78" s="1036">
        <v>86</v>
      </c>
      <c r="L78" s="1026">
        <v>0</v>
      </c>
      <c r="M78" s="1026">
        <v>0</v>
      </c>
      <c r="N78" s="1026">
        <v>0</v>
      </c>
      <c r="O78" s="1026">
        <v>0</v>
      </c>
    </row>
    <row r="79" spans="1:15">
      <c r="A79" s="1024" t="s">
        <v>158</v>
      </c>
      <c r="B79" s="1030">
        <v>127</v>
      </c>
      <c r="C79" s="1027">
        <v>127</v>
      </c>
      <c r="D79" s="1028">
        <v>100</v>
      </c>
      <c r="E79" s="1029">
        <v>0</v>
      </c>
      <c r="F79" s="1038">
        <v>0</v>
      </c>
      <c r="G79" s="1039">
        <v>0</v>
      </c>
      <c r="H79" s="1039">
        <v>0</v>
      </c>
      <c r="I79" s="1036">
        <v>0</v>
      </c>
      <c r="J79" s="1036">
        <v>0</v>
      </c>
      <c r="K79" s="1036">
        <v>127</v>
      </c>
      <c r="L79" s="1026">
        <v>0</v>
      </c>
      <c r="M79" s="1026">
        <v>0</v>
      </c>
      <c r="N79" s="1026">
        <v>0</v>
      </c>
      <c r="O79" s="1026">
        <v>0</v>
      </c>
    </row>
    <row r="80" spans="1:15">
      <c r="A80" s="1024" t="s">
        <v>185</v>
      </c>
      <c r="B80" s="1030">
        <v>673</v>
      </c>
      <c r="C80" s="1027">
        <v>673</v>
      </c>
      <c r="D80" s="1028">
        <v>673</v>
      </c>
      <c r="E80" s="1029">
        <v>500</v>
      </c>
      <c r="F80" s="1038">
        <v>0</v>
      </c>
      <c r="G80" s="1039">
        <v>0</v>
      </c>
      <c r="H80" s="1039">
        <v>0</v>
      </c>
      <c r="I80" s="1036">
        <v>0</v>
      </c>
      <c r="J80" s="1036">
        <v>500</v>
      </c>
      <c r="K80" s="1036">
        <v>300</v>
      </c>
      <c r="L80" s="1026">
        <v>0</v>
      </c>
      <c r="M80" s="1026">
        <v>0</v>
      </c>
      <c r="N80" s="1026">
        <v>0</v>
      </c>
      <c r="O80" s="1026">
        <v>0</v>
      </c>
    </row>
    <row r="81" spans="1:15">
      <c r="A81" s="1024" t="s">
        <v>167</v>
      </c>
      <c r="B81" s="1030">
        <v>320</v>
      </c>
      <c r="C81" s="1027">
        <v>320</v>
      </c>
      <c r="D81" s="1028">
        <v>300</v>
      </c>
      <c r="E81" s="1029">
        <v>0</v>
      </c>
      <c r="F81" s="1038">
        <v>0</v>
      </c>
      <c r="G81" s="1039">
        <v>0</v>
      </c>
      <c r="H81" s="1039">
        <v>0</v>
      </c>
      <c r="I81" s="1036">
        <v>0</v>
      </c>
      <c r="J81" s="1036">
        <v>0</v>
      </c>
      <c r="K81" s="1036">
        <v>100</v>
      </c>
      <c r="L81" s="1026">
        <v>0</v>
      </c>
      <c r="M81" s="1026">
        <v>0</v>
      </c>
      <c r="N81" s="1026">
        <v>0</v>
      </c>
      <c r="O81" s="1026">
        <v>0</v>
      </c>
    </row>
    <row r="82" spans="1:15">
      <c r="A82" s="1024" t="s">
        <v>284</v>
      </c>
      <c r="B82" s="1030">
        <v>297</v>
      </c>
      <c r="C82" s="1027">
        <v>297</v>
      </c>
      <c r="D82" s="1028">
        <v>263</v>
      </c>
      <c r="E82" s="1029">
        <v>297</v>
      </c>
      <c r="F82" s="1038">
        <v>297</v>
      </c>
      <c r="G82" s="1039">
        <v>0</v>
      </c>
      <c r="H82" s="1039">
        <v>0</v>
      </c>
      <c r="I82" s="1036">
        <v>0</v>
      </c>
      <c r="J82" s="1036">
        <v>297</v>
      </c>
      <c r="K82" s="1036">
        <v>297</v>
      </c>
      <c r="L82" s="1026">
        <v>0</v>
      </c>
      <c r="M82" s="1026">
        <v>0</v>
      </c>
      <c r="N82" s="1026">
        <v>0</v>
      </c>
      <c r="O82" s="1026">
        <v>0</v>
      </c>
    </row>
    <row r="83" spans="1:15">
      <c r="A83" s="1024" t="s">
        <v>235</v>
      </c>
      <c r="B83" s="1030">
        <v>948</v>
      </c>
      <c r="C83" s="1027">
        <v>948</v>
      </c>
      <c r="D83" s="1028">
        <v>680</v>
      </c>
      <c r="E83" s="1029">
        <v>948</v>
      </c>
      <c r="F83" s="1038">
        <v>0</v>
      </c>
      <c r="G83" s="1039">
        <v>0</v>
      </c>
      <c r="H83" s="1039">
        <v>0</v>
      </c>
      <c r="I83" s="1036">
        <v>0</v>
      </c>
      <c r="J83" s="1036">
        <v>948</v>
      </c>
      <c r="K83" s="1036">
        <v>800</v>
      </c>
      <c r="L83" s="1026">
        <v>0</v>
      </c>
      <c r="M83" s="1026">
        <v>0</v>
      </c>
      <c r="N83" s="1026">
        <v>0</v>
      </c>
      <c r="O83" s="1026">
        <v>0</v>
      </c>
    </row>
    <row r="84" spans="1:15">
      <c r="A84" s="1024" t="s">
        <v>1605</v>
      </c>
      <c r="B84" s="1030">
        <v>1213</v>
      </c>
      <c r="C84" s="1027">
        <v>1213</v>
      </c>
      <c r="D84" s="1028">
        <v>1213</v>
      </c>
      <c r="E84" s="1029">
        <v>500</v>
      </c>
      <c r="F84" s="1038">
        <v>0</v>
      </c>
      <c r="G84" s="1039">
        <v>0</v>
      </c>
      <c r="H84" s="1039">
        <v>0</v>
      </c>
      <c r="I84" s="1036">
        <v>0</v>
      </c>
      <c r="J84" s="1036">
        <v>500</v>
      </c>
      <c r="K84" s="1036">
        <v>400</v>
      </c>
      <c r="L84" s="1026">
        <v>0</v>
      </c>
      <c r="M84" s="1026">
        <v>0</v>
      </c>
      <c r="N84" s="1026">
        <v>0</v>
      </c>
      <c r="O84" s="1026">
        <v>0</v>
      </c>
    </row>
    <row r="85" spans="1:15">
      <c r="A85" s="1024" t="s">
        <v>180</v>
      </c>
      <c r="B85" s="1030">
        <v>1059</v>
      </c>
      <c r="C85" s="1027">
        <v>1059</v>
      </c>
      <c r="D85" s="1028">
        <v>850</v>
      </c>
      <c r="E85" s="1029">
        <v>1059</v>
      </c>
      <c r="F85" s="1038">
        <v>0</v>
      </c>
      <c r="G85" s="1039">
        <v>0</v>
      </c>
      <c r="H85" s="1039">
        <v>0</v>
      </c>
      <c r="I85" s="1036">
        <v>0</v>
      </c>
      <c r="J85" s="1036">
        <v>1059</v>
      </c>
      <c r="K85" s="1036">
        <v>1059</v>
      </c>
      <c r="L85" s="1026">
        <v>0</v>
      </c>
      <c r="M85" s="1026">
        <v>0</v>
      </c>
      <c r="N85" s="1026">
        <v>0</v>
      </c>
      <c r="O85" s="1026">
        <v>0</v>
      </c>
    </row>
    <row r="86" spans="1:15">
      <c r="A86" s="1024" t="s">
        <v>1590</v>
      </c>
      <c r="B86" s="1030">
        <v>1397</v>
      </c>
      <c r="C86" s="1027">
        <v>1397</v>
      </c>
      <c r="D86" s="1028">
        <v>100</v>
      </c>
      <c r="E86" s="1029">
        <v>0</v>
      </c>
      <c r="F86" s="1038">
        <v>0</v>
      </c>
      <c r="G86" s="1039">
        <v>0</v>
      </c>
      <c r="H86" s="1039">
        <v>0</v>
      </c>
      <c r="I86" s="1036">
        <v>0</v>
      </c>
      <c r="J86" s="1036">
        <v>0</v>
      </c>
      <c r="K86" s="1036">
        <v>100</v>
      </c>
      <c r="L86" s="1026">
        <v>0</v>
      </c>
      <c r="M86" s="1026">
        <v>0</v>
      </c>
      <c r="N86" s="1026">
        <v>0</v>
      </c>
      <c r="O86" s="1026">
        <v>0</v>
      </c>
    </row>
    <row r="87" spans="1:15">
      <c r="A87" s="1024" t="s">
        <v>279</v>
      </c>
      <c r="B87" s="1030">
        <v>334</v>
      </c>
      <c r="C87" s="1027">
        <v>334</v>
      </c>
      <c r="D87" s="1028">
        <v>334</v>
      </c>
      <c r="E87" s="1029">
        <v>0</v>
      </c>
      <c r="F87" s="1038">
        <v>0</v>
      </c>
      <c r="G87" s="1039">
        <v>0</v>
      </c>
      <c r="H87" s="1039">
        <v>0</v>
      </c>
      <c r="I87" s="1036">
        <v>0</v>
      </c>
      <c r="J87" s="1036">
        <v>0</v>
      </c>
      <c r="K87" s="1036">
        <v>334</v>
      </c>
      <c r="L87" s="1026">
        <v>0</v>
      </c>
      <c r="M87" s="1026">
        <v>0</v>
      </c>
      <c r="N87" s="1026">
        <v>0</v>
      </c>
      <c r="O87" s="1026">
        <v>0</v>
      </c>
    </row>
    <row r="88" spans="1:15">
      <c r="A88" s="1024" t="s">
        <v>271</v>
      </c>
      <c r="B88" s="1030">
        <v>298</v>
      </c>
      <c r="C88" s="1027">
        <v>298</v>
      </c>
      <c r="D88" s="1028">
        <v>298</v>
      </c>
      <c r="E88" s="1029">
        <v>298</v>
      </c>
      <c r="F88" s="1038">
        <v>295.02</v>
      </c>
      <c r="G88" s="1039">
        <v>0</v>
      </c>
      <c r="H88" s="1039">
        <v>298</v>
      </c>
      <c r="I88" s="1036">
        <v>298</v>
      </c>
      <c r="J88" s="1036">
        <v>298</v>
      </c>
      <c r="K88" s="1036">
        <v>298</v>
      </c>
      <c r="L88" s="1026">
        <v>0</v>
      </c>
      <c r="M88" s="1026">
        <v>298</v>
      </c>
      <c r="N88" s="1026">
        <v>0</v>
      </c>
      <c r="O88" s="1026">
        <v>0</v>
      </c>
    </row>
    <row r="89" spans="1:15">
      <c r="A89" s="1024" t="s">
        <v>181</v>
      </c>
      <c r="B89" s="1030">
        <v>193</v>
      </c>
      <c r="C89" s="1027">
        <v>193</v>
      </c>
      <c r="D89" s="1028">
        <v>193</v>
      </c>
      <c r="E89" s="1029">
        <v>193</v>
      </c>
      <c r="F89" s="1038">
        <v>0</v>
      </c>
      <c r="G89" s="1039">
        <v>0</v>
      </c>
      <c r="H89" s="1039">
        <v>0</v>
      </c>
      <c r="I89" s="1036">
        <v>0</v>
      </c>
      <c r="J89" s="1036">
        <v>193</v>
      </c>
      <c r="K89" s="1036">
        <v>100</v>
      </c>
      <c r="L89" s="1026">
        <v>0</v>
      </c>
      <c r="M89" s="1026">
        <v>0</v>
      </c>
      <c r="N89" s="1026">
        <v>0</v>
      </c>
      <c r="O89" s="1026">
        <v>0</v>
      </c>
    </row>
    <row r="90" spans="1:15">
      <c r="A90" s="1024" t="s">
        <v>259</v>
      </c>
      <c r="B90" s="1030">
        <v>72</v>
      </c>
      <c r="C90" s="1027">
        <v>72</v>
      </c>
      <c r="D90" s="1028">
        <v>40</v>
      </c>
      <c r="E90" s="1029">
        <v>72</v>
      </c>
      <c r="F90" s="1038">
        <v>72</v>
      </c>
      <c r="G90" s="1039">
        <v>0</v>
      </c>
      <c r="H90" s="1039">
        <v>0</v>
      </c>
      <c r="I90" s="1036">
        <v>72</v>
      </c>
      <c r="J90" s="1036">
        <v>72</v>
      </c>
      <c r="K90" s="1036">
        <v>72</v>
      </c>
      <c r="L90" s="1026">
        <v>0</v>
      </c>
      <c r="M90" s="1026">
        <v>0</v>
      </c>
      <c r="N90" s="1026">
        <v>0</v>
      </c>
      <c r="O90" s="1026">
        <v>0</v>
      </c>
    </row>
    <row r="91" spans="1:15">
      <c r="A91" s="1024" t="s">
        <v>280</v>
      </c>
      <c r="B91" s="1030">
        <v>3451</v>
      </c>
      <c r="C91" s="1027">
        <v>3451</v>
      </c>
      <c r="D91" s="1028">
        <v>2983</v>
      </c>
      <c r="E91" s="1029">
        <v>3000</v>
      </c>
      <c r="F91" s="1038">
        <v>3451</v>
      </c>
      <c r="G91" s="1039">
        <v>0</v>
      </c>
      <c r="H91" s="1039">
        <v>0</v>
      </c>
      <c r="I91" s="1036">
        <v>2175</v>
      </c>
      <c r="J91" s="1036">
        <v>3000</v>
      </c>
      <c r="K91" s="1036">
        <v>3200</v>
      </c>
      <c r="L91" s="1026">
        <v>0</v>
      </c>
      <c r="M91" s="1026">
        <v>0</v>
      </c>
      <c r="N91" s="1026">
        <v>0</v>
      </c>
      <c r="O91" s="1026">
        <v>0</v>
      </c>
    </row>
    <row r="92" spans="1:15">
      <c r="A92" s="1024" t="s">
        <v>187</v>
      </c>
      <c r="B92" s="1030">
        <v>362</v>
      </c>
      <c r="C92" s="1027">
        <v>362</v>
      </c>
      <c r="D92" s="1028">
        <v>362</v>
      </c>
      <c r="E92" s="1029">
        <v>0</v>
      </c>
      <c r="F92" s="1038">
        <v>0</v>
      </c>
      <c r="G92" s="1039">
        <v>0</v>
      </c>
      <c r="H92" s="1039">
        <v>250</v>
      </c>
      <c r="I92" s="1036">
        <v>0</v>
      </c>
      <c r="J92" s="1036">
        <v>0</v>
      </c>
      <c r="K92" s="1036">
        <v>100</v>
      </c>
      <c r="L92" s="1026">
        <v>0</v>
      </c>
      <c r="M92" s="1026">
        <v>0</v>
      </c>
      <c r="N92" s="1026">
        <v>0</v>
      </c>
      <c r="O92" s="1026">
        <v>250</v>
      </c>
    </row>
    <row r="93" spans="1:15">
      <c r="A93" s="1024" t="s">
        <v>156</v>
      </c>
      <c r="B93" s="1030">
        <v>141</v>
      </c>
      <c r="C93" s="1027">
        <v>141</v>
      </c>
      <c r="D93" s="1028">
        <v>141</v>
      </c>
      <c r="E93" s="1029">
        <v>0</v>
      </c>
      <c r="F93" s="1038">
        <v>0</v>
      </c>
      <c r="G93" s="1039">
        <v>0</v>
      </c>
      <c r="H93" s="1039">
        <v>0</v>
      </c>
      <c r="I93" s="1036">
        <v>0</v>
      </c>
      <c r="J93" s="1036">
        <v>0</v>
      </c>
      <c r="K93" s="1036">
        <v>141</v>
      </c>
      <c r="L93" s="1026">
        <v>0</v>
      </c>
      <c r="M93" s="1026">
        <v>0</v>
      </c>
      <c r="N93" s="1026">
        <v>0</v>
      </c>
      <c r="O93" s="1026">
        <v>0</v>
      </c>
    </row>
    <row r="94" spans="1:15">
      <c r="A94" s="1024" t="s">
        <v>2233</v>
      </c>
      <c r="B94" s="1030">
        <v>404</v>
      </c>
      <c r="C94" s="1027">
        <v>404</v>
      </c>
      <c r="D94" s="1028">
        <v>120</v>
      </c>
      <c r="E94" s="1029">
        <v>404</v>
      </c>
      <c r="F94" s="1038">
        <v>0</v>
      </c>
      <c r="G94" s="1039">
        <v>0</v>
      </c>
      <c r="H94" s="1039">
        <v>0</v>
      </c>
      <c r="I94" s="1036">
        <v>0</v>
      </c>
      <c r="J94" s="1036">
        <v>404</v>
      </c>
      <c r="K94" s="1036">
        <v>300</v>
      </c>
      <c r="L94" s="1026">
        <v>0</v>
      </c>
      <c r="M94" s="1026">
        <v>0</v>
      </c>
      <c r="N94" s="1026">
        <v>0</v>
      </c>
      <c r="O94" s="1026">
        <v>0</v>
      </c>
    </row>
    <row r="95" spans="1:15">
      <c r="A95" s="1024" t="s">
        <v>286</v>
      </c>
      <c r="B95" s="1030">
        <v>266</v>
      </c>
      <c r="C95" s="1027">
        <v>266</v>
      </c>
      <c r="D95" s="1028">
        <v>266</v>
      </c>
      <c r="E95" s="1029">
        <v>266</v>
      </c>
      <c r="F95" s="1038">
        <v>266</v>
      </c>
      <c r="G95" s="1039">
        <v>0</v>
      </c>
      <c r="H95" s="1039">
        <v>0</v>
      </c>
      <c r="I95" s="1036">
        <v>0</v>
      </c>
      <c r="J95" s="1036">
        <v>266</v>
      </c>
      <c r="K95" s="1036">
        <v>266</v>
      </c>
      <c r="L95" s="1026">
        <v>0</v>
      </c>
      <c r="M95" s="1026">
        <v>0</v>
      </c>
      <c r="N95" s="1026">
        <v>0</v>
      </c>
      <c r="O95" s="1026">
        <v>0</v>
      </c>
    </row>
    <row r="96" spans="1:15">
      <c r="A96" s="1024" t="s">
        <v>143</v>
      </c>
      <c r="B96" s="1030">
        <v>1438</v>
      </c>
      <c r="C96" s="1027">
        <v>1438</v>
      </c>
      <c r="D96" s="1028">
        <v>1438</v>
      </c>
      <c r="E96" s="1029">
        <v>1438</v>
      </c>
      <c r="F96" s="1038">
        <v>0</v>
      </c>
      <c r="G96" s="1039">
        <v>0</v>
      </c>
      <c r="H96" s="1039">
        <v>0</v>
      </c>
      <c r="I96" s="1036">
        <v>0</v>
      </c>
      <c r="J96" s="1036">
        <v>1438</v>
      </c>
      <c r="K96" s="1036">
        <v>1438</v>
      </c>
      <c r="L96" s="1026">
        <v>0</v>
      </c>
      <c r="M96" s="1026">
        <v>0</v>
      </c>
      <c r="N96" s="1026">
        <v>0</v>
      </c>
      <c r="O96" s="1026">
        <v>0</v>
      </c>
    </row>
    <row r="97" spans="1:15">
      <c r="A97" s="1024" t="s">
        <v>188</v>
      </c>
      <c r="B97" s="1030">
        <v>116</v>
      </c>
      <c r="C97" s="1027">
        <v>116</v>
      </c>
      <c r="D97" s="1028">
        <v>100</v>
      </c>
      <c r="E97" s="1029">
        <v>0</v>
      </c>
      <c r="F97" s="1038">
        <v>0</v>
      </c>
      <c r="G97" s="1039">
        <v>0</v>
      </c>
      <c r="H97" s="1039">
        <v>0</v>
      </c>
      <c r="I97" s="1036">
        <v>0</v>
      </c>
      <c r="J97" s="1036">
        <v>0</v>
      </c>
      <c r="K97" s="1036">
        <v>116</v>
      </c>
      <c r="L97" s="1026">
        <v>0</v>
      </c>
      <c r="M97" s="1026">
        <v>0</v>
      </c>
      <c r="N97" s="1026">
        <v>0</v>
      </c>
      <c r="O97" s="1026">
        <v>0</v>
      </c>
    </row>
    <row r="98" spans="1:15">
      <c r="A98" s="1024" t="s">
        <v>168</v>
      </c>
      <c r="B98" s="1030">
        <v>595</v>
      </c>
      <c r="C98" s="1027">
        <v>595</v>
      </c>
      <c r="D98" s="1028">
        <v>260</v>
      </c>
      <c r="E98" s="1029">
        <v>500</v>
      </c>
      <c r="F98" s="1038">
        <v>0</v>
      </c>
      <c r="G98" s="1039">
        <v>0</v>
      </c>
      <c r="H98" s="1039">
        <v>0</v>
      </c>
      <c r="I98" s="1036">
        <v>0</v>
      </c>
      <c r="J98" s="1036">
        <v>500</v>
      </c>
      <c r="K98" s="1036">
        <v>595</v>
      </c>
      <c r="L98" s="1026">
        <v>0</v>
      </c>
      <c r="M98" s="1026">
        <v>0</v>
      </c>
      <c r="N98" s="1026">
        <v>0</v>
      </c>
      <c r="O98" s="1026">
        <v>0</v>
      </c>
    </row>
    <row r="99" spans="1:15">
      <c r="A99" s="1024" t="s">
        <v>265</v>
      </c>
      <c r="B99" s="1030">
        <v>101</v>
      </c>
      <c r="C99" s="1027">
        <v>101</v>
      </c>
      <c r="D99" s="1028">
        <v>100</v>
      </c>
      <c r="E99" s="1029">
        <v>101</v>
      </c>
      <c r="F99" s="1038">
        <v>101</v>
      </c>
      <c r="G99" s="1039">
        <v>101</v>
      </c>
      <c r="H99" s="1039">
        <v>101</v>
      </c>
      <c r="I99" s="1036">
        <v>101</v>
      </c>
      <c r="J99" s="1036">
        <v>101</v>
      </c>
      <c r="K99" s="1036">
        <v>101</v>
      </c>
      <c r="L99" s="1026">
        <v>101</v>
      </c>
      <c r="M99" s="1026">
        <v>101</v>
      </c>
      <c r="N99" s="1026">
        <v>0</v>
      </c>
      <c r="O99" s="1026">
        <v>0</v>
      </c>
    </row>
    <row r="100" spans="1:15">
      <c r="A100" s="1024" t="s">
        <v>182</v>
      </c>
      <c r="B100" s="1030">
        <v>1050</v>
      </c>
      <c r="C100" s="1027">
        <v>0</v>
      </c>
      <c r="D100" s="1028">
        <v>1050</v>
      </c>
      <c r="E100" s="1029">
        <v>1050</v>
      </c>
      <c r="F100" s="1038">
        <v>0</v>
      </c>
      <c r="G100" s="1039">
        <v>0</v>
      </c>
      <c r="H100" s="1039">
        <v>0</v>
      </c>
      <c r="I100" s="1036">
        <v>0</v>
      </c>
      <c r="J100" s="1036">
        <v>1050</v>
      </c>
      <c r="K100" s="1036">
        <v>700</v>
      </c>
      <c r="L100" s="1026">
        <v>0</v>
      </c>
      <c r="M100" s="1026">
        <v>0</v>
      </c>
      <c r="N100" s="1026">
        <v>0</v>
      </c>
      <c r="O100" s="1026">
        <v>0</v>
      </c>
    </row>
    <row r="101" spans="1:15">
      <c r="A101" s="1024" t="s">
        <v>215</v>
      </c>
      <c r="B101" s="1030">
        <v>300</v>
      </c>
      <c r="C101" s="1027">
        <v>300</v>
      </c>
      <c r="D101" s="1028">
        <v>284</v>
      </c>
      <c r="E101" s="1029">
        <v>300</v>
      </c>
      <c r="F101" s="1038">
        <v>240</v>
      </c>
      <c r="G101" s="1039">
        <v>0</v>
      </c>
      <c r="H101" s="1039">
        <v>0</v>
      </c>
      <c r="I101" s="1036">
        <v>0</v>
      </c>
      <c r="J101" s="1036">
        <v>300</v>
      </c>
      <c r="K101" s="1036">
        <v>300</v>
      </c>
      <c r="L101" s="1026">
        <v>0</v>
      </c>
      <c r="M101" s="1026">
        <v>0</v>
      </c>
      <c r="N101" s="1026">
        <v>0</v>
      </c>
      <c r="O101" s="1026">
        <v>0</v>
      </c>
    </row>
    <row r="102" spans="1:15">
      <c r="A102" s="1024" t="s">
        <v>216</v>
      </c>
      <c r="B102" s="1030">
        <v>182</v>
      </c>
      <c r="C102" s="1027">
        <v>182</v>
      </c>
      <c r="D102" s="1028">
        <v>182</v>
      </c>
      <c r="E102" s="1029">
        <v>0</v>
      </c>
      <c r="F102" s="1038">
        <v>0</v>
      </c>
      <c r="G102" s="1039">
        <v>0</v>
      </c>
      <c r="H102" s="1039">
        <v>0</v>
      </c>
      <c r="I102" s="1036">
        <v>0</v>
      </c>
      <c r="J102" s="1036">
        <v>0</v>
      </c>
      <c r="K102" s="1036">
        <v>182</v>
      </c>
      <c r="L102" s="1026">
        <v>0</v>
      </c>
      <c r="M102" s="1026">
        <v>0</v>
      </c>
      <c r="N102" s="1026">
        <v>0</v>
      </c>
      <c r="O102" s="1026">
        <v>0</v>
      </c>
    </row>
    <row r="103" spans="1:15">
      <c r="A103" s="1024" t="s">
        <v>169</v>
      </c>
      <c r="B103" s="1030">
        <v>629</v>
      </c>
      <c r="C103" s="1027">
        <v>629</v>
      </c>
      <c r="D103" s="1028">
        <v>340</v>
      </c>
      <c r="E103" s="1029">
        <v>0</v>
      </c>
      <c r="F103" s="1038">
        <v>0</v>
      </c>
      <c r="G103" s="1039">
        <v>0</v>
      </c>
      <c r="H103" s="1039">
        <v>0</v>
      </c>
      <c r="I103" s="1036">
        <v>0</v>
      </c>
      <c r="J103" s="1036">
        <v>0</v>
      </c>
      <c r="K103" s="1036">
        <v>300</v>
      </c>
      <c r="L103" s="1026">
        <v>0</v>
      </c>
      <c r="M103" s="1026">
        <v>0</v>
      </c>
      <c r="N103" s="1026">
        <v>0</v>
      </c>
      <c r="O103" s="1026">
        <v>0</v>
      </c>
    </row>
    <row r="104" spans="1:15">
      <c r="A104" s="1024" t="s">
        <v>1717</v>
      </c>
      <c r="B104" s="1030">
        <v>628</v>
      </c>
      <c r="C104" s="1027">
        <v>628</v>
      </c>
      <c r="D104" s="1028">
        <v>20</v>
      </c>
      <c r="E104" s="1029">
        <v>500</v>
      </c>
      <c r="F104" s="1038">
        <v>0</v>
      </c>
      <c r="G104" s="1039">
        <v>0</v>
      </c>
      <c r="H104" s="1039">
        <v>0</v>
      </c>
      <c r="I104" s="1036">
        <v>0</v>
      </c>
      <c r="J104" s="1036">
        <v>500</v>
      </c>
      <c r="K104" s="1036">
        <v>500</v>
      </c>
      <c r="L104" s="1026">
        <v>0</v>
      </c>
      <c r="M104" s="1026">
        <v>0</v>
      </c>
      <c r="N104" s="1026">
        <v>0</v>
      </c>
      <c r="O104" s="1026">
        <v>0</v>
      </c>
    </row>
    <row r="105" spans="1:15">
      <c r="A105" s="1024" t="s">
        <v>865</v>
      </c>
      <c r="B105" s="1030">
        <v>174</v>
      </c>
      <c r="C105" s="1027">
        <v>174</v>
      </c>
      <c r="D105" s="1028">
        <v>40</v>
      </c>
      <c r="E105" s="1029">
        <v>174</v>
      </c>
      <c r="F105" s="1038">
        <v>0</v>
      </c>
      <c r="G105" s="1039">
        <v>0</v>
      </c>
      <c r="H105" s="1039">
        <v>0</v>
      </c>
      <c r="I105" s="1036">
        <v>0</v>
      </c>
      <c r="J105" s="1036">
        <v>174</v>
      </c>
      <c r="K105" s="1036">
        <v>174</v>
      </c>
      <c r="L105" s="1026">
        <v>0</v>
      </c>
      <c r="M105" s="1026">
        <v>0</v>
      </c>
      <c r="N105" s="1026">
        <v>0</v>
      </c>
      <c r="O105" s="1026">
        <v>0</v>
      </c>
    </row>
    <row r="106" spans="1:15">
      <c r="A106" s="1024" t="s">
        <v>1615</v>
      </c>
      <c r="B106" s="1030">
        <v>413</v>
      </c>
      <c r="C106" s="1027">
        <v>413</v>
      </c>
      <c r="D106" s="1028">
        <v>413</v>
      </c>
      <c r="E106" s="1029">
        <v>0</v>
      </c>
      <c r="F106" s="1038">
        <v>0</v>
      </c>
      <c r="G106" s="1039">
        <v>0</v>
      </c>
      <c r="H106" s="1039">
        <v>0</v>
      </c>
      <c r="I106" s="1036">
        <v>0</v>
      </c>
      <c r="J106" s="1036">
        <v>0</v>
      </c>
      <c r="K106" s="1036">
        <v>300</v>
      </c>
      <c r="L106" s="1026">
        <v>0</v>
      </c>
      <c r="M106" s="1026">
        <v>0</v>
      </c>
      <c r="N106" s="1026">
        <v>0</v>
      </c>
      <c r="O106" s="1026">
        <v>0</v>
      </c>
    </row>
    <row r="107" spans="1:15">
      <c r="A107" s="1024" t="s">
        <v>170</v>
      </c>
      <c r="B107" s="1030">
        <v>543</v>
      </c>
      <c r="C107" s="1027">
        <v>543</v>
      </c>
      <c r="D107" s="1028">
        <v>220</v>
      </c>
      <c r="E107" s="1029">
        <v>500</v>
      </c>
      <c r="F107" s="1038">
        <v>0</v>
      </c>
      <c r="G107" s="1039">
        <v>0</v>
      </c>
      <c r="H107" s="1039">
        <v>0</v>
      </c>
      <c r="I107" s="1036">
        <v>0</v>
      </c>
      <c r="J107" s="1036">
        <v>500</v>
      </c>
      <c r="K107" s="1036">
        <v>300</v>
      </c>
      <c r="L107" s="1026">
        <v>0</v>
      </c>
      <c r="M107" s="1026">
        <v>0</v>
      </c>
      <c r="N107" s="1026">
        <v>0</v>
      </c>
      <c r="O107" s="1026">
        <v>0</v>
      </c>
    </row>
    <row r="108" spans="1:15">
      <c r="A108" s="1024" t="s">
        <v>266</v>
      </c>
      <c r="B108" s="1030">
        <v>268</v>
      </c>
      <c r="C108" s="1027">
        <v>268</v>
      </c>
      <c r="D108" s="1028">
        <v>268</v>
      </c>
      <c r="E108" s="1029">
        <v>268</v>
      </c>
      <c r="F108" s="1038">
        <v>187.6</v>
      </c>
      <c r="G108" s="1039">
        <v>268</v>
      </c>
      <c r="H108" s="1039">
        <v>268</v>
      </c>
      <c r="I108" s="1036">
        <v>0</v>
      </c>
      <c r="J108" s="1036">
        <v>268</v>
      </c>
      <c r="K108" s="1036">
        <v>268</v>
      </c>
      <c r="L108" s="1026">
        <v>268</v>
      </c>
      <c r="M108" s="1026">
        <v>268</v>
      </c>
      <c r="N108" s="1026">
        <v>0</v>
      </c>
      <c r="O108" s="1026">
        <v>0</v>
      </c>
    </row>
    <row r="109" spans="1:15">
      <c r="A109" s="1024" t="s">
        <v>171</v>
      </c>
      <c r="B109" s="1030">
        <v>169</v>
      </c>
      <c r="C109" s="1027">
        <v>169</v>
      </c>
      <c r="D109" s="1028">
        <v>100</v>
      </c>
      <c r="E109" s="1029">
        <v>0</v>
      </c>
      <c r="F109" s="1038">
        <v>0</v>
      </c>
      <c r="G109" s="1039">
        <v>0</v>
      </c>
      <c r="H109" s="1039">
        <v>0</v>
      </c>
      <c r="I109" s="1036">
        <v>0</v>
      </c>
      <c r="J109" s="1036">
        <v>0</v>
      </c>
      <c r="K109" s="1036">
        <v>100</v>
      </c>
      <c r="L109" s="1026">
        <v>0</v>
      </c>
      <c r="M109" s="1026">
        <v>0</v>
      </c>
      <c r="N109" s="1026">
        <v>0</v>
      </c>
      <c r="O109" s="1026">
        <v>0</v>
      </c>
    </row>
    <row r="110" spans="1:15">
      <c r="A110" s="1024" t="s">
        <v>172</v>
      </c>
      <c r="B110" s="1030">
        <v>241</v>
      </c>
      <c r="C110" s="1027">
        <v>241</v>
      </c>
      <c r="D110" s="1028">
        <v>241</v>
      </c>
      <c r="E110" s="1029">
        <v>0</v>
      </c>
      <c r="F110" s="1038">
        <v>0</v>
      </c>
      <c r="G110" s="1039">
        <v>0</v>
      </c>
      <c r="H110" s="1039">
        <v>0</v>
      </c>
      <c r="I110" s="1036">
        <v>0</v>
      </c>
      <c r="J110" s="1036">
        <v>0</v>
      </c>
      <c r="K110" s="1036">
        <v>100</v>
      </c>
      <c r="L110" s="1026">
        <v>0</v>
      </c>
      <c r="M110" s="1026">
        <v>0</v>
      </c>
      <c r="N110" s="1026">
        <v>0</v>
      </c>
      <c r="O110" s="1026">
        <v>0</v>
      </c>
    </row>
    <row r="111" spans="1:15">
      <c r="A111" s="1024" t="s">
        <v>274</v>
      </c>
      <c r="B111" s="1030">
        <v>186</v>
      </c>
      <c r="C111" s="1027">
        <v>186</v>
      </c>
      <c r="D111" s="1028">
        <v>120</v>
      </c>
      <c r="E111" s="1029">
        <v>186</v>
      </c>
      <c r="F111" s="1038">
        <v>184.14</v>
      </c>
      <c r="G111" s="1039">
        <v>0</v>
      </c>
      <c r="H111" s="1039">
        <v>0</v>
      </c>
      <c r="I111" s="1036">
        <v>0</v>
      </c>
      <c r="J111" s="1036">
        <v>186</v>
      </c>
      <c r="K111" s="1036">
        <v>186</v>
      </c>
      <c r="L111" s="1026">
        <v>0</v>
      </c>
      <c r="M111" s="1026">
        <v>0</v>
      </c>
      <c r="N111" s="1026">
        <v>0</v>
      </c>
      <c r="O111" s="1026">
        <v>0</v>
      </c>
    </row>
    <row r="112" spans="1:15">
      <c r="A112" s="1024" t="s">
        <v>1614</v>
      </c>
      <c r="B112" s="1030">
        <v>973</v>
      </c>
      <c r="C112" s="1027">
        <v>973</v>
      </c>
      <c r="D112" s="1028">
        <v>560</v>
      </c>
      <c r="E112" s="1029">
        <v>500</v>
      </c>
      <c r="F112" s="1038">
        <v>0</v>
      </c>
      <c r="G112" s="1039">
        <v>0</v>
      </c>
      <c r="H112" s="1039">
        <v>0</v>
      </c>
      <c r="I112" s="1036">
        <v>0</v>
      </c>
      <c r="J112" s="1036">
        <v>500</v>
      </c>
      <c r="K112" s="1036">
        <v>300</v>
      </c>
      <c r="L112" s="1026">
        <v>0</v>
      </c>
      <c r="M112" s="1026">
        <v>0</v>
      </c>
      <c r="N112" s="1026">
        <v>0</v>
      </c>
      <c r="O112" s="1026">
        <v>0</v>
      </c>
    </row>
    <row r="113" spans="1:15">
      <c r="A113" s="1024" t="s">
        <v>1611</v>
      </c>
      <c r="B113" s="1030">
        <v>253</v>
      </c>
      <c r="C113" s="1027">
        <v>253</v>
      </c>
      <c r="D113" s="1028">
        <v>161</v>
      </c>
      <c r="E113" s="1029">
        <v>253</v>
      </c>
      <c r="F113" s="1038">
        <v>253</v>
      </c>
      <c r="G113" s="1039">
        <v>0</v>
      </c>
      <c r="H113" s="1039">
        <v>0</v>
      </c>
      <c r="I113" s="1036">
        <v>0</v>
      </c>
      <c r="J113" s="1036">
        <v>253</v>
      </c>
      <c r="K113" s="1036">
        <v>253</v>
      </c>
      <c r="L113" s="1026">
        <v>0</v>
      </c>
      <c r="M113" s="1026">
        <v>0</v>
      </c>
      <c r="N113" s="1026">
        <v>0</v>
      </c>
      <c r="O113" s="1026">
        <v>0</v>
      </c>
    </row>
    <row r="114" spans="1:15">
      <c r="A114" s="1024" t="s">
        <v>275</v>
      </c>
      <c r="B114" s="1030">
        <v>319</v>
      </c>
      <c r="C114" s="1027">
        <v>319</v>
      </c>
      <c r="D114" s="1028">
        <v>180</v>
      </c>
      <c r="E114" s="1029">
        <v>319</v>
      </c>
      <c r="F114" s="1038">
        <v>315.81</v>
      </c>
      <c r="G114" s="1039">
        <v>319</v>
      </c>
      <c r="H114" s="1039">
        <v>0</v>
      </c>
      <c r="I114" s="1036">
        <v>319</v>
      </c>
      <c r="J114" s="1036">
        <v>319</v>
      </c>
      <c r="K114" s="1036">
        <v>319</v>
      </c>
      <c r="L114" s="1026">
        <v>319</v>
      </c>
      <c r="M114" s="1026">
        <v>0</v>
      </c>
      <c r="N114" s="1026">
        <v>0</v>
      </c>
      <c r="O114" s="1026">
        <v>0</v>
      </c>
    </row>
    <row r="115" spans="1:15">
      <c r="A115" s="1024" t="s">
        <v>261</v>
      </c>
      <c r="B115" s="1030">
        <v>133</v>
      </c>
      <c r="C115" s="1027">
        <v>133</v>
      </c>
      <c r="D115" s="1028">
        <v>133</v>
      </c>
      <c r="E115" s="1029">
        <v>0</v>
      </c>
      <c r="F115" s="1038">
        <v>0</v>
      </c>
      <c r="G115" s="1039">
        <v>0</v>
      </c>
      <c r="H115" s="1039">
        <v>0</v>
      </c>
      <c r="I115" s="1036">
        <v>0</v>
      </c>
      <c r="J115" s="1036">
        <v>0</v>
      </c>
      <c r="K115" s="1036">
        <v>133</v>
      </c>
      <c r="L115" s="1026">
        <v>0</v>
      </c>
      <c r="M115" s="1026">
        <v>0</v>
      </c>
      <c r="N115" s="1026">
        <v>0</v>
      </c>
      <c r="O115" s="1026">
        <v>0</v>
      </c>
    </row>
    <row r="116" spans="1:15">
      <c r="A116" s="1024" t="s">
        <v>221</v>
      </c>
      <c r="B116" s="1030">
        <v>7394</v>
      </c>
      <c r="C116" s="1027">
        <v>733.33333333333337</v>
      </c>
      <c r="D116" s="1028">
        <v>5020</v>
      </c>
      <c r="E116" s="1029">
        <v>1500</v>
      </c>
      <c r="F116" s="1038">
        <v>0</v>
      </c>
      <c r="G116" s="1039">
        <v>1500</v>
      </c>
      <c r="H116" s="1039">
        <v>0</v>
      </c>
      <c r="I116" s="1036">
        <v>0</v>
      </c>
      <c r="J116" s="1036">
        <v>1500</v>
      </c>
      <c r="K116" s="1036">
        <v>100</v>
      </c>
      <c r="L116" s="1026">
        <v>1500</v>
      </c>
      <c r="M116" s="1026">
        <v>0</v>
      </c>
      <c r="N116" s="1026">
        <v>0</v>
      </c>
      <c r="O116" s="1026">
        <v>0</v>
      </c>
    </row>
    <row r="117" spans="1:15">
      <c r="A117" s="1024" t="s">
        <v>223</v>
      </c>
      <c r="B117" s="1030">
        <v>709</v>
      </c>
      <c r="C117" s="1027">
        <v>66.666666666666671</v>
      </c>
      <c r="D117" s="1028">
        <v>0</v>
      </c>
      <c r="E117" s="1029">
        <v>0</v>
      </c>
      <c r="F117" s="1038">
        <v>0</v>
      </c>
      <c r="G117" s="1039">
        <v>0</v>
      </c>
      <c r="H117" s="1039">
        <v>0</v>
      </c>
      <c r="I117" s="1036">
        <v>0</v>
      </c>
      <c r="J117" s="1036">
        <v>0</v>
      </c>
      <c r="K117" s="1036">
        <v>709</v>
      </c>
      <c r="L117" s="1026">
        <v>0</v>
      </c>
      <c r="M117" s="1026">
        <v>0</v>
      </c>
      <c r="N117" s="1026">
        <v>0</v>
      </c>
      <c r="O117" s="1026">
        <v>0</v>
      </c>
    </row>
    <row r="118" spans="1:15">
      <c r="A118" s="1024" t="s">
        <v>222</v>
      </c>
      <c r="B118" s="1030">
        <v>2550</v>
      </c>
      <c r="C118" s="1027">
        <v>0</v>
      </c>
      <c r="D118" s="1028">
        <v>0</v>
      </c>
      <c r="E118" s="1029">
        <v>0</v>
      </c>
      <c r="F118" s="1038">
        <v>0</v>
      </c>
      <c r="G118" s="1039">
        <v>0</v>
      </c>
      <c r="H118" s="1039">
        <v>0</v>
      </c>
      <c r="I118" s="1036">
        <v>0</v>
      </c>
      <c r="J118" s="1036">
        <v>0</v>
      </c>
      <c r="K118" s="1036">
        <v>700</v>
      </c>
      <c r="L118" s="1026">
        <v>0</v>
      </c>
      <c r="M118" s="1026">
        <v>0</v>
      </c>
      <c r="N118" s="1026">
        <v>0</v>
      </c>
      <c r="O118" s="1026">
        <v>0</v>
      </c>
    </row>
    <row r="119" spans="1:15">
      <c r="A119" s="1024" t="s">
        <v>262</v>
      </c>
      <c r="B119" s="1030">
        <v>66</v>
      </c>
      <c r="C119" s="1027">
        <v>66</v>
      </c>
      <c r="D119" s="1028">
        <v>66</v>
      </c>
      <c r="E119" s="1029">
        <v>66</v>
      </c>
      <c r="F119" s="1038">
        <v>0</v>
      </c>
      <c r="G119" s="1039">
        <v>0</v>
      </c>
      <c r="H119" s="1039">
        <v>0</v>
      </c>
      <c r="I119" s="1036">
        <v>0</v>
      </c>
      <c r="J119" s="1036">
        <v>66</v>
      </c>
      <c r="K119" s="1036">
        <v>66</v>
      </c>
      <c r="L119" s="1026">
        <v>0</v>
      </c>
      <c r="M119" s="1026">
        <v>0</v>
      </c>
      <c r="N119" s="1026">
        <v>0</v>
      </c>
      <c r="O119" s="1026">
        <v>0</v>
      </c>
    </row>
    <row r="120" spans="1:15">
      <c r="A120" s="1024" t="s">
        <v>2718</v>
      </c>
      <c r="B120" s="1030">
        <v>160</v>
      </c>
      <c r="C120" s="1027">
        <v>160</v>
      </c>
      <c r="D120" s="1028">
        <v>160</v>
      </c>
      <c r="E120" s="1029">
        <v>160</v>
      </c>
      <c r="F120" s="1038">
        <v>160</v>
      </c>
      <c r="G120" s="1039">
        <v>0</v>
      </c>
      <c r="H120" s="1039">
        <v>0</v>
      </c>
      <c r="I120" s="1036">
        <v>160</v>
      </c>
      <c r="J120" s="1036">
        <v>0</v>
      </c>
      <c r="K120" s="1036">
        <v>160</v>
      </c>
      <c r="L120" s="1026">
        <v>0</v>
      </c>
      <c r="M120" s="1026">
        <v>0</v>
      </c>
      <c r="N120" s="1026">
        <v>0</v>
      </c>
      <c r="O120" s="1026">
        <v>0</v>
      </c>
    </row>
    <row r="121" spans="1:15">
      <c r="A121" s="1024" t="s">
        <v>1534</v>
      </c>
      <c r="B121" s="1030">
        <v>1936</v>
      </c>
      <c r="C121" s="1027">
        <v>800</v>
      </c>
      <c r="D121" s="1028">
        <v>1440</v>
      </c>
      <c r="E121" s="1029">
        <v>1936</v>
      </c>
      <c r="F121" s="1038">
        <v>1548.8000000000002</v>
      </c>
      <c r="G121" s="1039">
        <v>0</v>
      </c>
      <c r="H121" s="1039">
        <v>0</v>
      </c>
      <c r="I121" s="1036">
        <v>0</v>
      </c>
      <c r="J121" s="1036">
        <v>1936</v>
      </c>
      <c r="K121" s="1036">
        <v>1500</v>
      </c>
      <c r="L121" s="1026">
        <v>0</v>
      </c>
      <c r="M121" s="1026">
        <v>0</v>
      </c>
      <c r="N121" s="1026">
        <v>0</v>
      </c>
      <c r="O121" s="1026">
        <v>0</v>
      </c>
    </row>
    <row r="122" spans="1:15">
      <c r="A122" s="1024" t="s">
        <v>2893</v>
      </c>
      <c r="B122" s="1030">
        <v>275</v>
      </c>
      <c r="C122" s="1027">
        <v>275</v>
      </c>
      <c r="D122" s="1028">
        <v>275</v>
      </c>
      <c r="E122" s="1029">
        <v>275</v>
      </c>
      <c r="F122" s="1038">
        <v>0</v>
      </c>
      <c r="G122" s="1039">
        <v>0</v>
      </c>
      <c r="H122" s="1039">
        <v>0</v>
      </c>
      <c r="I122" s="1036">
        <v>0</v>
      </c>
      <c r="J122" s="1036">
        <v>275</v>
      </c>
      <c r="K122" s="1036">
        <v>275</v>
      </c>
      <c r="L122" s="1026">
        <v>0</v>
      </c>
      <c r="M122" s="1026">
        <v>0</v>
      </c>
      <c r="N122" s="1026">
        <v>0</v>
      </c>
      <c r="O122" s="1026">
        <v>0</v>
      </c>
    </row>
    <row r="123" spans="1:15">
      <c r="A123" s="1024" t="s">
        <v>2894</v>
      </c>
      <c r="B123" s="1030">
        <v>430</v>
      </c>
      <c r="C123" s="1027">
        <v>430</v>
      </c>
      <c r="D123" s="1028">
        <v>300</v>
      </c>
      <c r="E123" s="1029">
        <v>430</v>
      </c>
      <c r="F123" s="1038">
        <v>0</v>
      </c>
      <c r="G123" s="1039">
        <v>0</v>
      </c>
      <c r="H123" s="1039">
        <v>0</v>
      </c>
      <c r="I123" s="1036">
        <v>0</v>
      </c>
      <c r="J123" s="1036">
        <v>430</v>
      </c>
      <c r="K123" s="1036">
        <v>430</v>
      </c>
      <c r="L123" s="1026">
        <v>0</v>
      </c>
      <c r="M123" s="1026">
        <v>0</v>
      </c>
      <c r="N123" s="1026">
        <v>0</v>
      </c>
      <c r="O123" s="1026">
        <v>0</v>
      </c>
    </row>
    <row r="124" spans="1:15">
      <c r="A124" s="1024" t="s">
        <v>2889</v>
      </c>
      <c r="B124" s="1030">
        <v>544</v>
      </c>
      <c r="C124" s="1027">
        <v>544</v>
      </c>
      <c r="D124" s="1028">
        <v>0</v>
      </c>
      <c r="E124" s="1029">
        <v>0</v>
      </c>
      <c r="F124" s="1038">
        <v>0</v>
      </c>
      <c r="G124" s="1039">
        <v>0</v>
      </c>
      <c r="H124" s="1039">
        <v>0</v>
      </c>
      <c r="I124" s="1036">
        <v>0</v>
      </c>
      <c r="J124" s="1036">
        <v>0</v>
      </c>
      <c r="K124" s="1036">
        <v>544</v>
      </c>
      <c r="L124" s="1026">
        <v>0</v>
      </c>
      <c r="M124" s="1026">
        <v>0</v>
      </c>
      <c r="N124" s="1026">
        <v>0</v>
      </c>
      <c r="O124" s="1026">
        <v>0</v>
      </c>
    </row>
    <row r="125" spans="1:15">
      <c r="A125" s="1024" t="s">
        <v>2883</v>
      </c>
      <c r="B125" s="1030">
        <v>94</v>
      </c>
      <c r="C125" s="1027">
        <v>94</v>
      </c>
      <c r="D125" s="1028">
        <v>94</v>
      </c>
      <c r="E125" s="1029">
        <v>94</v>
      </c>
      <c r="F125" s="1038">
        <v>84.600000000000009</v>
      </c>
      <c r="G125" s="1039">
        <v>0</v>
      </c>
      <c r="H125" s="1039">
        <v>0</v>
      </c>
      <c r="I125" s="1036">
        <v>94</v>
      </c>
      <c r="J125" s="1036">
        <v>94</v>
      </c>
      <c r="K125" s="1036">
        <v>94</v>
      </c>
      <c r="L125" s="1026">
        <v>0</v>
      </c>
      <c r="M125" s="1026">
        <v>0</v>
      </c>
      <c r="N125" s="1026">
        <v>0</v>
      </c>
      <c r="O125" s="1026">
        <v>0</v>
      </c>
    </row>
    <row r="126" spans="1:15">
      <c r="A126" s="1024" t="s">
        <v>2875</v>
      </c>
      <c r="B126" s="1030">
        <v>344</v>
      </c>
      <c r="C126" s="1027">
        <v>344</v>
      </c>
      <c r="D126" s="1028">
        <v>344</v>
      </c>
      <c r="E126" s="1029">
        <v>344</v>
      </c>
      <c r="F126" s="1038">
        <v>0</v>
      </c>
      <c r="G126" s="1039">
        <v>0</v>
      </c>
      <c r="H126" s="1039">
        <v>0</v>
      </c>
      <c r="I126" s="1036">
        <v>0</v>
      </c>
      <c r="J126" s="1036">
        <v>344</v>
      </c>
      <c r="K126" s="1036">
        <v>100</v>
      </c>
      <c r="L126" s="1026">
        <v>0</v>
      </c>
      <c r="M126" s="1026">
        <v>0</v>
      </c>
      <c r="N126" s="1026">
        <v>0</v>
      </c>
      <c r="O126" s="1026">
        <v>0</v>
      </c>
    </row>
    <row r="127" spans="1:15">
      <c r="A127" s="1024" t="s">
        <v>2876</v>
      </c>
      <c r="B127" s="1030">
        <v>221</v>
      </c>
      <c r="C127" s="1027">
        <v>221</v>
      </c>
      <c r="D127" s="1028">
        <v>160</v>
      </c>
      <c r="E127" s="1029">
        <v>221</v>
      </c>
      <c r="F127" s="1038">
        <v>218.79</v>
      </c>
      <c r="G127" s="1039">
        <v>0</v>
      </c>
      <c r="H127" s="1039">
        <v>0</v>
      </c>
      <c r="I127" s="1036">
        <v>221</v>
      </c>
      <c r="J127" s="1036">
        <v>221</v>
      </c>
      <c r="K127" s="1036">
        <v>221</v>
      </c>
      <c r="L127" s="1026">
        <v>0</v>
      </c>
      <c r="M127" s="1026">
        <v>0</v>
      </c>
      <c r="N127" s="1026">
        <v>0</v>
      </c>
      <c r="O127" s="1026">
        <v>0</v>
      </c>
    </row>
    <row r="128" spans="1:15">
      <c r="A128" s="1024" t="s">
        <v>3210</v>
      </c>
      <c r="B128" s="1030">
        <v>213</v>
      </c>
      <c r="C128" s="1027">
        <v>213</v>
      </c>
      <c r="D128" s="1028">
        <v>160</v>
      </c>
      <c r="E128" s="1029">
        <v>213</v>
      </c>
      <c r="F128" s="1038">
        <v>213</v>
      </c>
      <c r="G128" s="1039">
        <v>213</v>
      </c>
      <c r="H128" s="1039">
        <v>0</v>
      </c>
      <c r="I128" s="1036">
        <v>0</v>
      </c>
      <c r="J128" s="1036">
        <v>213</v>
      </c>
      <c r="K128" s="1036">
        <v>213</v>
      </c>
      <c r="L128" s="1026">
        <v>213</v>
      </c>
      <c r="M128" s="1026">
        <v>0</v>
      </c>
      <c r="N128" s="1026">
        <v>0</v>
      </c>
      <c r="O128" s="1026">
        <v>0</v>
      </c>
    </row>
    <row r="129" spans="1:15">
      <c r="A129" s="1024" t="s">
        <v>3209</v>
      </c>
      <c r="B129" s="1030">
        <v>324</v>
      </c>
      <c r="C129" s="1027">
        <v>0</v>
      </c>
      <c r="D129" s="1028">
        <v>144</v>
      </c>
      <c r="E129" s="1029">
        <v>324</v>
      </c>
      <c r="F129" s="1038">
        <v>307.8</v>
      </c>
      <c r="G129" s="1039">
        <v>0</v>
      </c>
      <c r="H129" s="1039">
        <v>0</v>
      </c>
      <c r="I129" s="1036">
        <v>0</v>
      </c>
      <c r="J129" s="1036">
        <v>324</v>
      </c>
      <c r="K129" s="1036">
        <v>100</v>
      </c>
      <c r="L129" s="1026">
        <v>0</v>
      </c>
      <c r="M129" s="1026">
        <v>0</v>
      </c>
      <c r="N129" s="1026">
        <v>0</v>
      </c>
      <c r="O129" s="1026">
        <v>0</v>
      </c>
    </row>
    <row r="130" spans="1:15">
      <c r="N130"/>
      <c r="O130"/>
    </row>
    <row r="131" spans="1:15">
      <c r="N131"/>
      <c r="O131"/>
    </row>
    <row r="132" spans="1:15">
      <c r="N132"/>
      <c r="O132"/>
    </row>
    <row r="133" spans="1:15">
      <c r="N133"/>
      <c r="O133"/>
    </row>
    <row r="134" spans="1:15">
      <c r="N134"/>
      <c r="O134"/>
    </row>
    <row r="135" spans="1:15">
      <c r="N135"/>
      <c r="O135"/>
    </row>
    <row r="136" spans="1:15">
      <c r="N136"/>
      <c r="O136"/>
    </row>
    <row r="137" spans="1:15">
      <c r="N137"/>
      <c r="O137"/>
    </row>
    <row r="138" spans="1:15">
      <c r="N138"/>
      <c r="O138"/>
    </row>
    <row r="139" spans="1:15">
      <c r="N139"/>
      <c r="O139"/>
    </row>
    <row r="140" spans="1:15">
      <c r="N140"/>
      <c r="O140"/>
    </row>
  </sheetData>
  <pageMargins left="0.7" right="0.7" top="0.75" bottom="0.75" header="0.3" footer="0.3"/>
  <pageSetup orientation="portrait" horizontalDpi="1200"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Guide</vt:lpstr>
      <vt:lpstr>HWS</vt:lpstr>
      <vt:lpstr>DATABASE</vt:lpstr>
      <vt:lpstr>Site_DB</vt:lpstr>
      <vt:lpstr>Indicator Summary  Eng</vt:lpstr>
      <vt:lpstr>Indicator Summary  MM</vt:lpstr>
      <vt:lpstr>HRP Calculations</vt:lpstr>
      <vt:lpstr>HRP</vt:lpstr>
      <vt:lpstr>HRP ref</vt:lpstr>
      <vt:lpstr>Analysis</vt:lpstr>
      <vt:lpstr>Sheet2</vt:lpstr>
      <vt:lpstr>partners_Q1</vt:lpstr>
      <vt:lpstr>partners_Q2</vt:lpstr>
      <vt:lpstr>partners_Q3</vt:lpstr>
      <vt:lpstr>Kachin</vt:lpstr>
      <vt:lpstr>Shan(n)</vt:lpstr>
      <vt:lpstr>AAP-community Feedback</vt:lpstr>
      <vt:lpstr>Quarterly Dashboard</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partners_Q3!Township_list</vt:lpstr>
      <vt:lpstr>'Shan(n)'!Township_list</vt:lpstr>
      <vt:lpstr>Township_list</vt:lpstr>
      <vt:lpstr>Kachin!Township_start</vt:lpstr>
      <vt:lpstr>partners_Q3!Township_start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2023-05-04T03:26:11Z</cp:lastPrinted>
  <dcterms:created xsi:type="dcterms:W3CDTF">2016-05-30T15:30:45Z</dcterms:created>
  <dcterms:modified xsi:type="dcterms:W3CDTF">2023-07-20T03:09:12Z</dcterms:modified>
  <cp:category/>
  <cp:contentStatus/>
</cp:coreProperties>
</file>